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50" tabRatio="885" activeTab="3"/>
  </bookViews>
  <sheets>
    <sheet name="Main_" sheetId="1" r:id="rId1"/>
    <sheet name="rnwf_structure" sheetId="10" r:id="rId2"/>
    <sheet name="structure" sheetId="13" r:id="rId3"/>
    <sheet name="recepients" sheetId="14" r:id="rId4"/>
    <sheet name="infra_invest" sheetId="8" r:id="rId5"/>
    <sheet name="projects" sheetId="15" r:id="rId6"/>
    <sheet name="%% Усть-Луга" sheetId="17" r:id="rId7"/>
  </sheets>
  <definedNames>
    <definedName name="_xlnm._FilterDatabase" localSheetId="4" hidden="1">infra_invest!$A$1:$G$186</definedName>
    <definedName name="_xlnm._FilterDatabase" localSheetId="3" hidden="1">recepients!$A$1:$B$1</definedName>
  </definedNames>
  <calcPr calcId="162913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4" l="1"/>
  <c r="B21" i="14"/>
  <c r="B19" i="14"/>
  <c r="B18" i="14"/>
  <c r="B17" i="14"/>
  <c r="B16" i="14"/>
  <c r="B14" i="14"/>
  <c r="B13" i="14"/>
  <c r="B11" i="14"/>
  <c r="B9" i="14"/>
  <c r="B8" i="14"/>
  <c r="B7" i="14"/>
  <c r="B6" i="14"/>
  <c r="B3" i="14"/>
  <c r="B2" i="14"/>
  <c r="AI12" i="13"/>
  <c r="AI11" i="13"/>
  <c r="AI10" i="13"/>
  <c r="AI9" i="13"/>
  <c r="AI8" i="13"/>
  <c r="AI7" i="13"/>
  <c r="AI6" i="13"/>
  <c r="AI5" i="13"/>
  <c r="AI4" i="13"/>
  <c r="AI20" i="10"/>
  <c r="AI19" i="10"/>
  <c r="AI18" i="10"/>
  <c r="AI17" i="10"/>
  <c r="AI16" i="10"/>
  <c r="AI15" i="10"/>
  <c r="AI14" i="10"/>
  <c r="AI13" i="10"/>
  <c r="AI12" i="10"/>
  <c r="AI11" i="10"/>
  <c r="AI10" i="10"/>
  <c r="AI9" i="10"/>
  <c r="AI8" i="10"/>
  <c r="AI7" i="10"/>
  <c r="AI6" i="10"/>
  <c r="AI5" i="10"/>
  <c r="AI4" i="10"/>
  <c r="AI3" i="10"/>
  <c r="AI2" i="10"/>
  <c r="AJ57" i="1"/>
  <c r="AL57" i="1" s="1"/>
  <c r="AJ41" i="1"/>
  <c r="AK41" i="1" s="1"/>
  <c r="AJ35" i="1"/>
  <c r="AL35" i="1" s="1"/>
  <c r="AJ33" i="1"/>
  <c r="AK33" i="1" s="1"/>
  <c r="AJ32" i="1"/>
  <c r="AJ34" i="1"/>
  <c r="AL34" i="1" s="1"/>
  <c r="AJ31" i="1"/>
  <c r="AK31" i="1" s="1"/>
  <c r="AJ28" i="1"/>
  <c r="AK28" i="1" s="1"/>
  <c r="AJ29" i="1"/>
  <c r="AL29" i="1" s="1"/>
  <c r="AJ27" i="1"/>
  <c r="AJ39" i="1"/>
  <c r="AJ38" i="1"/>
  <c r="AL38" i="1" s="1"/>
  <c r="AJ26" i="1"/>
  <c r="AL26" i="1" s="1"/>
  <c r="AJ47" i="1"/>
  <c r="AK47" i="1" s="1"/>
  <c r="AJ46" i="1"/>
  <c r="AK46" i="1" s="1"/>
  <c r="AJ45" i="1"/>
  <c r="AJ24" i="1"/>
  <c r="AK24" i="1" s="1"/>
  <c r="AJ23" i="1"/>
  <c r="AK23" i="1" s="1"/>
  <c r="AJ21" i="1"/>
  <c r="AK21" i="1" s="1"/>
  <c r="AJ19" i="1"/>
  <c r="AK19" i="1" s="1"/>
  <c r="AJ18" i="1"/>
  <c r="AL18" i="1" s="1"/>
  <c r="AJ17" i="1"/>
  <c r="AJ13" i="1"/>
  <c r="AK13" i="1" s="1"/>
  <c r="AJ12" i="1"/>
  <c r="AK12" i="1" s="1"/>
  <c r="AJ11" i="1"/>
  <c r="AK11" i="1" s="1"/>
  <c r="AJ10" i="1"/>
  <c r="AL10" i="1" s="1"/>
  <c r="AJ9" i="1"/>
  <c r="AL9" i="1" s="1"/>
  <c r="AJ8" i="1"/>
  <c r="AJ15" i="1"/>
  <c r="AK15" i="1" s="1"/>
  <c r="AJ16" i="1"/>
  <c r="AK16" i="1" s="1"/>
  <c r="AJ14" i="1"/>
  <c r="AK14" i="1" s="1"/>
  <c r="AJ20" i="1"/>
  <c r="AK20" i="1" s="1"/>
  <c r="AJ48" i="1"/>
  <c r="AK48" i="1" s="1"/>
  <c r="AL3" i="1"/>
  <c r="AL4" i="1"/>
  <c r="AL5" i="1"/>
  <c r="AL6" i="1"/>
  <c r="AL7" i="1"/>
  <c r="AL8" i="1"/>
  <c r="AL17" i="1"/>
  <c r="AL22" i="1"/>
  <c r="AL24" i="1"/>
  <c r="AL27" i="1"/>
  <c r="AL30" i="1"/>
  <c r="AL32" i="1"/>
  <c r="AL33" i="1"/>
  <c r="AL36" i="1"/>
  <c r="AL37" i="1"/>
  <c r="AL39" i="1"/>
  <c r="AL40" i="1"/>
  <c r="AL41" i="1"/>
  <c r="AL42" i="1"/>
  <c r="AL43" i="1"/>
  <c r="AL44" i="1"/>
  <c r="AL45" i="1"/>
  <c r="AL47" i="1"/>
  <c r="AL48" i="1"/>
  <c r="AL49" i="1"/>
  <c r="AL50" i="1"/>
  <c r="AL51" i="1"/>
  <c r="AL52" i="1"/>
  <c r="AL53" i="1"/>
  <c r="AL54" i="1"/>
  <c r="AL55" i="1"/>
  <c r="AL56" i="1"/>
  <c r="AL2" i="1"/>
  <c r="AK3" i="1"/>
  <c r="AK4" i="1"/>
  <c r="AK5" i="1"/>
  <c r="AK6" i="1"/>
  <c r="AK7" i="1"/>
  <c r="AK8" i="1"/>
  <c r="AK9" i="1"/>
  <c r="AK10" i="1"/>
  <c r="AK17" i="1"/>
  <c r="AK22" i="1"/>
  <c r="AK27" i="1"/>
  <c r="AK30" i="1"/>
  <c r="AK32" i="1"/>
  <c r="AK36" i="1"/>
  <c r="AK37" i="1"/>
  <c r="AK39" i="1"/>
  <c r="AK40" i="1"/>
  <c r="AK42" i="1"/>
  <c r="AK43" i="1"/>
  <c r="AK44" i="1"/>
  <c r="AK45" i="1"/>
  <c r="AK49" i="1"/>
  <c r="AK50" i="1"/>
  <c r="AK51" i="1"/>
  <c r="AK52" i="1"/>
  <c r="AK53" i="1"/>
  <c r="AK54" i="1"/>
  <c r="AK55" i="1"/>
  <c r="AK56" i="1"/>
  <c r="AK57" i="1"/>
  <c r="AK2" i="1"/>
  <c r="B10" i="14"/>
  <c r="B4" i="14"/>
  <c r="AJ25" i="1"/>
  <c r="AK35" i="1" l="1"/>
  <c r="AK34" i="1"/>
  <c r="AL31" i="1"/>
  <c r="AL28" i="1"/>
  <c r="AK29" i="1"/>
  <c r="AK38" i="1"/>
  <c r="AK26" i="1"/>
  <c r="AL46" i="1"/>
  <c r="AL23" i="1"/>
  <c r="AL21" i="1"/>
  <c r="AL19" i="1"/>
  <c r="AK18" i="1"/>
  <c r="AL13" i="1"/>
  <c r="AL12" i="1"/>
  <c r="AL11" i="1"/>
  <c r="AL15" i="1"/>
  <c r="AL16" i="1"/>
  <c r="AL14" i="1"/>
  <c r="AL20" i="1"/>
  <c r="AL25" i="1"/>
  <c r="AK25" i="1"/>
  <c r="H4" i="15"/>
  <c r="D4" i="15"/>
  <c r="H2" i="15"/>
  <c r="D2" i="15"/>
  <c r="AH6" i="13"/>
  <c r="AH20" i="10"/>
  <c r="AH19" i="10"/>
  <c r="AH18" i="10"/>
  <c r="AH12" i="13" s="1"/>
  <c r="AH17" i="10"/>
  <c r="AH16" i="10"/>
  <c r="AH11" i="13" s="1"/>
  <c r="AH15" i="10"/>
  <c r="AH10" i="13" s="1"/>
  <c r="AH14" i="10"/>
  <c r="AH9" i="13" s="1"/>
  <c r="AH12" i="10"/>
  <c r="AH11" i="10"/>
  <c r="AH9" i="10"/>
  <c r="AH8" i="10"/>
  <c r="AH5" i="13" s="1"/>
  <c r="AH7" i="10"/>
  <c r="AH6" i="10"/>
  <c r="AH5" i="10"/>
  <c r="AH4" i="10"/>
  <c r="AH3" i="10"/>
  <c r="AH2" i="10"/>
  <c r="AH4" i="13" s="1"/>
  <c r="AI57" i="1"/>
  <c r="AI31" i="1"/>
  <c r="AI28" i="1"/>
  <c r="AI29" i="1"/>
  <c r="AI27" i="1"/>
  <c r="AI39" i="1"/>
  <c r="AI38" i="1"/>
  <c r="AI41" i="1"/>
  <c r="AI47" i="1"/>
  <c r="AI26" i="1"/>
  <c r="AI48" i="1"/>
  <c r="AI45" i="1"/>
  <c r="AI23" i="1"/>
  <c r="AI19" i="1"/>
  <c r="AI18" i="1"/>
  <c r="AI17" i="1"/>
  <c r="AI15" i="1"/>
  <c r="AI13" i="1"/>
  <c r="AI12" i="1"/>
  <c r="AI11" i="1"/>
  <c r="AI10" i="1"/>
  <c r="AI9" i="1"/>
  <c r="AI8" i="1"/>
  <c r="AI16" i="1"/>
  <c r="AI14" i="1"/>
  <c r="AI46" i="1"/>
  <c r="AI21" i="1"/>
  <c r="AI20" i="1"/>
  <c r="AH10" i="10" l="1"/>
  <c r="AH7" i="13" s="1"/>
  <c r="AH13" i="10"/>
  <c r="AH8" i="13" s="1"/>
  <c r="AG20" i="10"/>
  <c r="AG19" i="10"/>
  <c r="AG18" i="10"/>
  <c r="AG12" i="13" s="1"/>
  <c r="AG17" i="10"/>
  <c r="AG16" i="10"/>
  <c r="AG11" i="13" s="1"/>
  <c r="AG15" i="10"/>
  <c r="AG10" i="13" s="1"/>
  <c r="AG14" i="10"/>
  <c r="AG9" i="13" s="1"/>
  <c r="AG13" i="10"/>
  <c r="AG12" i="10"/>
  <c r="AG8" i="13" s="1"/>
  <c r="AG9" i="10"/>
  <c r="AG6" i="13" s="1"/>
  <c r="AG7" i="10"/>
  <c r="AG6" i="10"/>
  <c r="AG5" i="10"/>
  <c r="AG4" i="10"/>
  <c r="AG3" i="10"/>
  <c r="AG2" i="10"/>
  <c r="AG4" i="13" s="1"/>
  <c r="AH57" i="1"/>
  <c r="AH31" i="1"/>
  <c r="AH28" i="1"/>
  <c r="AH29" i="1"/>
  <c r="AH39" i="1"/>
  <c r="AH41" i="1"/>
  <c r="AH38" i="1"/>
  <c r="AH47" i="1"/>
  <c r="AH46" i="1"/>
  <c r="AH48" i="1"/>
  <c r="AH45" i="1"/>
  <c r="AH21" i="1"/>
  <c r="AH15" i="1"/>
  <c r="AH24" i="1"/>
  <c r="AH16" i="1"/>
  <c r="AH14" i="1"/>
  <c r="AG10" i="10" l="1"/>
  <c r="AF20" i="10"/>
  <c r="AF19" i="10"/>
  <c r="AF18" i="10"/>
  <c r="AF12" i="13" s="1"/>
  <c r="AF17" i="10"/>
  <c r="AF16" i="10"/>
  <c r="AF11" i="13" s="1"/>
  <c r="AF15" i="10"/>
  <c r="AF10" i="13" s="1"/>
  <c r="AF14" i="10"/>
  <c r="AF9" i="13" s="1"/>
  <c r="AF13" i="10"/>
  <c r="AF12" i="10"/>
  <c r="AF9" i="10"/>
  <c r="AF6" i="13" s="1"/>
  <c r="AF7" i="10"/>
  <c r="AF6" i="10"/>
  <c r="AF5" i="10"/>
  <c r="AF4" i="10"/>
  <c r="AF3" i="10"/>
  <c r="AF2" i="10"/>
  <c r="AF4" i="13" s="1"/>
  <c r="AG57" i="1"/>
  <c r="AG31" i="1"/>
  <c r="AG30" i="1"/>
  <c r="AG28" i="1"/>
  <c r="AG29" i="1"/>
  <c r="AG38" i="1"/>
  <c r="AG41" i="1"/>
  <c r="AG47" i="1"/>
  <c r="AG46" i="1"/>
  <c r="AG48" i="1"/>
  <c r="AG45" i="1"/>
  <c r="AG24" i="1"/>
  <c r="AG15" i="1"/>
  <c r="AG16" i="1"/>
  <c r="AG14" i="1"/>
  <c r="AG21" i="1"/>
  <c r="AF8" i="13" l="1"/>
  <c r="AF10" i="10"/>
  <c r="F4" i="15"/>
  <c r="E4" i="15"/>
  <c r="AE20" i="10" l="1"/>
  <c r="AE19" i="10"/>
  <c r="AE18" i="10"/>
  <c r="AE12" i="13" s="1"/>
  <c r="AE17" i="10"/>
  <c r="AE16" i="10"/>
  <c r="AE11" i="13" s="1"/>
  <c r="AE15" i="10"/>
  <c r="AE10" i="13" s="1"/>
  <c r="AE14" i="10"/>
  <c r="AE9" i="13" s="1"/>
  <c r="AE13" i="10"/>
  <c r="AE12" i="10"/>
  <c r="AE9" i="10"/>
  <c r="AE6" i="13" s="1"/>
  <c r="AE7" i="10"/>
  <c r="AE6" i="10"/>
  <c r="AE5" i="10"/>
  <c r="AE4" i="10"/>
  <c r="AE3" i="10"/>
  <c r="AE2" i="10"/>
  <c r="AE4" i="13" s="1"/>
  <c r="AF57" i="1"/>
  <c r="AF31" i="1"/>
  <c r="AF28" i="1"/>
  <c r="AF29" i="1"/>
  <c r="AF27" i="1"/>
  <c r="AF39" i="1"/>
  <c r="AF38" i="1"/>
  <c r="AF41" i="1"/>
  <c r="AF47" i="1"/>
  <c r="AF46" i="1"/>
  <c r="AF48" i="1"/>
  <c r="AF45" i="1"/>
  <c r="AF24" i="1"/>
  <c r="AF15" i="1"/>
  <c r="AF21" i="1"/>
  <c r="AF16" i="1"/>
  <c r="AF14" i="1"/>
  <c r="AE8" i="13" l="1"/>
  <c r="AE10" i="10"/>
  <c r="AD20" i="10"/>
  <c r="AD19" i="10"/>
  <c r="AD18" i="10"/>
  <c r="AD12" i="13" s="1"/>
  <c r="AD17" i="10"/>
  <c r="AD16" i="10"/>
  <c r="AD11" i="13" s="1"/>
  <c r="AD15" i="10"/>
  <c r="AD10" i="13" s="1"/>
  <c r="AD14" i="10"/>
  <c r="AD9" i="13" s="1"/>
  <c r="AD13" i="10"/>
  <c r="AD12" i="10"/>
  <c r="AD9" i="10"/>
  <c r="AD6" i="13" s="1"/>
  <c r="AD7" i="10"/>
  <c r="AD6" i="10"/>
  <c r="AD5" i="10"/>
  <c r="AD4" i="10"/>
  <c r="AD3" i="10"/>
  <c r="AD2" i="10"/>
  <c r="AD4" i="13" s="1"/>
  <c r="O5" i="17"/>
  <c r="N5" i="17"/>
  <c r="M5" i="17"/>
  <c r="M7" i="17" s="1"/>
  <c r="N9" i="17" s="1"/>
  <c r="M9" i="17"/>
  <c r="L9" i="17"/>
  <c r="K7" i="17"/>
  <c r="L7" i="17"/>
  <c r="AE57" i="1"/>
  <c r="AE31" i="1"/>
  <c r="AE39" i="1"/>
  <c r="AE38" i="1"/>
  <c r="AE41" i="1"/>
  <c r="AE47" i="1"/>
  <c r="AE46" i="1"/>
  <c r="AE48" i="1"/>
  <c r="C9" i="17"/>
  <c r="D9" i="17" s="1"/>
  <c r="E9" i="17" s="1"/>
  <c r="F9" i="17" s="1"/>
  <c r="G9" i="17" s="1"/>
  <c r="H9" i="17" s="1"/>
  <c r="I9" i="17" s="1"/>
  <c r="J9" i="17" s="1"/>
  <c r="K9" i="17" s="1"/>
  <c r="B9" i="17"/>
  <c r="E7" i="17"/>
  <c r="A7" i="17"/>
  <c r="D7" i="17"/>
  <c r="C7" i="17"/>
  <c r="F7" i="17"/>
  <c r="G7" i="17"/>
  <c r="H7" i="17"/>
  <c r="I7" i="17"/>
  <c r="J7" i="17"/>
  <c r="B7" i="17"/>
  <c r="D5" i="17"/>
  <c r="E5" i="17" s="1"/>
  <c r="F5" i="17" s="1"/>
  <c r="G5" i="17" s="1"/>
  <c r="H5" i="17" s="1"/>
  <c r="I5" i="17" s="1"/>
  <c r="J5" i="17" s="1"/>
  <c r="C5" i="17"/>
  <c r="AE24" i="1"/>
  <c r="AE15" i="1"/>
  <c r="AE21" i="1"/>
  <c r="AE16" i="1"/>
  <c r="AE14" i="1"/>
  <c r="AD8" i="13" l="1"/>
  <c r="AD10" i="10"/>
  <c r="AC20" i="10"/>
  <c r="AC19" i="10"/>
  <c r="AC18" i="10"/>
  <c r="AC12" i="13" s="1"/>
  <c r="AC17" i="10"/>
  <c r="AC16" i="10"/>
  <c r="AC11" i="13" s="1"/>
  <c r="AC15" i="10"/>
  <c r="AC10" i="13" s="1"/>
  <c r="AC14" i="10"/>
  <c r="AC9" i="13" s="1"/>
  <c r="AC13" i="10"/>
  <c r="AC9" i="10"/>
  <c r="AC6" i="13" s="1"/>
  <c r="AC7" i="10"/>
  <c r="AC6" i="10"/>
  <c r="AC5" i="10"/>
  <c r="AC4" i="10"/>
  <c r="AC3" i="10"/>
  <c r="AC2" i="10"/>
  <c r="AC4" i="13" s="1"/>
  <c r="AD57" i="1"/>
  <c r="AD31" i="1"/>
  <c r="AD39" i="1"/>
  <c r="AD38" i="1"/>
  <c r="AD41" i="1"/>
  <c r="AD45" i="1"/>
  <c r="AD44" i="1"/>
  <c r="AD46" i="1"/>
  <c r="AD47" i="1"/>
  <c r="AD24" i="1"/>
  <c r="AD17" i="1"/>
  <c r="AE17" i="1" s="1"/>
  <c r="AF17" i="1" s="1"/>
  <c r="AG17" i="1" s="1"/>
  <c r="AH17" i="1" s="1"/>
  <c r="AD15" i="1"/>
  <c r="AD16" i="1"/>
  <c r="AD14" i="1"/>
  <c r="AD21" i="1"/>
  <c r="AD48" i="1"/>
  <c r="N7" i="17" l="1"/>
  <c r="O9" i="17" s="1"/>
  <c r="AC10" i="10"/>
  <c r="AB20" i="10"/>
  <c r="AB19" i="10"/>
  <c r="AB18" i="10"/>
  <c r="AB12" i="13" s="1"/>
  <c r="AB17" i="10"/>
  <c r="AB16" i="10"/>
  <c r="AB15" i="10"/>
  <c r="AB10" i="13" s="1"/>
  <c r="AB14" i="10"/>
  <c r="AB9" i="13" s="1"/>
  <c r="AB13" i="10"/>
  <c r="AB9" i="10"/>
  <c r="AB6" i="13" s="1"/>
  <c r="AB7" i="10"/>
  <c r="AB6" i="10"/>
  <c r="AB5" i="10"/>
  <c r="AB4" i="10"/>
  <c r="AB3" i="10"/>
  <c r="AB2" i="10"/>
  <c r="AB4" i="13" s="1"/>
  <c r="AC57" i="1"/>
  <c r="AC31" i="1"/>
  <c r="AC39" i="1"/>
  <c r="AC38" i="1"/>
  <c r="AC41" i="1"/>
  <c r="AC48" i="1"/>
  <c r="AC45" i="1"/>
  <c r="AC21" i="1"/>
  <c r="AC17" i="1"/>
  <c r="AC15" i="1"/>
  <c r="AC16" i="1"/>
  <c r="AC14" i="1"/>
  <c r="AC47" i="1"/>
  <c r="AC46" i="1"/>
  <c r="O7" i="17" l="1"/>
  <c r="AB11" i="13"/>
  <c r="AB10" i="10"/>
  <c r="AA20" i="10"/>
  <c r="AA19" i="10"/>
  <c r="AA18" i="10"/>
  <c r="AA12" i="13" s="1"/>
  <c r="AA17" i="10"/>
  <c r="AA16" i="10"/>
  <c r="AA15" i="10"/>
  <c r="AA10" i="13" s="1"/>
  <c r="AA14" i="10"/>
  <c r="AA9" i="13" s="1"/>
  <c r="AA13" i="10"/>
  <c r="AA9" i="10"/>
  <c r="AA6" i="13" s="1"/>
  <c r="AA7" i="10"/>
  <c r="AA6" i="10"/>
  <c r="AA5" i="10"/>
  <c r="AA4" i="10"/>
  <c r="AA3" i="10"/>
  <c r="AA2" i="10"/>
  <c r="AA4" i="13" s="1"/>
  <c r="AB57" i="1"/>
  <c r="AB31" i="1"/>
  <c r="AB39" i="1"/>
  <c r="AB38" i="1"/>
  <c r="AB41" i="1"/>
  <c r="AB48" i="1"/>
  <c r="AB45" i="1"/>
  <c r="AB46" i="1"/>
  <c r="AB17" i="1"/>
  <c r="AB15" i="1"/>
  <c r="AB16" i="1"/>
  <c r="AB14" i="1"/>
  <c r="AB21" i="1"/>
  <c r="AB47" i="1"/>
  <c r="P9" i="17" l="1"/>
  <c r="P5" i="17"/>
  <c r="AA11" i="13"/>
  <c r="AA10" i="10"/>
  <c r="Z20" i="10"/>
  <c r="Z19" i="10"/>
  <c r="Z18" i="10"/>
  <c r="Z12" i="13" s="1"/>
  <c r="Z17" i="10"/>
  <c r="Z16" i="10"/>
  <c r="Z15" i="10"/>
  <c r="Z10" i="13" s="1"/>
  <c r="Z14" i="10"/>
  <c r="Z9" i="13" s="1"/>
  <c r="Z13" i="10"/>
  <c r="Z9" i="10"/>
  <c r="Z6" i="13" s="1"/>
  <c r="Z7" i="10"/>
  <c r="Z6" i="10"/>
  <c r="Z5" i="10"/>
  <c r="Z4" i="10"/>
  <c r="Z3" i="10"/>
  <c r="Z2" i="10"/>
  <c r="Z4" i="13" s="1"/>
  <c r="AA57" i="1"/>
  <c r="AA31" i="1"/>
  <c r="AA39" i="1"/>
  <c r="AA38" i="1"/>
  <c r="AA41" i="1"/>
  <c r="AA46" i="1"/>
  <c r="AA48" i="1"/>
  <c r="AA21" i="1"/>
  <c r="AA17" i="1"/>
  <c r="AA15" i="1"/>
  <c r="AA16" i="1"/>
  <c r="AA14" i="1"/>
  <c r="AA47" i="1"/>
  <c r="Z11" i="13" l="1"/>
  <c r="P7" i="17"/>
  <c r="Q9" i="17" s="1"/>
  <c r="Z10" i="10"/>
  <c r="Y20" i="10"/>
  <c r="Y19" i="10"/>
  <c r="Y18" i="10"/>
  <c r="Y12" i="13" s="1"/>
  <c r="Y17" i="10"/>
  <c r="Y16" i="10"/>
  <c r="Y15" i="10"/>
  <c r="Y10" i="13" s="1"/>
  <c r="Y14" i="10"/>
  <c r="Y9" i="13" s="1"/>
  <c r="Y13" i="10"/>
  <c r="Y9" i="10"/>
  <c r="Y6" i="13" s="1"/>
  <c r="Y7" i="10"/>
  <c r="Y6" i="10"/>
  <c r="Y5" i="10"/>
  <c r="Y4" i="10"/>
  <c r="Y3" i="10"/>
  <c r="Y2" i="10"/>
  <c r="Y4" i="13" s="1"/>
  <c r="Z57" i="1"/>
  <c r="Z31" i="1"/>
  <c r="Z29" i="1"/>
  <c r="AA29" i="1" s="1"/>
  <c r="AB29" i="1" s="1"/>
  <c r="AC29" i="1" s="1"/>
  <c r="AD29" i="1" s="1"/>
  <c r="Z39" i="1"/>
  <c r="Z38" i="1"/>
  <c r="Z41" i="1"/>
  <c r="Z48" i="1"/>
  <c r="Z45" i="1"/>
  <c r="Z21" i="1"/>
  <c r="Z19" i="1"/>
  <c r="AA19" i="1" s="1"/>
  <c r="AB19" i="1" s="1"/>
  <c r="AC19" i="1" s="1"/>
  <c r="AD19" i="1" s="1"/>
  <c r="AE19" i="1" s="1"/>
  <c r="AF19" i="1" s="1"/>
  <c r="AG19" i="1" s="1"/>
  <c r="AH19" i="1" s="1"/>
  <c r="Z18" i="1"/>
  <c r="AA18" i="1" s="1"/>
  <c r="AB18" i="1" s="1"/>
  <c r="AC18" i="1" s="1"/>
  <c r="AD18" i="1" s="1"/>
  <c r="AE18" i="1" s="1"/>
  <c r="AF18" i="1" s="1"/>
  <c r="AG18" i="1" s="1"/>
  <c r="AH18" i="1" s="1"/>
  <c r="Z47" i="1"/>
  <c r="Q5" i="17" l="1"/>
  <c r="Y11" i="13"/>
  <c r="X19" i="10"/>
  <c r="X18" i="10"/>
  <c r="X12" i="13" s="1"/>
  <c r="X7" i="10"/>
  <c r="X6" i="10"/>
  <c r="X5" i="10"/>
  <c r="X4" i="10"/>
  <c r="X3" i="10"/>
  <c r="X2" i="10"/>
  <c r="X4" i="13" s="1"/>
  <c r="X17" i="10"/>
  <c r="Y29" i="1"/>
  <c r="Y46" i="1"/>
  <c r="Z46" i="1" s="1"/>
  <c r="Y57" i="1"/>
  <c r="R5" i="17" l="1"/>
  <c r="Q7" i="17"/>
  <c r="R9" i="17" s="1"/>
  <c r="Y10" i="10"/>
  <c r="X20" i="10"/>
  <c r="W20" i="10"/>
  <c r="W19" i="10"/>
  <c r="W18" i="10"/>
  <c r="W12" i="13" s="1"/>
  <c r="W14" i="10"/>
  <c r="W9" i="13" s="1"/>
  <c r="W9" i="10"/>
  <c r="W6" i="13" s="1"/>
  <c r="W7" i="10"/>
  <c r="W6" i="10"/>
  <c r="W5" i="10"/>
  <c r="W4" i="10"/>
  <c r="W3" i="10"/>
  <c r="W2" i="10"/>
  <c r="W4" i="13" s="1"/>
  <c r="X57" i="1"/>
  <c r="X48" i="1"/>
  <c r="Y48" i="1" s="1"/>
  <c r="X39" i="1"/>
  <c r="Y39" i="1" s="1"/>
  <c r="X38" i="1"/>
  <c r="Y38" i="1" s="1"/>
  <c r="X26" i="1"/>
  <c r="Y26" i="1" s="1"/>
  <c r="Z26" i="1" s="1"/>
  <c r="X24" i="1"/>
  <c r="Y24" i="1" s="1"/>
  <c r="AA26" i="1" l="1"/>
  <c r="Y11" i="10"/>
  <c r="Y7" i="13"/>
  <c r="R7" i="17"/>
  <c r="S9" i="17" s="1"/>
  <c r="X14" i="10"/>
  <c r="X9" i="13" s="1"/>
  <c r="X11" i="10"/>
  <c r="W11" i="10"/>
  <c r="X9" i="10"/>
  <c r="X6" i="13" s="1"/>
  <c r="X10" i="10"/>
  <c r="W10" i="10"/>
  <c r="V20" i="10"/>
  <c r="V19" i="10"/>
  <c r="V18" i="10"/>
  <c r="V12" i="13" s="1"/>
  <c r="V14" i="10"/>
  <c r="V9" i="13" s="1"/>
  <c r="V11" i="10"/>
  <c r="V9" i="10"/>
  <c r="V6" i="13" s="1"/>
  <c r="V7" i="10"/>
  <c r="V6" i="10"/>
  <c r="V5" i="10"/>
  <c r="V4" i="10"/>
  <c r="V3" i="10"/>
  <c r="V2" i="10"/>
  <c r="V4" i="13" s="1"/>
  <c r="W21" i="1"/>
  <c r="X21" i="1" s="1"/>
  <c r="Y21" i="1" s="1"/>
  <c r="W57" i="1"/>
  <c r="E71" i="8"/>
  <c r="AB26" i="1" l="1"/>
  <c r="Z11" i="10"/>
  <c r="Z7" i="13" s="1"/>
  <c r="S5" i="17"/>
  <c r="W7" i="13"/>
  <c r="X7" i="13"/>
  <c r="V10" i="10"/>
  <c r="V7" i="13" s="1"/>
  <c r="F2" i="15"/>
  <c r="AC26" i="1" l="1"/>
  <c r="AA11" i="10"/>
  <c r="AA7" i="13" s="1"/>
  <c r="S7" i="17"/>
  <c r="T9" i="17" s="1"/>
  <c r="E2" i="15"/>
  <c r="U19" i="10"/>
  <c r="U18" i="10"/>
  <c r="U12" i="13" s="1"/>
  <c r="T10" i="10"/>
  <c r="U9" i="10"/>
  <c r="U6" i="13" s="1"/>
  <c r="U7" i="10"/>
  <c r="U6" i="10"/>
  <c r="U5" i="10"/>
  <c r="U4" i="10"/>
  <c r="U3" i="10"/>
  <c r="U2" i="10"/>
  <c r="U4" i="13" s="1"/>
  <c r="AD26" i="1" l="1"/>
  <c r="AB11" i="10"/>
  <c r="AB7" i="13" s="1"/>
  <c r="T5" i="17"/>
  <c r="U10" i="10"/>
  <c r="V57" i="1"/>
  <c r="U20" i="10" s="1"/>
  <c r="V48" i="1"/>
  <c r="W48" i="1" s="1"/>
  <c r="AE26" i="1" l="1"/>
  <c r="AC11" i="10"/>
  <c r="AC7" i="13" s="1"/>
  <c r="T7" i="17"/>
  <c r="U9" i="17" s="1"/>
  <c r="T19" i="10"/>
  <c r="T18" i="10"/>
  <c r="T12" i="13" s="1"/>
  <c r="T7" i="10"/>
  <c r="T6" i="10"/>
  <c r="T5" i="10"/>
  <c r="T4" i="10"/>
  <c r="T3" i="10"/>
  <c r="T2" i="10"/>
  <c r="T4" i="13" s="1"/>
  <c r="U57" i="1"/>
  <c r="T20" i="10" s="1"/>
  <c r="S25" i="1"/>
  <c r="U8" i="1"/>
  <c r="V8" i="1" s="1"/>
  <c r="AF26" i="1" l="1"/>
  <c r="AD11" i="10"/>
  <c r="AD7" i="13" s="1"/>
  <c r="U5" i="17"/>
  <c r="W8" i="1"/>
  <c r="S19" i="10"/>
  <c r="S18" i="10"/>
  <c r="S12" i="13" s="1"/>
  <c r="S7" i="10"/>
  <c r="S6" i="10"/>
  <c r="S5" i="10"/>
  <c r="S4" i="10"/>
  <c r="S3" i="10"/>
  <c r="S2" i="10"/>
  <c r="S4" i="13" s="1"/>
  <c r="T57" i="1"/>
  <c r="S20" i="10" s="1"/>
  <c r="T39" i="1"/>
  <c r="U39" i="1" s="1"/>
  <c r="V39" i="1" s="1"/>
  <c r="T38" i="1"/>
  <c r="U38" i="1" s="1"/>
  <c r="AG26" i="1" l="1"/>
  <c r="AE11" i="10"/>
  <c r="AE7" i="13" s="1"/>
  <c r="V5" i="17"/>
  <c r="U7" i="17"/>
  <c r="V9" i="17" s="1"/>
  <c r="V38" i="1"/>
  <c r="U14" i="10" s="1"/>
  <c r="U9" i="13" s="1"/>
  <c r="T14" i="10"/>
  <c r="T9" i="13" s="1"/>
  <c r="S14" i="10"/>
  <c r="S9" i="13" s="1"/>
  <c r="X8" i="1"/>
  <c r="Y8" i="1" s="1"/>
  <c r="S10" i="10"/>
  <c r="R19" i="10"/>
  <c r="R18" i="10"/>
  <c r="R12" i="13" s="1"/>
  <c r="R7" i="10"/>
  <c r="R6" i="10"/>
  <c r="R5" i="10"/>
  <c r="R4" i="10"/>
  <c r="R3" i="10"/>
  <c r="R2" i="10"/>
  <c r="R4" i="13" s="1"/>
  <c r="S40" i="1"/>
  <c r="R14" i="10" s="1"/>
  <c r="R9" i="13" s="1"/>
  <c r="S45" i="1"/>
  <c r="T45" i="1" s="1"/>
  <c r="S48" i="1"/>
  <c r="T48" i="1" s="1"/>
  <c r="S46" i="1"/>
  <c r="T46" i="1" s="1"/>
  <c r="U46" i="1" s="1"/>
  <c r="V46" i="1" s="1"/>
  <c r="W46" i="1" s="1"/>
  <c r="S26" i="1"/>
  <c r="T26" i="1" s="1"/>
  <c r="S57" i="1"/>
  <c r="R20" i="10" s="1"/>
  <c r="AH26" i="1" l="1"/>
  <c r="AF11" i="10"/>
  <c r="AF7" i="13" s="1"/>
  <c r="V7" i="17"/>
  <c r="W9" i="17" s="1"/>
  <c r="Z8" i="1"/>
  <c r="U45" i="1"/>
  <c r="S16" i="10"/>
  <c r="S11" i="13" s="1"/>
  <c r="U26" i="1"/>
  <c r="S11" i="10"/>
  <c r="S7" i="13" s="1"/>
  <c r="R16" i="10"/>
  <c r="R11" i="13" s="1"/>
  <c r="R11" i="10"/>
  <c r="R10" i="10"/>
  <c r="AG11" i="10" l="1"/>
  <c r="AG7" i="13" s="1"/>
  <c r="W5" i="17"/>
  <c r="AA8" i="1"/>
  <c r="R7" i="13"/>
  <c r="V26" i="1"/>
  <c r="U11" i="10" s="1"/>
  <c r="U7" i="13" s="1"/>
  <c r="T11" i="10"/>
  <c r="T7" i="13" s="1"/>
  <c r="V45" i="1"/>
  <c r="T16" i="10"/>
  <c r="T11" i="13" s="1"/>
  <c r="W7" i="17" l="1"/>
  <c r="X9" i="17" s="1"/>
  <c r="AB8" i="1"/>
  <c r="W45" i="1"/>
  <c r="U16" i="10"/>
  <c r="U11" i="13" s="1"/>
  <c r="Q19" i="10"/>
  <c r="Q18" i="10"/>
  <c r="Q12" i="13" s="1"/>
  <c r="Q16" i="10"/>
  <c r="Q11" i="13" s="1"/>
  <c r="Q11" i="10"/>
  <c r="Q7" i="10"/>
  <c r="Q6" i="10"/>
  <c r="Q5" i="10"/>
  <c r="Q4" i="10"/>
  <c r="Q3" i="10"/>
  <c r="Q2" i="10"/>
  <c r="Q4" i="13" s="1"/>
  <c r="P2" i="10"/>
  <c r="B23" i="14"/>
  <c r="B12" i="14"/>
  <c r="B5" i="14"/>
  <c r="B20" i="14"/>
  <c r="B15" i="14"/>
  <c r="X5" i="17" l="1"/>
  <c r="AC8" i="1"/>
  <c r="X45" i="1"/>
  <c r="Y45" i="1" s="1"/>
  <c r="V16" i="10"/>
  <c r="V11" i="13" s="1"/>
  <c r="R57" i="1"/>
  <c r="Q20" i="10" s="1"/>
  <c r="Q57" i="1"/>
  <c r="R31" i="1"/>
  <c r="R28" i="1"/>
  <c r="S28" i="1" s="1"/>
  <c r="T28" i="1" s="1"/>
  <c r="U28" i="1" s="1"/>
  <c r="V28" i="1" s="1"/>
  <c r="R29" i="1"/>
  <c r="S29" i="1" s="1"/>
  <c r="T29" i="1" s="1"/>
  <c r="U29" i="1" s="1"/>
  <c r="V29" i="1" s="1"/>
  <c r="R27" i="1"/>
  <c r="R38" i="1"/>
  <c r="Q14" i="10" s="1"/>
  <c r="Q9" i="13" s="1"/>
  <c r="R41" i="1"/>
  <c r="C95" i="8"/>
  <c r="C94" i="8"/>
  <c r="R24" i="1"/>
  <c r="R23" i="1"/>
  <c r="S23" i="1" s="1"/>
  <c r="T23" i="1" s="1"/>
  <c r="U23" i="1" s="1"/>
  <c r="V23" i="1" s="1"/>
  <c r="W23" i="1" s="1"/>
  <c r="R17" i="1"/>
  <c r="S17" i="1" s="1"/>
  <c r="T17" i="1" s="1"/>
  <c r="U17" i="1" s="1"/>
  <c r="V17" i="1" s="1"/>
  <c r="W17" i="1" s="1"/>
  <c r="X17" i="1" s="1"/>
  <c r="Y17" i="1" s="1"/>
  <c r="Z17" i="1" s="1"/>
  <c r="R9" i="1"/>
  <c r="R10" i="1"/>
  <c r="S10" i="1" s="1"/>
  <c r="T10" i="1" s="1"/>
  <c r="U10" i="1" s="1"/>
  <c r="V10" i="1" s="1"/>
  <c r="R11" i="1"/>
  <c r="S11" i="1" s="1"/>
  <c r="T11" i="1" s="1"/>
  <c r="U11" i="1" s="1"/>
  <c r="V11" i="1" s="1"/>
  <c r="R12" i="1"/>
  <c r="S12" i="1" s="1"/>
  <c r="T12" i="1" s="1"/>
  <c r="U12" i="1" s="1"/>
  <c r="V12" i="1" s="1"/>
  <c r="R13" i="1"/>
  <c r="S13" i="1" s="1"/>
  <c r="T13" i="1" s="1"/>
  <c r="U13" i="1" s="1"/>
  <c r="V13" i="1" s="1"/>
  <c r="W13" i="1" s="1"/>
  <c r="R8" i="1"/>
  <c r="S8" i="1" s="1"/>
  <c r="R15" i="1"/>
  <c r="S15" i="1" s="1"/>
  <c r="T15" i="1" s="1"/>
  <c r="U15" i="1" s="1"/>
  <c r="V15" i="1" s="1"/>
  <c r="W15" i="1" s="1"/>
  <c r="X15" i="1" s="1"/>
  <c r="Y15" i="1" s="1"/>
  <c r="Z15" i="1" s="1"/>
  <c r="R16" i="1"/>
  <c r="S16" i="1" s="1"/>
  <c r="T16" i="1" s="1"/>
  <c r="U16" i="1" s="1"/>
  <c r="V16" i="1" s="1"/>
  <c r="W16" i="1" s="1"/>
  <c r="X16" i="1" s="1"/>
  <c r="Y16" i="1" s="1"/>
  <c r="Z16" i="1" s="1"/>
  <c r="R14" i="1"/>
  <c r="S14" i="1" s="1"/>
  <c r="T14" i="1" s="1"/>
  <c r="U14" i="1" s="1"/>
  <c r="V14" i="1" s="1"/>
  <c r="W14" i="1" s="1"/>
  <c r="X14" i="1" s="1"/>
  <c r="Y14" i="1" s="1"/>
  <c r="Z14" i="1" s="1"/>
  <c r="R20" i="1"/>
  <c r="S20" i="1" s="1"/>
  <c r="T20" i="1" s="1"/>
  <c r="U20" i="1" s="1"/>
  <c r="V20" i="1" s="1"/>
  <c r="W20" i="1" s="1"/>
  <c r="X23" i="1" l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X13" i="1"/>
  <c r="Y13" i="1" s="1"/>
  <c r="X20" i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W28" i="1"/>
  <c r="W12" i="1"/>
  <c r="W11" i="1"/>
  <c r="W10" i="1"/>
  <c r="W29" i="1"/>
  <c r="X7" i="17"/>
  <c r="Y9" i="17" s="1"/>
  <c r="AD8" i="1"/>
  <c r="S24" i="1"/>
  <c r="Q9" i="10"/>
  <c r="Q6" i="13" s="1"/>
  <c r="S31" i="1"/>
  <c r="Q13" i="10"/>
  <c r="S41" i="1"/>
  <c r="Q15" i="10"/>
  <c r="Q10" i="13" s="1"/>
  <c r="S27" i="1"/>
  <c r="Q12" i="10"/>
  <c r="X16" i="10"/>
  <c r="X11" i="13" s="1"/>
  <c r="Z13" i="1"/>
  <c r="AA13" i="1" s="1"/>
  <c r="AB13" i="1" s="1"/>
  <c r="AC13" i="1" s="1"/>
  <c r="AD13" i="1" s="1"/>
  <c r="AE13" i="1" s="1"/>
  <c r="AF13" i="1" s="1"/>
  <c r="AG13" i="1" s="1"/>
  <c r="AH13" i="1" s="1"/>
  <c r="W16" i="10"/>
  <c r="W11" i="13" s="1"/>
  <c r="S9" i="1"/>
  <c r="Q8" i="10"/>
  <c r="Q5" i="13" s="1"/>
  <c r="Q10" i="10"/>
  <c r="Q7" i="13" s="1"/>
  <c r="C186" i="8"/>
  <c r="E185" i="8"/>
  <c r="E184" i="8"/>
  <c r="E183" i="8"/>
  <c r="E182" i="8"/>
  <c r="E181" i="8"/>
  <c r="E180" i="8"/>
  <c r="E178" i="8"/>
  <c r="E177" i="8"/>
  <c r="E176" i="8"/>
  <c r="E175" i="8"/>
  <c r="E174" i="8"/>
  <c r="E173" i="8"/>
  <c r="X28" i="1" l="1"/>
  <c r="Y28" i="1" s="1"/>
  <c r="Z28" i="1" s="1"/>
  <c r="AA28" i="1" s="1"/>
  <c r="AB28" i="1" s="1"/>
  <c r="AC28" i="1" s="1"/>
  <c r="AD28" i="1" s="1"/>
  <c r="X10" i="1"/>
  <c r="Y10" i="1" s="1"/>
  <c r="Z10" i="1" s="1"/>
  <c r="AA10" i="1" s="1"/>
  <c r="AB10" i="1" s="1"/>
  <c r="AC10" i="1" s="1"/>
  <c r="AD10" i="1" s="1"/>
  <c r="AE10" i="1" s="1"/>
  <c r="AF10" i="1" s="1"/>
  <c r="AG10" i="1" s="1"/>
  <c r="X12" i="1"/>
  <c r="Y12" i="1" s="1"/>
  <c r="Z12" i="1" s="1"/>
  <c r="AA12" i="1" s="1"/>
  <c r="AB12" i="1" s="1"/>
  <c r="AC12" i="1" s="1"/>
  <c r="AD12" i="1" s="1"/>
  <c r="AE12" i="1" s="1"/>
  <c r="AF12" i="1" s="1"/>
  <c r="AG12" i="1" s="1"/>
  <c r="X11" i="1"/>
  <c r="Y11" i="1" s="1"/>
  <c r="Z11" i="1" s="1"/>
  <c r="AA11" i="1" s="1"/>
  <c r="AB11" i="1" s="1"/>
  <c r="AC11" i="1" s="1"/>
  <c r="AD11" i="1" s="1"/>
  <c r="AE11" i="1" s="1"/>
  <c r="AF11" i="1" s="1"/>
  <c r="AG11" i="1" s="1"/>
  <c r="AG8" i="10"/>
  <c r="AG5" i="13" s="1"/>
  <c r="Y5" i="17"/>
  <c r="AE8" i="1"/>
  <c r="Q8" i="13"/>
  <c r="T41" i="1"/>
  <c r="R15" i="10"/>
  <c r="R10" i="13" s="1"/>
  <c r="T27" i="1"/>
  <c r="R12" i="10"/>
  <c r="T31" i="1"/>
  <c r="R13" i="10"/>
  <c r="T24" i="1"/>
  <c r="R9" i="10"/>
  <c r="R6" i="13" s="1"/>
  <c r="T9" i="1"/>
  <c r="R8" i="10"/>
  <c r="R5" i="13" s="1"/>
  <c r="C5" i="13"/>
  <c r="D5" i="13"/>
  <c r="E5" i="13"/>
  <c r="F5" i="13"/>
  <c r="G5" i="13"/>
  <c r="H5" i="13"/>
  <c r="I5" i="13"/>
  <c r="J5" i="13"/>
  <c r="B5" i="13"/>
  <c r="AF8" i="1" l="1"/>
  <c r="Y7" i="17"/>
  <c r="Z9" i="17" s="1"/>
  <c r="U24" i="1"/>
  <c r="T9" i="10" s="1"/>
  <c r="T6" i="13" s="1"/>
  <c r="S9" i="10"/>
  <c r="S6" i="13" s="1"/>
  <c r="U31" i="1"/>
  <c r="S13" i="10"/>
  <c r="R8" i="13"/>
  <c r="U27" i="1"/>
  <c r="S12" i="10"/>
  <c r="U41" i="1"/>
  <c r="S15" i="10"/>
  <c r="S10" i="13" s="1"/>
  <c r="U9" i="1"/>
  <c r="V9" i="1" s="1"/>
  <c r="S8" i="10"/>
  <c r="S5" i="13" s="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B3" i="10"/>
  <c r="C2" i="10"/>
  <c r="C4" i="13" s="1"/>
  <c r="D2" i="10"/>
  <c r="D4" i="13" s="1"/>
  <c r="E2" i="10"/>
  <c r="E4" i="13" s="1"/>
  <c r="F2" i="10"/>
  <c r="F4" i="13" s="1"/>
  <c r="G2" i="10"/>
  <c r="G4" i="13" s="1"/>
  <c r="H2" i="10"/>
  <c r="H4" i="13" s="1"/>
  <c r="I2" i="10"/>
  <c r="I4" i="13" s="1"/>
  <c r="J2" i="10"/>
  <c r="J4" i="13" s="1"/>
  <c r="K2" i="10"/>
  <c r="K4" i="13" s="1"/>
  <c r="L2" i="10"/>
  <c r="L4" i="13" s="1"/>
  <c r="M2" i="10"/>
  <c r="M4" i="13" s="1"/>
  <c r="N2" i="10"/>
  <c r="N4" i="13" s="1"/>
  <c r="O2" i="10"/>
  <c r="O4" i="13" s="1"/>
  <c r="P4" i="13"/>
  <c r="B2" i="10"/>
  <c r="B4" i="13" s="1"/>
  <c r="AG8" i="1" l="1"/>
  <c r="S8" i="13"/>
  <c r="Z5" i="17"/>
  <c r="V31" i="1"/>
  <c r="T13" i="10"/>
  <c r="V41" i="1"/>
  <c r="T15" i="10"/>
  <c r="T10" i="13" s="1"/>
  <c r="V27" i="1"/>
  <c r="T12" i="10"/>
  <c r="W9" i="1"/>
  <c r="U8" i="10"/>
  <c r="U5" i="13" s="1"/>
  <c r="T8" i="10"/>
  <c r="T5" i="13" s="1"/>
  <c r="A1" i="13"/>
  <c r="Z7" i="17" l="1"/>
  <c r="AA9" i="17" s="1"/>
  <c r="T8" i="13"/>
  <c r="W27" i="1"/>
  <c r="U12" i="10"/>
  <c r="W41" i="1"/>
  <c r="U15" i="10"/>
  <c r="U10" i="13" s="1"/>
  <c r="W31" i="1"/>
  <c r="U13" i="10"/>
  <c r="X9" i="1"/>
  <c r="Y9" i="1" s="1"/>
  <c r="V8" i="10"/>
  <c r="V5" i="13" s="1"/>
  <c r="P20" i="10"/>
  <c r="P19" i="10"/>
  <c r="P18" i="10"/>
  <c r="P12" i="13" s="1"/>
  <c r="P16" i="10"/>
  <c r="P11" i="13" s="1"/>
  <c r="P15" i="10"/>
  <c r="P10" i="13" s="1"/>
  <c r="P14" i="10"/>
  <c r="P9" i="13" s="1"/>
  <c r="P13" i="10"/>
  <c r="P12" i="10"/>
  <c r="P11" i="10"/>
  <c r="P9" i="10"/>
  <c r="P6" i="13" s="1"/>
  <c r="P8" i="10"/>
  <c r="P5" i="13" s="1"/>
  <c r="P7" i="10"/>
  <c r="P6" i="10"/>
  <c r="P5" i="10"/>
  <c r="P4" i="10"/>
  <c r="Q25" i="1"/>
  <c r="P10" i="10" s="1"/>
  <c r="AA5" i="17" l="1"/>
  <c r="X31" i="1"/>
  <c r="V13" i="10"/>
  <c r="X27" i="1"/>
  <c r="V12" i="10"/>
  <c r="X41" i="1"/>
  <c r="V15" i="10"/>
  <c r="V10" i="13" s="1"/>
  <c r="U8" i="13"/>
  <c r="Z9" i="1"/>
  <c r="X8" i="10"/>
  <c r="X5" i="13" s="1"/>
  <c r="P8" i="13"/>
  <c r="W8" i="10"/>
  <c r="W5" i="13" s="1"/>
  <c r="P7" i="13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C18" i="10"/>
  <c r="C12" i="13" s="1"/>
  <c r="D18" i="10"/>
  <c r="D12" i="13" s="1"/>
  <c r="E18" i="10"/>
  <c r="E12" i="13" s="1"/>
  <c r="F18" i="10"/>
  <c r="F12" i="13" s="1"/>
  <c r="G18" i="10"/>
  <c r="G12" i="13" s="1"/>
  <c r="H18" i="10"/>
  <c r="H12" i="13" s="1"/>
  <c r="I18" i="10"/>
  <c r="I12" i="13" s="1"/>
  <c r="J18" i="10"/>
  <c r="J12" i="13" s="1"/>
  <c r="K18" i="10"/>
  <c r="K12" i="13" s="1"/>
  <c r="L18" i="10"/>
  <c r="L12" i="13" s="1"/>
  <c r="M18" i="10"/>
  <c r="M12" i="13" s="1"/>
  <c r="N18" i="10"/>
  <c r="N12" i="13" s="1"/>
  <c r="O18" i="10"/>
  <c r="O12" i="13" s="1"/>
  <c r="B19" i="10"/>
  <c r="B18" i="10"/>
  <c r="B12" i="13" s="1"/>
  <c r="V8" i="13" l="1"/>
  <c r="AA7" i="17"/>
  <c r="AB9" i="17" s="1"/>
  <c r="AA9" i="1"/>
  <c r="Y8" i="10"/>
  <c r="Y5" i="13" s="1"/>
  <c r="Y41" i="1"/>
  <c r="W15" i="10"/>
  <c r="W10" i="13" s="1"/>
  <c r="Y27" i="1"/>
  <c r="Z27" i="1" s="1"/>
  <c r="W12" i="10"/>
  <c r="Y31" i="1"/>
  <c r="W13" i="10"/>
  <c r="K8" i="10"/>
  <c r="K5" i="13" s="1"/>
  <c r="M8" i="10"/>
  <c r="M5" i="13" s="1"/>
  <c r="O14" i="1"/>
  <c r="N8" i="10" s="1"/>
  <c r="N5" i="13" s="1"/>
  <c r="P23" i="1"/>
  <c r="P15" i="1"/>
  <c r="P12" i="1"/>
  <c r="P13" i="1"/>
  <c r="P9" i="1"/>
  <c r="P10" i="1"/>
  <c r="P11" i="1"/>
  <c r="P8" i="1"/>
  <c r="O16" i="10"/>
  <c r="O11" i="13" s="1"/>
  <c r="C16" i="10"/>
  <c r="C11" i="13" s="1"/>
  <c r="D16" i="10"/>
  <c r="D11" i="13" s="1"/>
  <c r="E16" i="10"/>
  <c r="E11" i="13" s="1"/>
  <c r="F16" i="10"/>
  <c r="F11" i="13" s="1"/>
  <c r="G16" i="10"/>
  <c r="G11" i="13" s="1"/>
  <c r="H16" i="10"/>
  <c r="H11" i="13" s="1"/>
  <c r="I16" i="10"/>
  <c r="I11" i="13" s="1"/>
  <c r="J16" i="10"/>
  <c r="J11" i="13" s="1"/>
  <c r="K16" i="10"/>
  <c r="K11" i="13" s="1"/>
  <c r="L16" i="10"/>
  <c r="L11" i="13" s="1"/>
  <c r="M16" i="10"/>
  <c r="M11" i="13" s="1"/>
  <c r="N16" i="10"/>
  <c r="N11" i="13" s="1"/>
  <c r="B16" i="10"/>
  <c r="B11" i="13" s="1"/>
  <c r="C15" i="10"/>
  <c r="C10" i="13" s="1"/>
  <c r="D15" i="10"/>
  <c r="D10" i="13" s="1"/>
  <c r="E15" i="10"/>
  <c r="E10" i="13" s="1"/>
  <c r="F15" i="10"/>
  <c r="F10" i="13" s="1"/>
  <c r="G15" i="10"/>
  <c r="G10" i="13" s="1"/>
  <c r="H15" i="10"/>
  <c r="H10" i="13" s="1"/>
  <c r="I15" i="10"/>
  <c r="I10" i="13" s="1"/>
  <c r="J15" i="10"/>
  <c r="J10" i="13" s="1"/>
  <c r="K15" i="10"/>
  <c r="K10" i="13" s="1"/>
  <c r="L15" i="10"/>
  <c r="L10" i="13" s="1"/>
  <c r="M15" i="10"/>
  <c r="M10" i="13" s="1"/>
  <c r="N15" i="10"/>
  <c r="N10" i="13" s="1"/>
  <c r="O15" i="10"/>
  <c r="O10" i="13" s="1"/>
  <c r="B15" i="10"/>
  <c r="B10" i="13" s="1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B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B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B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B7" i="10"/>
  <c r="C9" i="10"/>
  <c r="C6" i="13" s="1"/>
  <c r="D9" i="10"/>
  <c r="D6" i="13" s="1"/>
  <c r="E9" i="10"/>
  <c r="E6" i="13" s="1"/>
  <c r="F9" i="10"/>
  <c r="F6" i="13" s="1"/>
  <c r="G9" i="10"/>
  <c r="G6" i="13" s="1"/>
  <c r="H9" i="10"/>
  <c r="H6" i="13" s="1"/>
  <c r="I9" i="10"/>
  <c r="I6" i="13" s="1"/>
  <c r="J9" i="10"/>
  <c r="J6" i="13" s="1"/>
  <c r="K9" i="10"/>
  <c r="K6" i="13" s="1"/>
  <c r="L9" i="10"/>
  <c r="L6" i="13" s="1"/>
  <c r="M9" i="10"/>
  <c r="M6" i="13" s="1"/>
  <c r="N9" i="10"/>
  <c r="N6" i="13" s="1"/>
  <c r="O9" i="10"/>
  <c r="O6" i="13" s="1"/>
  <c r="B9" i="10"/>
  <c r="B6" i="13" s="1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B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B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B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B13" i="10"/>
  <c r="C14" i="10"/>
  <c r="C9" i="13" s="1"/>
  <c r="D14" i="10"/>
  <c r="D9" i="13" s="1"/>
  <c r="E14" i="10"/>
  <c r="E9" i="13" s="1"/>
  <c r="F14" i="10"/>
  <c r="F9" i="13" s="1"/>
  <c r="G14" i="10"/>
  <c r="G9" i="13" s="1"/>
  <c r="H14" i="10"/>
  <c r="H9" i="13" s="1"/>
  <c r="I14" i="10"/>
  <c r="I9" i="13" s="1"/>
  <c r="J14" i="10"/>
  <c r="J9" i="13" s="1"/>
  <c r="K14" i="10"/>
  <c r="K9" i="13" s="1"/>
  <c r="L14" i="10"/>
  <c r="L9" i="13" s="1"/>
  <c r="M14" i="10"/>
  <c r="M9" i="13" s="1"/>
  <c r="N14" i="10"/>
  <c r="N9" i="13" s="1"/>
  <c r="O14" i="10"/>
  <c r="O9" i="13" s="1"/>
  <c r="B14" i="10"/>
  <c r="B9" i="13" s="1"/>
  <c r="AA27" i="1" l="1"/>
  <c r="Y12" i="10"/>
  <c r="Y8" i="13" s="1"/>
  <c r="AB5" i="17"/>
  <c r="AB9" i="1"/>
  <c r="Z8" i="10"/>
  <c r="Z5" i="13" s="1"/>
  <c r="W8" i="13"/>
  <c r="X13" i="10"/>
  <c r="X12" i="10"/>
  <c r="X15" i="10"/>
  <c r="X10" i="13" s="1"/>
  <c r="F8" i="13"/>
  <c r="J7" i="13"/>
  <c r="N8" i="13"/>
  <c r="J8" i="13"/>
  <c r="N7" i="13"/>
  <c r="F7" i="13"/>
  <c r="M8" i="13"/>
  <c r="E8" i="13"/>
  <c r="I7" i="13"/>
  <c r="L8" i="13"/>
  <c r="D8" i="13"/>
  <c r="B7" i="13"/>
  <c r="H7" i="13"/>
  <c r="I8" i="13"/>
  <c r="M7" i="13"/>
  <c r="E7" i="13"/>
  <c r="K8" i="13"/>
  <c r="C8" i="13"/>
  <c r="O7" i="13"/>
  <c r="G7" i="13"/>
  <c r="B8" i="13"/>
  <c r="D7" i="13"/>
  <c r="H8" i="13"/>
  <c r="L7" i="13"/>
  <c r="O8" i="13"/>
  <c r="G8" i="13"/>
  <c r="K7" i="13"/>
  <c r="C7" i="13"/>
  <c r="P16" i="1"/>
  <c r="P14" i="1"/>
  <c r="O8" i="10" s="1"/>
  <c r="O5" i="13" s="1"/>
  <c r="P20" i="1"/>
  <c r="O57" i="1"/>
  <c r="N20" i="10" s="1"/>
  <c r="P57" i="1"/>
  <c r="O20" i="10" s="1"/>
  <c r="AB27" i="1" l="1"/>
  <c r="Z12" i="10"/>
  <c r="Z8" i="13" s="1"/>
  <c r="AB7" i="17"/>
  <c r="AC9" i="17" s="1"/>
  <c r="AC9" i="1"/>
  <c r="AA8" i="10"/>
  <c r="AA5" i="13" s="1"/>
  <c r="X8" i="13"/>
  <c r="C57" i="1"/>
  <c r="B20" i="10" s="1"/>
  <c r="M16" i="1"/>
  <c r="M20" i="1"/>
  <c r="M14" i="1"/>
  <c r="L8" i="10" s="1"/>
  <c r="L5" i="13" s="1"/>
  <c r="D57" i="1"/>
  <c r="C20" i="10" s="1"/>
  <c r="E57" i="1"/>
  <c r="D20" i="10" s="1"/>
  <c r="F57" i="1"/>
  <c r="E20" i="10" s="1"/>
  <c r="I57" i="1"/>
  <c r="H20" i="10" s="1"/>
  <c r="J57" i="1"/>
  <c r="I20" i="10" s="1"/>
  <c r="K57" i="1"/>
  <c r="J20" i="10" s="1"/>
  <c r="M57" i="1"/>
  <c r="L20" i="10" s="1"/>
  <c r="N57" i="1"/>
  <c r="M20" i="10" s="1"/>
  <c r="AC27" i="1" l="1"/>
  <c r="AA12" i="10"/>
  <c r="AA8" i="13" s="1"/>
  <c r="AC5" i="17"/>
  <c r="AD9" i="1"/>
  <c r="AB8" i="10"/>
  <c r="AB5" i="13" s="1"/>
  <c r="G57" i="1"/>
  <c r="F20" i="10" s="1"/>
  <c r="H57" i="1"/>
  <c r="G20" i="10" s="1"/>
  <c r="L57" i="1"/>
  <c r="K20" i="10" s="1"/>
  <c r="AD27" i="1" l="1"/>
  <c r="AC12" i="10" s="1"/>
  <c r="AC8" i="13" s="1"/>
  <c r="AB12" i="10"/>
  <c r="AB8" i="13" s="1"/>
  <c r="AC7" i="17"/>
  <c r="AD9" i="17" s="1"/>
  <c r="AE9" i="1"/>
  <c r="AC8" i="10"/>
  <c r="AC5" i="13" s="1"/>
  <c r="AF9" i="1" l="1"/>
  <c r="AD8" i="10"/>
  <c r="AD5" i="13" s="1"/>
  <c r="AD5" i="17"/>
  <c r="AG9" i="1" l="1"/>
  <c r="AE8" i="10"/>
  <c r="AE5" i="13" s="1"/>
  <c r="AD7" i="17"/>
  <c r="AE9" i="17" s="1"/>
  <c r="AF8" i="10" l="1"/>
  <c r="AF5" i="13" s="1"/>
  <c r="AE5" i="17"/>
  <c r="AE7" i="17" l="1"/>
  <c r="AF9" i="17" s="1"/>
  <c r="AF5" i="17" l="1"/>
  <c r="AF7" i="17" l="1"/>
  <c r="AG9" i="17" s="1"/>
  <c r="AG5" i="17" l="1"/>
  <c r="AG7" i="17" l="1"/>
  <c r="AH9" i="17" s="1"/>
  <c r="AH5" i="17" l="1"/>
  <c r="AH7" i="17" l="1"/>
  <c r="AI9" i="17" s="1"/>
  <c r="AI5" i="17" l="1"/>
  <c r="AI7" i="17" l="1"/>
  <c r="AJ9" i="17" s="1"/>
  <c r="AJ5" i="17" l="1"/>
  <c r="AJ7" i="17" l="1"/>
  <c r="AK9" i="17" s="1"/>
  <c r="AK5" i="17" l="1"/>
  <c r="AL5" i="17" l="1"/>
  <c r="AK7" i="17"/>
  <c r="AL9" i="17" s="1"/>
  <c r="AM5" i="17" l="1"/>
  <c r="AL7" i="17"/>
  <c r="AM9" i="17" s="1"/>
  <c r="AN5" i="17" l="1"/>
  <c r="AM7" i="17"/>
  <c r="AN9" i="17" s="1"/>
  <c r="AO5" i="17" l="1"/>
  <c r="AN7" i="17"/>
  <c r="AO9" i="17" s="1"/>
  <c r="AP5" i="17" l="1"/>
  <c r="AO7" i="17"/>
  <c r="AP9" i="17" s="1"/>
  <c r="AP7" i="17" l="1"/>
  <c r="AQ9" i="17" s="1"/>
  <c r="AQ5" i="17" l="1"/>
  <c r="AQ7" i="17" l="1"/>
  <c r="AR9" i="17" s="1"/>
  <c r="AR5" i="17" l="1"/>
  <c r="AR7" i="17" l="1"/>
  <c r="AS9" i="17" s="1"/>
  <c r="AS5" i="17" l="1"/>
  <c r="AS7" i="17" l="1"/>
  <c r="AT9" i="17" s="1"/>
  <c r="AT5" i="17" l="1"/>
  <c r="AU5" i="17" l="1"/>
  <c r="AT7" i="17"/>
  <c r="AU9" i="17" s="1"/>
  <c r="AU7" i="17" l="1"/>
  <c r="AV9" i="17" s="1"/>
  <c r="AV5" i="17" l="1"/>
  <c r="AV7" i="17" l="1"/>
  <c r="AW9" i="17" s="1"/>
  <c r="AW5" i="17" l="1"/>
  <c r="AW7" i="17" l="1"/>
  <c r="AX9" i="17" s="1"/>
  <c r="AX5" i="17" l="1"/>
  <c r="AX7" i="17" l="1"/>
  <c r="AY9" i="17" s="1"/>
  <c r="AY5" i="17" l="1"/>
  <c r="AY7" i="17" l="1"/>
  <c r="AZ9" i="17" s="1"/>
  <c r="AZ5" i="17" l="1"/>
  <c r="AZ7" i="17" l="1"/>
  <c r="BA9" i="17" s="1"/>
  <c r="BA5" i="17" l="1"/>
  <c r="BA7" i="17" l="1"/>
  <c r="BB9" i="17" s="1"/>
  <c r="BB5" i="17" l="1"/>
  <c r="BB7" i="17" l="1"/>
  <c r="BC9" i="17" s="1"/>
  <c r="BC5" i="17" l="1"/>
  <c r="BC7" i="17" l="1"/>
  <c r="BD9" i="17" s="1"/>
  <c r="BD5" i="17" l="1"/>
  <c r="BD7" i="17" l="1"/>
  <c r="BE9" i="17" s="1"/>
  <c r="BE5" i="17" l="1"/>
  <c r="BE7" i="17" l="1"/>
  <c r="BF9" i="17" s="1"/>
  <c r="BF5" i="17" l="1"/>
  <c r="BF7" i="17" l="1"/>
  <c r="BG9" i="17" s="1"/>
  <c r="BG5" i="17" l="1"/>
  <c r="BG7" i="17" l="1"/>
  <c r="BH9" i="17" s="1"/>
  <c r="BH5" i="17" l="1"/>
  <c r="BH7" i="17" s="1"/>
</calcChain>
</file>

<file path=xl/comments1.xml><?xml version="1.0" encoding="utf-8"?>
<comments xmlns="http://schemas.openxmlformats.org/spreadsheetml/2006/main">
  <authors>
    <author>Автор</author>
  </authors>
  <commentList>
    <comment ref="L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08.06.28
% ставка 4,75%
Ежемесячные %%</t>
        </r>
      </text>
    </comment>
    <comment ref="L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31.12.27
% ставка 6,25%
Ежеквартальные %%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01.06.48
% ставка 6,25%+инфляция+1%
Ежеквартальные %%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ЛИБОР+2,75, 0,25, 2,86
Ежегодные %%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ЛИБОР+3, 0,25, 2,86
Ежегодные %%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ЛИБОР+3,8, 0.25, 2.86
Ежегодные %%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30.12.30
% ставка 6%
Ежегодные %%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20.12.28
% ставка 6%
Ежегодные %%</t>
        </r>
      </text>
    </comment>
    <comment ref="L1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30.12.35
% ставка Инфляция+1%
Ежемесячные %%</t>
        </r>
      </text>
    </comment>
    <comment ref="L2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26.08.47
% ставка 5%
Ежемесячные %%</t>
        </r>
      </text>
    </comment>
    <comment ref="L2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21.11.42
% ставка 7.5(депозиты ЦБ)
Ежеквартальные %%</t>
        </r>
      </text>
    </comment>
    <comment ref="L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M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N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O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P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Q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L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M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N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O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P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Q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L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M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N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O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P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Q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L54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Курсовая разница +1,559,734 млн. руб.</t>
        </r>
      </text>
    </comment>
  </commentList>
</comments>
</file>

<file path=xl/sharedStrings.xml><?xml version="1.0" encoding="utf-8"?>
<sst xmlns="http://schemas.openxmlformats.org/spreadsheetml/2006/main" count="1230" uniqueCount="249">
  <si>
    <t>01.02.2023</t>
  </si>
  <si>
    <t>Евро, млн</t>
  </si>
  <si>
    <t>Китайский юань, млн</t>
  </si>
  <si>
    <t>Золото (обезличенное), кг</t>
  </si>
  <si>
    <t>Рубли, млн</t>
  </si>
  <si>
    <t>Счета в ЦБ РФ</t>
  </si>
  <si>
    <t>Долговые обязательства иностранных государств, млн. долл. США</t>
  </si>
  <si>
    <t>Ценные бумаги российских эмитентов, связанные с реализацией самоокупаемых инфраструктурных проектов, млн. руб.</t>
  </si>
  <si>
    <t>Ценные бумаги российских эмитентов, связанные с реализацией самоокупаемых инфраструктурных проектов, млн. долл. США</t>
  </si>
  <si>
    <t>Привилегированные акции кредитных организаций</t>
  </si>
  <si>
    <t>Субординированные депозиты в Банк ВТБ (ПАО) и Банк ГПБ (АО) в целях финансирования самоокупаемых инфраструктурных проектов, млн. руб.</t>
  </si>
  <si>
    <t>АО ДОМ.РФ, млн.руб</t>
  </si>
  <si>
    <t>ОАО РЖД, млн. руб</t>
  </si>
  <si>
    <t>Привилегированные акции</t>
  </si>
  <si>
    <t>Облигации</t>
  </si>
  <si>
    <t>АО Авиакомпания Сибирь, млн. руб</t>
  </si>
  <si>
    <t>АО ГТЛК, млн. руб</t>
  </si>
  <si>
    <t>ОАО АК Уральские авилинии, млн. руб</t>
  </si>
  <si>
    <t>Общий объем ФНБ, млн. руб</t>
  </si>
  <si>
    <t>Доля ВВП</t>
  </si>
  <si>
    <t>Общий объем ФНБ, млн. долл США</t>
  </si>
  <si>
    <t>Объем ликвидных активов Фонда</t>
  </si>
  <si>
    <t>Средства на банковских счетах в Банке России, млн. руб</t>
  </si>
  <si>
    <t>Средства на банковских счетах в Банке России, млн. долл США</t>
  </si>
  <si>
    <t>Депозиты и субординированные депозиты в ВЭБ.РФ</t>
  </si>
  <si>
    <t>Кредитование субъектов малого и среднего предпринимательства, млн.руб</t>
  </si>
  <si>
    <t>Обеспечение достаточности собственных средств (капитала) ВЭБ.РФ, млн. руб</t>
  </si>
  <si>
    <t>Не регламентировано (обкспечение достаточности ВЭБ.РФ), млн. руб</t>
  </si>
  <si>
    <t>01.03.2023</t>
  </si>
  <si>
    <t>01.07.2023</t>
  </si>
  <si>
    <t>Банк ВТБ, млн. руб</t>
  </si>
  <si>
    <t>Россельхозбанк, млн. руб</t>
  </si>
  <si>
    <t>Банк ГПБ, млн. руб</t>
  </si>
  <si>
    <t>Категория</t>
  </si>
  <si>
    <t>Активы</t>
  </si>
  <si>
    <t>Долговые обязательства иностранных государств</t>
  </si>
  <si>
    <t>Ценные бумаги российских эмитентов, связанные с реализацией самоокупаемых инфраструктурных проектов</t>
  </si>
  <si>
    <t>Обыкновенные акции</t>
  </si>
  <si>
    <t>Субординированные депозиты</t>
  </si>
  <si>
    <t>ООО НЛК-Финанс, млн. руб</t>
  </si>
  <si>
    <t>ООО ВК, млн. руб</t>
  </si>
  <si>
    <t>Объем активов Фонда</t>
  </si>
  <si>
    <t>Доля ликвидных средств в ВВП</t>
  </si>
  <si>
    <t>Доля фонда в ВВП</t>
  </si>
  <si>
    <t>Доля ликвидных средств в общем объеме Фонда</t>
  </si>
  <si>
    <t>Доля ликвидных средств в общем объеме Фонда в долл. США эквиваленте</t>
  </si>
  <si>
    <t>01.10.2023</t>
  </si>
  <si>
    <t>01.09.2023</t>
  </si>
  <si>
    <t>01.08.2023</t>
  </si>
  <si>
    <t>01.06.2023</t>
  </si>
  <si>
    <t>01.05.2023</t>
  </si>
  <si>
    <t>01.04.2023</t>
  </si>
  <si>
    <t>01.01.2023</t>
  </si>
  <si>
    <t>Кредитование АО ДОМ.РФ, млн. руб</t>
  </si>
  <si>
    <t>Проект Лизинг вагонов Московского метро (КЖЦ-1), млн. руб</t>
  </si>
  <si>
    <t>Проект Строительство нового аэропортового комплекса Центральный (г. Саратов), млн. руб</t>
  </si>
  <si>
    <t>Проект Лизинг вагонов Московского метро (КЖЦ-2), млн. руб</t>
  </si>
  <si>
    <t>Проект Обновление подвижного состава ГУП Петербургский метрополитен, млн. руб</t>
  </si>
  <si>
    <t>Субординированный депозит (Программа Фабрика проектного финансирования)</t>
  </si>
  <si>
    <t>Фунты стерлингов, млн</t>
  </si>
  <si>
    <t>Японские йены, млн</t>
  </si>
  <si>
    <t>01.10.2022</t>
  </si>
  <si>
    <t>01.11.2022</t>
  </si>
  <si>
    <t>01.12.2022</t>
  </si>
  <si>
    <t>«Центральная кольцевая автомобильная дорога (Московская область)»</t>
  </si>
  <si>
    <t>облигации</t>
  </si>
  <si>
    <t>ППК «Фонд развития территорий»</t>
  </si>
  <si>
    <t>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</t>
  </si>
  <si>
    <t>«Строительство автомобильной дороги «Казань - Екатеринбург» на участке Дюртюли - Ачит»</t>
  </si>
  <si>
    <t>АО «ГТЛК»</t>
  </si>
  <si>
    <t>«Приобретение воздушных судов для последующей передачи в лизинг национальному перевозчику в Дальневосточном федеральном округе»</t>
  </si>
  <si>
    <t>Год</t>
  </si>
  <si>
    <t>Месяц</t>
  </si>
  <si>
    <t>Инструмент</t>
  </si>
  <si>
    <t>Количество</t>
  </si>
  <si>
    <t>Получатель</t>
  </si>
  <si>
    <t>Программа</t>
  </si>
  <si>
    <t>Сентябрь</t>
  </si>
  <si>
    <t>«Программа льготного лизинга гражданских судов водного транспорта»</t>
  </si>
  <si>
    <t>Сумма, млн. руб</t>
  </si>
  <si>
    <t>Август</t>
  </si>
  <si>
    <t>ГК «Российские автомобильные дороги»</t>
  </si>
  <si>
    <t>ООО «Авиакапитал-Сервис»</t>
  </si>
  <si>
    <t>«Проект льготного лизинга отечественных воздушных судов»</t>
  </si>
  <si>
    <t>«Приобретение вертолетов отечественного производства для последующей передачи в лизинг для нужд российских авиакомпаний»</t>
  </si>
  <si>
    <t>ОАО «Ямал СПГ»</t>
  </si>
  <si>
    <t>ОАО АК «Уральские авиалинии»</t>
  </si>
  <si>
    <t>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</t>
  </si>
  <si>
    <t>Приобретение облигаций, август 2022 года</t>
  </si>
  <si>
    <t>Приобретение облигаций, июнь 2023 года</t>
  </si>
  <si>
    <t>Июль</t>
  </si>
  <si>
    <t>«Приобретение подвижного состава наземного общественного пассажирского транспорта для последующей передачи в лизинг»</t>
  </si>
  <si>
    <t>ООО «НЛК-Финанс»</t>
  </si>
  <si>
    <t>Приобретение облигаций, апрель 2023 года</t>
  </si>
  <si>
    <t>АО «Авиакомпания «Сибирь»</t>
  </si>
  <si>
    <t>Приобретение облигаций, июль 2022 года</t>
  </si>
  <si>
    <t>Июнь</t>
  </si>
  <si>
    <t>Май</t>
  </si>
  <si>
    <t>привилегированные акции</t>
  </si>
  <si>
    <t>ОАО «РЖД»</t>
  </si>
  <si>
    <t>«Развитие железнодорожной инфраструктуры Центрального транспортного узла»</t>
  </si>
  <si>
    <t>Апрель</t>
  </si>
  <si>
    <t>Март</t>
  </si>
  <si>
    <t>Февраль</t>
  </si>
  <si>
    <t>Декабрь</t>
  </si>
  <si>
    <t>«Строительство автомобильной дороги М-12 «Строящаяся скоростная автомобильная дорога Москва – Нижний Новгород – Казань»</t>
  </si>
  <si>
    <t>«Строительство автомобильной дороги М-11 «Нева», этап 3 на участке км 149 - км 208 (Обход г. Твери)»</t>
  </si>
  <si>
    <t>ООО «Инфраструктурные инвестиции - 3»</t>
  </si>
  <si>
    <t>«Строительство «интеллектуальных сетей», 2014 год</t>
  </si>
  <si>
    <t>Ноябрь</t>
  </si>
  <si>
    <t>ГК Фонд содействия реформированию жилищно-коммунального хозяйства</t>
  </si>
  <si>
    <t>Октябрь</t>
  </si>
  <si>
    <t>Банк ВТБ (ПАО), млн.руб*</t>
  </si>
  <si>
    <t>ООО «ЗапСибНефтехим»</t>
  </si>
  <si>
    <t>«Строительство интегрированного нефтехимического комплекса «Западно-Сибирский нефтехимический комбинат»</t>
  </si>
  <si>
    <t>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</t>
  </si>
  <si>
    <t>ПАО Аэрофлот, млн. Руб (1531234889 акций * 34,29 руб, 833333333 акций * 60 руб)</t>
  </si>
  <si>
    <t>* За счет субординированного депозита приобретение облигаций ГК "Российские автомобильные дороги" для реализации проекта «Центральная кольцевая автомобильная дорога (Московская область)», млн: 400 + 400 + 450 + 800 + 680 + 1350 + 500 + 2000 + 4000 + 2000</t>
  </si>
  <si>
    <t>Финансирование приобретения ВЭБ.РФ акций ГПБ, млн. руб**</t>
  </si>
  <si>
    <t>**В июне 2020 г. срок возврата депозита, размещенного в 2012 г. продлен до 8 июня 2028 г. при одновременном снижении процентной ставки с 6,25% до 4,75% годовых.</t>
  </si>
  <si>
    <t>ПАО Сбербанк, млн. руб (11293474001 * 189,44 руб)</t>
  </si>
  <si>
    <t>Январь</t>
  </si>
  <si>
    <t>Субординированные депозиты в Банке ГПБ (АО) в целях финансирования самоокупаемых инфраструктурных проектов, млн. руб.***</t>
  </si>
  <si>
    <t>АО «Атомэнергопром»</t>
  </si>
  <si>
    <t>«Сооружение АЭС «Ханхикиви-1» в Финляндии»</t>
  </si>
  <si>
    <t>ООО «Инфраструктурные инвестиции - 4»</t>
  </si>
  <si>
    <t>«Ликвидация цифрового неравенства в малонаселенных пунктах России»</t>
  </si>
  <si>
    <t>01.11.2023</t>
  </si>
  <si>
    <t>Проект комплекса наземного электрического транспорта в Нижнем Новгороде, млн. руб</t>
  </si>
  <si>
    <t>Volume of the National Wealth Fund, RUB mln</t>
  </si>
  <si>
    <t>Volume of the National Wealth Fund, USD mln</t>
  </si>
  <si>
    <t>Debt obligations of foreign countries, USD mln</t>
  </si>
  <si>
    <t>Securities of Russian issuers related to the implementation of self-sustaining infrastructure projects, RUB mln</t>
  </si>
  <si>
    <t>Securities of Russian issuers related to the implementation of self-sustaining infrastructure projects, USD mln</t>
  </si>
  <si>
    <t>Preferred shares of credit organizations, RUB mln</t>
  </si>
  <si>
    <t>Common stocks, RUB mln</t>
  </si>
  <si>
    <t>Preferred shares, RUB mln</t>
  </si>
  <si>
    <t>Bonds, RUB mln</t>
  </si>
  <si>
    <t>Data</t>
  </si>
  <si>
    <t>Balance on Federal Treasury accounts with the Bank of the Russia, EUR mln</t>
  </si>
  <si>
    <t>Balance on Federal Treasury accounts with the Bank of the Russia, CNY mln</t>
  </si>
  <si>
    <t>Balance on Federal Treasury accounts with the Bank of the Russia, GOLD kg</t>
  </si>
  <si>
    <t>Balance on Federal Treasury accounts with the Bank of the Russia, RUB mln</t>
  </si>
  <si>
    <t>Volume of liquid assets of the Fund, RUB mln</t>
  </si>
  <si>
    <t>Volume of liquid assets of the Fund, USD mln</t>
  </si>
  <si>
    <t>Share of liquid assets in the total Fund in USD equivalent</t>
  </si>
  <si>
    <t>01.12.2023</t>
  </si>
  <si>
    <t>Deposits and subordinated debt with VEB_RF, RUB mln</t>
  </si>
  <si>
    <t>CBR exchange rate for USD</t>
  </si>
  <si>
    <t>Preferred shares and subordinated debt of credit organizations</t>
  </si>
  <si>
    <t>Liquid assets of the Fund</t>
  </si>
  <si>
    <t>Bonds</t>
  </si>
  <si>
    <t>Preferred shares</t>
  </si>
  <si>
    <t>Common stocks</t>
  </si>
  <si>
    <t>Securities related to the implementation of infrastructure projects</t>
  </si>
  <si>
    <t>Debt obligations of foreign countries</t>
  </si>
  <si>
    <t>Deposits and subordinated debt with VEB_RF</t>
  </si>
  <si>
    <t>Entity</t>
  </si>
  <si>
    <t>RUB, mln</t>
  </si>
  <si>
    <t>Sberbank</t>
  </si>
  <si>
    <t>RZD</t>
  </si>
  <si>
    <t>VEB.RF</t>
  </si>
  <si>
    <t>Сумма по полю Сумма, млн. руб</t>
  </si>
  <si>
    <t>Названия строк</t>
  </si>
  <si>
    <t>Общий итог</t>
  </si>
  <si>
    <t>(пусто)</t>
  </si>
  <si>
    <t>#</t>
  </si>
  <si>
    <t>Avtodor</t>
  </si>
  <si>
    <t>VTB</t>
  </si>
  <si>
    <t>Ukraine</t>
  </si>
  <si>
    <t>NLK-Finance</t>
  </si>
  <si>
    <t>Названия столбцов</t>
  </si>
  <si>
    <t>Yamal LNG</t>
  </si>
  <si>
    <t>GTLK</t>
  </si>
  <si>
    <t>Avia Capital Services</t>
  </si>
  <si>
    <t>DOM.RF</t>
  </si>
  <si>
    <t>Territory Development Fund</t>
  </si>
  <si>
    <t>Aeroflot</t>
  </si>
  <si>
    <t>Vkontakte (VK)</t>
  </si>
  <si>
    <t>Atomenergoprom</t>
  </si>
  <si>
    <t>RSHB</t>
  </si>
  <si>
    <t>II-4</t>
  </si>
  <si>
    <t>Gazprombank</t>
  </si>
  <si>
    <t>01.01.2024</t>
  </si>
  <si>
    <t>Rosteh</t>
  </si>
  <si>
    <t>01.02.2024</t>
  </si>
  <si>
    <t>01.03.2024</t>
  </si>
  <si>
    <t>01.04.2024</t>
  </si>
  <si>
    <t>01.05.2024</t>
  </si>
  <si>
    <t>Проект Комплекс по переработке этансодержащего газа в п. Усть-Луга</t>
  </si>
  <si>
    <t>Other RUS issuers</t>
  </si>
  <si>
    <t>Проект</t>
  </si>
  <si>
    <t>СПГ-завод в составе КПЭГ в Усть-Луге</t>
  </si>
  <si>
    <t>Иные ссылки</t>
  </si>
  <si>
    <t>Neftegaz.RU</t>
  </si>
  <si>
    <t>Общий объем, млн руб</t>
  </si>
  <si>
    <t>Объем ФНБ, млн. руб</t>
  </si>
  <si>
    <t>Профинансировано, млн. руб.</t>
  </si>
  <si>
    <t>Доля профинансированного</t>
  </si>
  <si>
    <t>Осталось профинансировать</t>
  </si>
  <si>
    <t>Срок реализации проекта</t>
  </si>
  <si>
    <t>2021-2027</t>
  </si>
  <si>
    <t>Участники</t>
  </si>
  <si>
    <t>ООО «РусХимАльянс» (ПАО «Газпром» и АО «РусГаздобыча»), ООО «Балтийский Химический Комплекс» (АО «РусГаздобыча»)</t>
  </si>
  <si>
    <t>01.06.2024</t>
  </si>
  <si>
    <t>01.07.2024</t>
  </si>
  <si>
    <t>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</t>
  </si>
  <si>
    <t>ГК Ростех, млн. руб.</t>
  </si>
  <si>
    <t>01.08.2024</t>
  </si>
  <si>
    <t>Иные российские эмитенты, млн. руб.</t>
  </si>
  <si>
    <t>Иные российские эмитенты, млн. юаней</t>
  </si>
  <si>
    <t>Bonds, CNY mln</t>
  </si>
  <si>
    <t>Проект комплекса наземного электрического транспорта в Липецке, млн. руб</t>
  </si>
  <si>
    <t>Проект комплекса наземного электрического транспорта в Курске, млн. руб</t>
  </si>
  <si>
    <t>CBR exchange rate for CNY</t>
  </si>
  <si>
    <t>01.09.2024</t>
  </si>
  <si>
    <t>01.10.2024</t>
  </si>
  <si>
    <t>01.11.2024</t>
  </si>
  <si>
    <t>01.12.2024</t>
  </si>
  <si>
    <t>*** облигации ГК «Автодор» в целях финансирования инфраструктурного проекта «Центральная кольцевая автомобильная дорога (Московская область)» 2017 год</t>
  </si>
  <si>
    <t>01.01.2025</t>
  </si>
  <si>
    <t>ГК Ростех</t>
  </si>
  <si>
    <t>«Комплексная программа по расширению производства воздушных судов, авиационных двигателей, приборов и агрегатов, в том числе в целях создания системы послепродажного обслуживания гражданских воздушных судов</t>
  </si>
  <si>
    <t>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</t>
  </si>
  <si>
    <t>Mayak FSUE</t>
  </si>
  <si>
    <t>Ростех</t>
  </si>
  <si>
    <t>YtY</t>
  </si>
  <si>
    <t>MtM</t>
  </si>
  <si>
    <t>01.02.2025</t>
  </si>
  <si>
    <t>апрель 2024</t>
  </si>
  <si>
    <t>кумулятивный</t>
  </si>
  <si>
    <t>Капитализацция проентов по проекту в Усть-Луге</t>
  </si>
  <si>
    <t>Расчет капитализации проентов по Усть-Луге</t>
  </si>
  <si>
    <t>01.03.2025</t>
  </si>
  <si>
    <t>Ж/Д Москва - СПб</t>
  </si>
  <si>
    <t>2024-2027</t>
  </si>
  <si>
    <t>К финансированию в 2025 г</t>
  </si>
  <si>
    <t>ООО "ВСМ Две Столиы"</t>
  </si>
  <si>
    <t>01.04.2025</t>
  </si>
  <si>
    <t>01.05.2025</t>
  </si>
  <si>
    <t>Subordinated debt of the banks, RUB mln</t>
  </si>
  <si>
    <t>Субординированный депозит в ПАО Сбербанк в целях финансирования «Москва - Санкт-Петербург» проекта, млн. руб.****</t>
  </si>
  <si>
    <t>**** инфраструктурного проекта «Финансирование, создание и эксплуатация инфраструктуры высокоскоростного железнодорожного транспорта общего пользования от станции Крюково (Алабушево) до станции Санкт-Петербург-Главный, приобретение и эксплуатация высокоскоростного железнодорожного подвижного состава, предназначенного для перевозки пассажиров и (или) багажа на созданной инфраструктуре по маршруту «Москва - Санкт-Петербург» на срок до декабря 2049 г. с ежеквартальной уплатой процентов по ставке 1 % годовых (в течение 10 лет с даты выдачи первого транша проценты капитализируются) – в части средств, фактически направленных на финансирование указанного инфраструктурного проекта, и по ставке, равной процентной ставке, установленной Банком России при проведении депозитных операций по фиксированным процентным ставкам, – в части средств, временно не направленных на финансирование указанного инфраструктурного проекта и размещаемых в Банке России и (или) системно значимых кредитных организациях в рамках операций по управлению ликвидностью</t>
  </si>
  <si>
    <t>01.06.2025</t>
  </si>
  <si>
    <t>Субординированный депозит в Банке ВТБ (ПАО) в целях финансирования «Москва - Санкт-Петербург» проекта, млн. руб.****</t>
  </si>
  <si>
    <t>Субординированный депозит в Банке ГПБ (АО) в целях финансирования «Москва - Санкт-Петербург» проекта, млн. руб.****</t>
  </si>
  <si>
    <t>Субординированный депозит в ПАО «Совкомбанк» в целях финансирования «Москва - Санкт-Петербург» проекта, млн. руб.****</t>
  </si>
  <si>
    <t>Sovkombank</t>
  </si>
  <si>
    <t>01.07.2025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</si>
</sst>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 Light"/>
      <family val="2"/>
      <charset val="204"/>
      <scheme val="major"/>
    </font>
    <font>
      <sz val="10"/>
      <color rgb="FF2A3143"/>
      <name val="Calibri Light"/>
      <family val="2"/>
      <charset val="204"/>
      <scheme val="maj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3" borderId="0" xfId="0" applyFill="1"/>
    <xf numFmtId="165" fontId="0" fillId="0" borderId="0" xfId="0" applyNumberFormat="1" applyFill="1"/>
    <xf numFmtId="0" fontId="3" fillId="0" borderId="0" xfId="0" applyFont="1"/>
    <xf numFmtId="0" fontId="4" fillId="0" borderId="0" xfId="0" applyFont="1"/>
    <xf numFmtId="1" fontId="3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5" fillId="2" borderId="0" xfId="0" applyNumberFormat="1" applyFont="1" applyFill="1"/>
    <xf numFmtId="0" fontId="0" fillId="0" borderId="0" xfId="0" applyFill="1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2" borderId="0" xfId="0" applyNumberFormat="1" applyFill="1"/>
    <xf numFmtId="166" fontId="0" fillId="2" borderId="0" xfId="0" applyNumberFormat="1" applyFill="1"/>
    <xf numFmtId="0" fontId="7" fillId="0" borderId="1" xfId="0" applyFont="1" applyBorder="1" applyAlignment="1">
      <alignment wrapText="1"/>
    </xf>
    <xf numFmtId="0" fontId="8" fillId="0" borderId="1" xfId="1" applyFont="1" applyBorder="1" applyAlignment="1">
      <alignment wrapText="1"/>
    </xf>
    <xf numFmtId="0" fontId="8" fillId="0" borderId="1" xfId="1" applyFont="1" applyFill="1" applyBorder="1" applyAlignment="1">
      <alignment wrapText="1"/>
    </xf>
    <xf numFmtId="0" fontId="7" fillId="0" borderId="1" xfId="0" applyFont="1" applyBorder="1"/>
    <xf numFmtId="0" fontId="8" fillId="0" borderId="1" xfId="1" applyFont="1" applyBorder="1"/>
    <xf numFmtId="0" fontId="7" fillId="3" borderId="1" xfId="0" applyFont="1" applyFill="1" applyBorder="1" applyAlignment="1">
      <alignment horizontal="center" vertical="center" wrapText="1"/>
    </xf>
    <xf numFmtId="9" fontId="7" fillId="0" borderId="1" xfId="0" applyNumberFormat="1" applyFont="1" applyBorder="1" applyAlignment="1">
      <alignment wrapText="1"/>
    </xf>
    <xf numFmtId="9" fontId="7" fillId="0" borderId="1" xfId="0" applyNumberFormat="1" applyFont="1" applyBorder="1"/>
    <xf numFmtId="0" fontId="7" fillId="2" borderId="1" xfId="0" applyFont="1" applyFill="1" applyBorder="1" applyAlignment="1">
      <alignment horizontal="center" vertical="center" wrapText="1"/>
    </xf>
    <xf numFmtId="0" fontId="6" fillId="0" borderId="1" xfId="1" applyFill="1" applyBorder="1" applyAlignment="1">
      <alignment wrapText="1"/>
    </xf>
    <xf numFmtId="0" fontId="0" fillId="2" borderId="0" xfId="0" applyFill="1" applyAlignment="1">
      <alignment horizontal="left"/>
    </xf>
  </cellXfs>
  <cellStyles count="2">
    <cellStyle name="Гиперссылка" xfId="1" builtinId="8"/>
    <cellStyle name="Обычный" xfId="0" builtinId="0"/>
  </cellStyles>
  <dxfs count="21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845.254397453704" createdVersion="6" refreshedVersion="6" minRefreshableVersion="3" recordCount="186">
  <cacheSource type="worksheet">
    <worksheetSource ref="A1:G1048576" sheet="infra_invest"/>
  </cacheSource>
  <cacheFields count="7">
    <cacheField name="Год" numFmtId="0">
      <sharedItems containsString="0" containsBlank="1" containsNumber="1" containsInteger="1" minValue="2014" maxValue="2025"/>
    </cacheField>
    <cacheField name="Месяц" numFmtId="0">
      <sharedItems containsBlank="1"/>
    </cacheField>
    <cacheField name="Сумма, млн. руб" numFmtId="0">
      <sharedItems containsString="0" containsBlank="1" containsNumber="1" minValue="-141802" maxValue="123643"/>
    </cacheField>
    <cacheField name="Инструмент" numFmtId="0">
      <sharedItems containsBlank="1" count="3">
        <s v="облигации"/>
        <s v="привилегированные акции"/>
        <m/>
      </sharedItems>
    </cacheField>
    <cacheField name="Количество" numFmtId="0">
      <sharedItems containsString="0" containsBlank="1" containsNumber="1" minValue="1" maxValue="123643009"/>
    </cacheField>
    <cacheField name="Получатель" numFmtId="0">
      <sharedItems containsBlank="1" count="17">
        <s v="ГК «Российские автомобильные дороги»"/>
        <s v="АО «ГТЛК»"/>
        <s v="ООО «НЛК-Финанс»"/>
        <s v="ППК «Фонд развития территорий»"/>
        <s v="ГК Ростех"/>
        <s v="ОАО «РЖД»"/>
        <s v="ООО «Авиакапитал-Сервис»"/>
        <s v="ГК Фонд содействия реформированию жилищно-коммунального хозяйства"/>
        <s v="ООО «ЗапСибНефтехим»"/>
        <s v="ОАО «Ямал СПГ»"/>
        <s v="АО «Атомэнергопром»"/>
        <s v="ООО «Инфраструктурные инвестиции - 3»"/>
        <s v="ООО «Инфраструктурные инвестиции - 4»"/>
        <s v="ОАО АК «Уральские авиалинии»"/>
        <s v="АО «Авиакомпания «Сибирь»"/>
        <m/>
        <s v="Получатель" u="1"/>
      </sharedItems>
    </cacheField>
    <cacheField name="Программа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2025"/>
    <s v="Июнь"/>
    <n v="-1.2"/>
    <x v="0"/>
    <m/>
    <x v="0"/>
    <s v="«Строительство автомобильной дороги М-12 «Строящаяся скоростная автомобильная дорога Москва – Нижний Новгород – Казань»"/>
  </r>
  <r>
    <n v="2025"/>
    <s v="Июнь"/>
    <n v="-15.8"/>
    <x v="0"/>
    <m/>
    <x v="1"/>
    <s v="«Программа льготного лизинга гражданских судов водного транспорта»"/>
  </r>
  <r>
    <n v="2025"/>
    <s v="Июнь"/>
    <n v="-76.2"/>
    <x v="0"/>
    <m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5"/>
    <s v="Июнь"/>
    <n v="-178.4"/>
    <x v="0"/>
    <m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5"/>
    <s v="Июнь"/>
    <n v="-326.3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Июнь"/>
    <n v="-2666.7"/>
    <x v="0"/>
    <m/>
    <x v="2"/>
    <m/>
  </r>
  <r>
    <n v="2025"/>
    <s v="Июнь"/>
    <n v="3371.7"/>
    <x v="0"/>
    <m/>
    <x v="1"/>
    <s v="«Программа льготного лизинга гражданских судов водного транспорта»"/>
  </r>
  <r>
    <n v="2025"/>
    <s v="Май"/>
    <n v="-0.4"/>
    <x v="0"/>
    <m/>
    <x v="0"/>
    <s v="«Строительство автомобильной дороги М-12 «Строящаяся скоростная автомобильная дорога Москва – Нижний Новгород – Казань»"/>
  </r>
  <r>
    <n v="2025"/>
    <s v="Май"/>
    <n v="-180.1"/>
    <x v="0"/>
    <m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5"/>
    <s v="Май"/>
    <n v="-612.1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Май"/>
    <n v="-1020.1"/>
    <x v="0"/>
    <m/>
    <x v="2"/>
    <m/>
  </r>
  <r>
    <n v="2025"/>
    <s v="Май"/>
    <n v="660.2"/>
    <x v="0"/>
    <m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"/>
  </r>
  <r>
    <n v="2025"/>
    <s v="Май"/>
    <n v="6579.2"/>
    <x v="0"/>
    <m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5"/>
    <s v="Апрель"/>
    <n v="-464.4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Апрель"/>
    <n v="-804.7"/>
    <x v="0"/>
    <m/>
    <x v="2"/>
    <m/>
  </r>
  <r>
    <n v="2025"/>
    <s v="Апрель"/>
    <n v="374"/>
    <x v="0"/>
    <m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"/>
  </r>
  <r>
    <n v="2025"/>
    <s v="Март"/>
    <n v="-1.2"/>
    <x v="0"/>
    <m/>
    <x v="0"/>
    <s v="«Строительство автомобильной дороги М-12 «Строящаяся скоростная автомобильная дорога Москва – Нижний Новгород – Казань»"/>
  </r>
  <r>
    <n v="2025"/>
    <s v="Март"/>
    <n v="-5.9"/>
    <x v="0"/>
    <m/>
    <x v="1"/>
    <s v="«Программа льготного лизинга гражданских судов водного транспорта»"/>
  </r>
  <r>
    <n v="2025"/>
    <s v="Март"/>
    <n v="-128.19999999999999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Март"/>
    <n v="-2666.7"/>
    <x v="0"/>
    <m/>
    <x v="2"/>
    <m/>
  </r>
  <r>
    <n v="2025"/>
    <s v="Март"/>
    <n v="2563"/>
    <x v="0"/>
    <m/>
    <x v="1"/>
    <s v="«Программа льготного лизинга гражданских судов водного транспорта»"/>
  </r>
  <r>
    <n v="2025"/>
    <s v="Февраль"/>
    <n v="-0.4"/>
    <x v="0"/>
    <m/>
    <x v="0"/>
    <s v="«Строительство автомобильной дороги М-12 «Строящаяся скоростная автомобильная дорога Москва – Нижний Новгород – Казань»"/>
  </r>
  <r>
    <n v="2025"/>
    <s v="Февраль"/>
    <n v="-179.9"/>
    <x v="0"/>
    <m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5"/>
    <s v="Февраль"/>
    <n v="-404.5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Февраль"/>
    <n v="-1020.1"/>
    <x v="0"/>
    <m/>
    <x v="2"/>
    <m/>
  </r>
  <r>
    <n v="2025"/>
    <s v="Январь"/>
    <n v="-254.1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Январь"/>
    <n v="-804.7"/>
    <x v="0"/>
    <m/>
    <x v="2"/>
    <m/>
  </r>
  <r>
    <n v="2024"/>
    <s v="Декабрь"/>
    <n v="-5.4"/>
    <x v="0"/>
    <m/>
    <x v="1"/>
    <s v="«Программа льготного лизинга гражданских судов водного транспорта»"/>
  </r>
  <r>
    <n v="2024"/>
    <s v="Декабрь"/>
    <n v="-126.8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Декабрь"/>
    <n v="-2666.7"/>
    <x v="0"/>
    <m/>
    <x v="2"/>
    <m/>
  </r>
  <r>
    <n v="2024"/>
    <s v="Декабрь"/>
    <n v="347.4"/>
    <x v="0"/>
    <n v="347398"/>
    <x v="1"/>
    <s v="«Программа льготного лизинга гражданских судов водного транспорта»"/>
  </r>
  <r>
    <n v="2024"/>
    <s v="Декабрь"/>
    <n v="564.4"/>
    <x v="0"/>
    <n v="564369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"/>
  </r>
  <r>
    <n v="2024"/>
    <s v="Декабрь"/>
    <n v="2519.9"/>
    <x v="0"/>
    <n v="2519900"/>
    <x v="0"/>
    <s v="«Центральная кольцевая автомобильная дорога (Московская область)»"/>
  </r>
  <r>
    <n v="2024"/>
    <s v="Декабрь"/>
    <n v="6286.5"/>
    <x v="0"/>
    <n v="6286533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Декабрь"/>
    <n v="32841.800000000003"/>
    <x v="0"/>
    <n v="32841792"/>
    <x v="0"/>
    <s v="«Строительство автомобильной дороги «Казань - Екатеринбург» на участке Дюртюли - Ачит»"/>
  </r>
  <r>
    <n v="2024"/>
    <s v="Декабрь"/>
    <n v="111093.5"/>
    <x v="0"/>
    <n v="111093512"/>
    <x v="4"/>
    <s v="«Комплексная программа по расширению производства воздушных судов, авиационных двигателей, приборов и агрегатов, в том числе в целях создания системы послепродажного обслуживания гражданских воздушных судов"/>
  </r>
  <r>
    <n v="2024"/>
    <s v="Ноябрь"/>
    <n v="-78.900000000000006"/>
    <x v="0"/>
    <m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4"/>
    <s v="Ноябрь"/>
    <n v="-218.5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Ноябрь"/>
    <n v="-1020.1"/>
    <x v="0"/>
    <m/>
    <x v="2"/>
    <m/>
  </r>
  <r>
    <n v="2024"/>
    <s v="Ноябрь"/>
    <n v="2093.4"/>
    <x v="0"/>
    <n v="2093362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Ноябрь"/>
    <n v="4779"/>
    <x v="0"/>
    <n v="4778963"/>
    <x v="1"/>
    <s v="«Программа льготного лизинга гражданских судов водного транспорта»"/>
  </r>
  <r>
    <n v="2024"/>
    <s v="Ноябрь"/>
    <n v="6400"/>
    <x v="0"/>
    <n v="6400000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Октябрь"/>
    <n v="-131.69999999999999"/>
    <x v="0"/>
    <m/>
    <x v="1"/>
    <m/>
  </r>
  <r>
    <n v="2024"/>
    <s v="Октябрь"/>
    <n v="-804.7"/>
    <x v="0"/>
    <m/>
    <x v="2"/>
    <m/>
  </r>
  <r>
    <n v="2024"/>
    <s v="Октябрь"/>
    <n v="6613"/>
    <x v="0"/>
    <n v="6613007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Октябрь"/>
    <n v="7048.9"/>
    <x v="0"/>
    <n v="7048930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Сентябрь"/>
    <n v="-123.9"/>
    <x v="0"/>
    <m/>
    <x v="1"/>
    <m/>
  </r>
  <r>
    <n v="2024"/>
    <s v="Сентябрь"/>
    <n v="-3086.3"/>
    <x v="0"/>
    <m/>
    <x v="2"/>
    <m/>
  </r>
  <r>
    <n v="2024"/>
    <s v="Сентябрь"/>
    <n v="400"/>
    <x v="0"/>
    <n v="400000"/>
    <x v="0"/>
    <s v="«Центральная кольцевая автомобильная дорога (Московская область)»"/>
  </r>
  <r>
    <n v="2024"/>
    <s v="Сентябрь"/>
    <n v="810.7"/>
    <x v="0"/>
    <n v="810724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Сентябрь"/>
    <n v="2651"/>
    <x v="0"/>
    <n v="2650967"/>
    <x v="0"/>
    <s v="«Строительство автомобильной дороги «Казань - Екатеринбург» на участке Дюртюли - Ачит»"/>
  </r>
  <r>
    <n v="2024"/>
    <s v="Сентябрь"/>
    <n v="3680.4"/>
    <x v="0"/>
    <n v="3680356"/>
    <x v="1"/>
    <s v="«Программа льготного лизинга гражданских судов водного транспорта»"/>
  </r>
  <r>
    <n v="2024"/>
    <s v="Август"/>
    <n v="-49.1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вгуст"/>
    <n v="-1020.1"/>
    <x v="0"/>
    <m/>
    <x v="2"/>
    <m/>
  </r>
  <r>
    <n v="2024"/>
    <s v="Август"/>
    <n v="1066.8"/>
    <x v="0"/>
    <n v="1066780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Август"/>
    <n v="5883.7"/>
    <x v="0"/>
    <n v="5883653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вгуст"/>
    <n v="19500"/>
    <x v="0"/>
    <n v="19500000"/>
    <x v="0"/>
    <s v="«Строительство автомобильной дороги «Казань - Екатеринбург» на участке Дюртюли - Ачит»"/>
  </r>
  <r>
    <n v="2024"/>
    <s v="Июль"/>
    <n v="-80.8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ль"/>
    <n v="-804.7"/>
    <x v="0"/>
    <m/>
    <x v="2"/>
    <m/>
  </r>
  <r>
    <n v="2024"/>
    <s v="Июль"/>
    <n v="500"/>
    <x v="0"/>
    <n v="500000"/>
    <x v="0"/>
    <s v="«Центральная кольцевая автомобильная дорога (Московская область)»"/>
  </r>
  <r>
    <n v="2024"/>
    <s v="Июль"/>
    <n v="914.2"/>
    <x v="0"/>
    <n v="914206"/>
    <x v="1"/>
    <s v="«Программа льготного лизинга гражданских судов водного транспорта»"/>
  </r>
  <r>
    <n v="2024"/>
    <s v="Июль"/>
    <n v="3873.6"/>
    <x v="0"/>
    <n v="3873626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нь"/>
    <n v="-122.3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нь"/>
    <n v="-2673.2"/>
    <x v="0"/>
    <m/>
    <x v="2"/>
    <s v="Приобретение облигаций, апрель 2023 года"/>
  </r>
  <r>
    <n v="2024"/>
    <s v="Июнь"/>
    <n v="494.7"/>
    <x v="0"/>
    <n v="494731"/>
    <x v="1"/>
    <s v="«Программа льготного лизинга гражданских судов водного транспорта»"/>
  </r>
  <r>
    <n v="2024"/>
    <s v="Июнь"/>
    <n v="500"/>
    <x v="0"/>
    <n v="500000"/>
    <x v="0"/>
    <s v="«Центральная кольцевая автомобильная дорога (Московская область)»"/>
  </r>
  <r>
    <n v="2024"/>
    <s v="Июнь"/>
    <n v="6948.3"/>
    <x v="0"/>
    <n v="6948286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Июнь"/>
    <n v="9584.6"/>
    <x v="0"/>
    <n v="9584568"/>
    <x v="0"/>
    <s v="«Строительство автомобильной дороги «Казань - Екатеринбург» на участке Дюртюли - Ачит»"/>
  </r>
  <r>
    <n v="2024"/>
    <s v="Май"/>
    <n v="-111.4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й"/>
    <n v="-1020.1"/>
    <x v="0"/>
    <n v="524221.36499999999"/>
    <x v="2"/>
    <s v="Приобретение облигаций, апрель 2023 года"/>
  </r>
  <r>
    <n v="2024"/>
    <s v="Май"/>
    <n v="798.8"/>
    <x v="0"/>
    <n v="798819"/>
    <x v="1"/>
    <s v="«Программа льготного лизинга гражданских судов водного транспорта»"/>
  </r>
  <r>
    <n v="2024"/>
    <s v="Май"/>
    <n v="5408.4"/>
    <x v="0"/>
    <n v="5408378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й"/>
    <n v="8686.1"/>
    <x v="0"/>
    <n v="8686092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4"/>
    <s v="Май"/>
    <n v="16290"/>
    <x v="0"/>
    <n v="16290000"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4"/>
    <s v="Апрель"/>
    <n v="-15.5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прель"/>
    <n v="1609.9"/>
    <x v="0"/>
    <n v="1609865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прель"/>
    <n v="1994.2"/>
    <x v="0"/>
    <n v="1994162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Март"/>
    <n v="-49.9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рт"/>
    <n v="1226.9000000000001"/>
    <x v="0"/>
    <n v="1226864"/>
    <x v="1"/>
    <s v="«Программа льготного лизинга гражданских судов водного транспорта»"/>
  </r>
  <r>
    <n v="2024"/>
    <s v="Март"/>
    <n v="1893"/>
    <x v="0"/>
    <n v="1893011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Март"/>
    <n v="12859.2"/>
    <x v="0"/>
    <n v="12859247"/>
    <x v="0"/>
    <s v="«Строительство автомобильной дороги «Казань - Екатеринбург» на участке Дюртюли - Ачит»"/>
  </r>
  <r>
    <n v="2024"/>
    <s v="Февраль"/>
    <n v="1580.4"/>
    <x v="0"/>
    <n v="1580376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Февраль"/>
    <n v="4447.1000000000004"/>
    <x v="0"/>
    <n v="4447120"/>
    <x v="1"/>
    <s v="«Программа льготного лизинга гражданских судов водного транспорта»"/>
  </r>
  <r>
    <n v="2023"/>
    <s v="Декабрь"/>
    <n v="76841.3"/>
    <x v="1"/>
    <n v="76841289"/>
    <x v="5"/>
    <s v="«Развитие железнодорожной инфраструктуры Центрального транспортного узла»"/>
  </r>
  <r>
    <n v="2023"/>
    <s v="Декабрь"/>
    <n v="7896.7"/>
    <x v="0"/>
    <n v="7896728"/>
    <x v="0"/>
    <s v="«Строительство автомобильной дороги М-11 «Нева», этап 3 на участке км 149 - км 208 (Обход г. Твери)»"/>
  </r>
  <r>
    <n v="2023"/>
    <s v="Декабрь"/>
    <n v="34497.5"/>
    <x v="0"/>
    <n v="34497540"/>
    <x v="6"/>
    <s v="«Проект льготного лизинга отечественных воздушных судов»"/>
  </r>
  <r>
    <n v="2023"/>
    <s v="Декабрь"/>
    <n v="2286.6999999999998"/>
    <x v="0"/>
    <n v="2286725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Декабрь"/>
    <n v="2926.5"/>
    <x v="0"/>
    <n v="2926533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Декабрь"/>
    <n v="49570"/>
    <x v="0"/>
    <n v="49569991"/>
    <x v="0"/>
    <s v="«Строительство автомобильной дороги «Казань - Екатеринбург» на участке Дюртюли - Ачит»"/>
  </r>
  <r>
    <n v="2023"/>
    <s v="Декабрь"/>
    <n v="1600"/>
    <x v="0"/>
    <n v="1600000"/>
    <x v="0"/>
    <s v="«Центральная кольцевая автомобильная дорога (Московская область)»"/>
  </r>
  <r>
    <n v="2023"/>
    <s v="Декабрь"/>
    <n v="8720.7000000000007"/>
    <x v="0"/>
    <n v="8720735"/>
    <x v="1"/>
    <s v="«Программа льготного лизинга гражданских судов водного транспорта»"/>
  </r>
  <r>
    <n v="2024"/>
    <s v="Январь"/>
    <n v="-62.1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Декабрь"/>
    <n v="-7243.9000000000233"/>
    <x v="0"/>
    <m/>
    <x v="0"/>
    <m/>
  </r>
  <r>
    <n v="2023"/>
    <s v="Декабрь"/>
    <n v="-48.665200000003097"/>
    <x v="0"/>
    <m/>
    <x v="1"/>
    <m/>
  </r>
  <r>
    <n v="2023"/>
    <s v="Ноябрь"/>
    <n v="10797.1"/>
    <x v="0"/>
    <n v="10797144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Ноябрь"/>
    <n v="1551.5"/>
    <x v="0"/>
    <n v="1551604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Ноябрь"/>
    <n v="12000"/>
    <x v="0"/>
    <n v="12000000"/>
    <x v="0"/>
    <s v="«Строительство автомобильной дороги «Казань - Екатеринбург» на участке Дюртюли - Ачит»"/>
  </r>
  <r>
    <n v="2023"/>
    <s v="Ноябрь"/>
    <n v="6572.5"/>
    <x v="0"/>
    <n v="6572481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Ноябрь"/>
    <n v="1800"/>
    <x v="0"/>
    <n v="1800000"/>
    <x v="0"/>
    <s v="«Центральная кольцевая автомобильная дорога (Московская область)»"/>
  </r>
  <r>
    <n v="2023"/>
    <s v="Октябрь"/>
    <n v="500"/>
    <x v="0"/>
    <n v="500000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Октябрь"/>
    <n v="21091.3"/>
    <x v="0"/>
    <n v="21091262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Октябрь"/>
    <n v="400"/>
    <x v="0"/>
    <n v="400000"/>
    <x v="0"/>
    <s v="«Центральная кольцевая автомобильная дорога (Московская область)»"/>
  </r>
  <r>
    <n v="2023"/>
    <s v="Сентябрь"/>
    <n v="1100"/>
    <x v="0"/>
    <n v="1100000"/>
    <x v="0"/>
    <s v="«Центральная кольцевая автомобильная дорога (Московская область)»"/>
  </r>
  <r>
    <n v="2023"/>
    <s v="Сентябрь"/>
    <n v="13767"/>
    <x v="0"/>
    <n v="13766983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Сентябрь"/>
    <n v="19984.900000000001"/>
    <x v="0"/>
    <n v="19984872"/>
    <x v="0"/>
    <s v="«Строительство автомобильной дороги «Казань - Екатеринбург» на участке Дюртюли - Ачит»"/>
  </r>
  <r>
    <n v="2023"/>
    <s v="Сентябрь"/>
    <n v="1E-3"/>
    <x v="0"/>
    <n v="1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Сентябрь"/>
    <n v="21237.1"/>
    <x v="0"/>
    <n v="21237134"/>
    <x v="1"/>
    <s v="«Программа льготного лизинга гражданских судов водного транспорта»"/>
  </r>
  <r>
    <n v="2023"/>
    <s v="Август"/>
    <n v="2241.6"/>
    <x v="0"/>
    <n v="2241607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Август"/>
    <n v="4600"/>
    <x v="0"/>
    <n v="4600000"/>
    <x v="0"/>
    <s v="«Строительство автомобильной дороги «Казань - Екатеринбург» на участке Дюртюли - Ачит»"/>
  </r>
  <r>
    <n v="2023"/>
    <s v="Август"/>
    <n v="123643"/>
    <x v="0"/>
    <n v="123643009"/>
    <x v="6"/>
    <s v="«Проект льготного лизинга отечественных воздушных судов»"/>
  </r>
  <r>
    <n v="2023"/>
    <s v="Август"/>
    <n v="12766"/>
    <x v="0"/>
    <n v="12766000"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3"/>
    <s v="Август"/>
    <n v="16054.2"/>
    <x v="0"/>
    <n v="16054214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Июль"/>
    <n v="3134.9"/>
    <x v="0"/>
    <n v="3134869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Июль"/>
    <n v="2000"/>
    <x v="0"/>
    <n v="2000000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Июнь"/>
    <n v="9361.9"/>
    <x v="0"/>
    <n v="9361922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Июнь"/>
    <n v="28300"/>
    <x v="0"/>
    <n v="28300000"/>
    <x v="0"/>
    <s v="«Строительство автомобильной дороги «Казань - Екатеринбург» на участке Дюртюли - Ачит»"/>
  </r>
  <r>
    <n v="2023"/>
    <s v="Июнь"/>
    <n v="17248.8"/>
    <x v="0"/>
    <n v="17248770"/>
    <x v="6"/>
    <s v="«Проект льготного лизинга отечественных воздушных судов»"/>
  </r>
  <r>
    <n v="2023"/>
    <s v="Июнь"/>
    <n v="1578.2"/>
    <x v="0"/>
    <n v="1578243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Июнь"/>
    <n v="15450"/>
    <x v="0"/>
    <n v="15450000"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3"/>
    <s v="Июнь"/>
    <n v="6622.2"/>
    <x v="0"/>
    <n v="6622214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Май"/>
    <n v="5675.3"/>
    <x v="0"/>
    <n v="5675261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Май"/>
    <n v="10000"/>
    <x v="1"/>
    <n v="10000000"/>
    <x v="5"/>
    <s v="«Развитие железнодорожной инфраструктуры Центрального транспортного узла»"/>
  </r>
  <r>
    <n v="2023"/>
    <s v="Апрель"/>
    <n v="6343.1"/>
    <x v="0"/>
    <n v="6343082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Апрель"/>
    <n v="1700"/>
    <x v="0"/>
    <n v="1700000"/>
    <x v="0"/>
    <s v="«Строительство автомобильной дороги «Казань - Екатеринбург» на участке Дюртюли - Ачит»"/>
  </r>
  <r>
    <n v="2023"/>
    <s v="Март"/>
    <n v="11886"/>
    <x v="0"/>
    <n v="11886000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Декабрь"/>
    <n v="115000"/>
    <x v="0"/>
    <n v="115000000"/>
    <x v="0"/>
    <s v="«Строительство автомобильной дороги М-12 «Строящаяся скоростная автомобильная дорога Москва – Нижний Новгород – Казань»"/>
  </r>
  <r>
    <n v="2022"/>
    <s v="Декабрь"/>
    <n v="66940.600000000006"/>
    <x v="0"/>
    <n v="66940563"/>
    <x v="0"/>
    <s v="«Строительство автомобильной дороги «Казань - Екатеринбург» на участке Дюртюли - Ачит»"/>
  </r>
  <r>
    <n v="2022"/>
    <s v="Декабрь"/>
    <n v="17703.3"/>
    <x v="0"/>
    <n v="17703272"/>
    <x v="0"/>
    <s v="«Строительство автомобильной дороги М-11 «Нева», этап 3 на участке км 149 - км 208 (Обход г. Твери)»"/>
  </r>
  <r>
    <n v="2022"/>
    <s v="Ноябрь"/>
    <n v="35000"/>
    <x v="0"/>
    <n v="35000000"/>
    <x v="0"/>
    <s v="«Строительство автомобильной дороги М-12 «Строящаяся скоростная автомобильная дорога Москва – Нижний Новгород – Казань»"/>
  </r>
  <r>
    <n v="2022"/>
    <s v="Ноябрь"/>
    <n v="18300"/>
    <x v="1"/>
    <n v="18300000"/>
    <x v="5"/>
    <s v="«Развитие железнодорожной инфраструктуры Центрального транспортного узла»"/>
  </r>
  <r>
    <n v="2022"/>
    <s v="Ноябрь"/>
    <n v="12457.5"/>
    <x v="0"/>
    <n v="12457517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Октябрь"/>
    <n v="5031.2"/>
    <x v="0"/>
    <n v="5031235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Сентябрь"/>
    <n v="4607.3"/>
    <x v="0"/>
    <n v="4607263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Август"/>
    <n v="2078.6"/>
    <x v="0"/>
    <n v="2078621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Июль"/>
    <n v="1569.6"/>
    <x v="0"/>
    <n v="1569640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Июнь"/>
    <n v="4203.7"/>
    <x v="0"/>
    <n v="4203745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Май"/>
    <n v="3038"/>
    <x v="0"/>
    <n v="3037979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Апрель"/>
    <n v="4014"/>
    <x v="0"/>
    <n v="4014000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1"/>
    <s v="Июнь"/>
    <n v="13830"/>
    <x v="1"/>
    <n v="1383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1"/>
    <s v="Май"/>
    <n v="1670"/>
    <x v="1"/>
    <n v="167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Декабрь"/>
    <n v="24500"/>
    <x v="1"/>
    <n v="245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Август"/>
    <n v="2150"/>
    <x v="0"/>
    <n v="2150000"/>
    <x v="0"/>
    <s v="«Центральная кольцевая автомобильная дорога (Московская область)»"/>
  </r>
  <r>
    <n v="2020"/>
    <s v="Август"/>
    <n v="7359.9"/>
    <x v="1"/>
    <n v="73599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Июль"/>
    <n v="13600"/>
    <x v="0"/>
    <n v="13600000"/>
    <x v="0"/>
    <s v="«Центральная кольцевая автомобильная дорога (Московская область)»"/>
  </r>
  <r>
    <n v="2020"/>
    <s v="Июль"/>
    <n v="6500"/>
    <x v="1"/>
    <n v="65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Июнь"/>
    <n v="3000"/>
    <x v="0"/>
    <n v="3000000"/>
    <x v="0"/>
    <s v="«Центральная кольцевая автомобильная дорога (Московская область)»"/>
  </r>
  <r>
    <n v="2020"/>
    <s v="Май"/>
    <n v="6640.1"/>
    <x v="1"/>
    <n v="66401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Апрель"/>
    <n v="3000"/>
    <x v="0"/>
    <n v="3000000"/>
    <x v="0"/>
    <s v="«Центральная кольцевая автомобильная дорога (Московская область)»"/>
  </r>
  <r>
    <n v="2020"/>
    <s v="Февраль"/>
    <n v="6000"/>
    <x v="0"/>
    <n v="6000000"/>
    <x v="0"/>
    <s v="«Центральная кольцевая автомобильная дорога (Московская область)»"/>
  </r>
  <r>
    <n v="2019"/>
    <s v="Ноябрь"/>
    <n v="4000"/>
    <x v="0"/>
    <n v="4000000"/>
    <x v="0"/>
    <s v="«Центральная кольцевая автомобильная дорога (Московская область)»"/>
  </r>
  <r>
    <n v="2019"/>
    <s v="Ноябрь"/>
    <n v="4055.2"/>
    <x v="1"/>
    <n v="4055202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9"/>
    <s v="Октябрь"/>
    <n v="2500"/>
    <x v="0"/>
    <n v="2500000"/>
    <x v="0"/>
    <s v="«Центральная кольцевая автомобильная дорога (Московская область)»"/>
  </r>
  <r>
    <n v="2019"/>
    <s v="Октябрь"/>
    <n v="15444.8"/>
    <x v="1"/>
    <n v="15444798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9"/>
    <s v="Сентябрь"/>
    <n v="2000"/>
    <x v="0"/>
    <n v="2000000"/>
    <x v="0"/>
    <s v="«Центральная кольцевая автомобильная дорога (Московская область)»"/>
  </r>
  <r>
    <n v="2019"/>
    <s v="Июль"/>
    <n v="500"/>
    <x v="0"/>
    <n v="500000"/>
    <x v="0"/>
    <s v="«Центральная кольцевая автомобильная дорога (Московская область)»"/>
  </r>
  <r>
    <n v="2019"/>
    <s v="Июнь"/>
    <n v="2000"/>
    <x v="0"/>
    <n v="2000000"/>
    <x v="0"/>
    <s v="«Центральная кольцевая автомобильная дорога (Московская область)»"/>
  </r>
  <r>
    <n v="2019"/>
    <s v="Май"/>
    <n v="3000"/>
    <x v="0"/>
    <n v="3000000"/>
    <x v="0"/>
    <s v="«Центральная кольцевая автомобильная дорога (Московская область)»"/>
  </r>
  <r>
    <n v="2019"/>
    <s v="Январь"/>
    <n v="2000"/>
    <x v="0"/>
    <n v="2000000"/>
    <x v="0"/>
    <s v="«Центральная кольцевая автомобильная дорога (Московская область)»"/>
  </r>
  <r>
    <n v="2018"/>
    <s v="Декабрь"/>
    <n v="12240.8"/>
    <x v="0"/>
    <n v="12240800"/>
    <x v="0"/>
    <s v="«Центральная кольцевая автомобильная дорога (Московская область)»"/>
  </r>
  <r>
    <n v="2018"/>
    <s v="Декабрь"/>
    <n v="20000"/>
    <x v="1"/>
    <n v="200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8"/>
    <s v="Ноябрь"/>
    <n v="12759.2"/>
    <x v="0"/>
    <n v="12759200"/>
    <x v="0"/>
    <s v="«Центральная кольцевая автомобильная дорога (Московская область)»"/>
  </r>
  <r>
    <n v="2018"/>
    <s v="Октябрь"/>
    <n v="2000"/>
    <x v="0"/>
    <n v="2000000"/>
    <x v="0"/>
    <s v="«Центральная кольцевая автомобильная дорога (Московская область)»"/>
  </r>
  <r>
    <n v="2018"/>
    <s v="Сентябрь"/>
    <n v="2000"/>
    <x v="0"/>
    <n v="2000000"/>
    <x v="0"/>
    <s v="«Центральная кольцевая автомобильная дорога (Московская область)»"/>
  </r>
  <r>
    <n v="2017"/>
    <s v="Август"/>
    <n v="16710"/>
    <x v="0"/>
    <n v="16710000"/>
    <x v="0"/>
    <s v="«Центральная кольцевая автомобильная дорога (Московская область)»"/>
  </r>
  <r>
    <n v="2015"/>
    <s v="Декабрь"/>
    <n v="118600"/>
    <x v="0"/>
    <n v="1750000"/>
    <x v="8"/>
    <s v="«Строительство интегрированного нефтехимического комплекса «Западно-Сибирский нефтехимический комбинат»"/>
  </r>
  <r>
    <n v="2015"/>
    <s v="Ноябрь"/>
    <n v="75000"/>
    <x v="0"/>
    <n v="1156206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15"/>
    <s v="Март"/>
    <n v="50000"/>
    <x v="1"/>
    <n v="500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5"/>
    <s v="Март"/>
    <n v="57500"/>
    <x v="1"/>
    <n v="57500000"/>
    <x v="10"/>
    <s v="«Сооружение АЭС «Ханхикиви-1» в Финляндии»"/>
  </r>
  <r>
    <n v="2015"/>
    <s v="Февраль"/>
    <n v="75000"/>
    <x v="0"/>
    <n v="120702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14"/>
    <s v="Декабрь"/>
    <n v="1080"/>
    <x v="0"/>
    <n v="1080000"/>
    <x v="11"/>
    <s v="«Строительство «интеллектуальных сетей», 2014 год"/>
  </r>
  <r>
    <n v="2014"/>
    <s v="Декабрь"/>
    <n v="4050"/>
    <x v="0"/>
    <n v="4050000"/>
    <x v="12"/>
    <s v="«Ликвидация цифрового неравенства в малонаселенных пунктах России»"/>
  </r>
  <r>
    <n v="2023"/>
    <s v="Октябрь"/>
    <n v="-0.02"/>
    <x v="0"/>
    <n v="20000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Октябрь"/>
    <n v="-524.20000000000005"/>
    <x v="0"/>
    <n v="524221.36499999999"/>
    <x v="2"/>
    <s v="Приобретение облигаций, апрель 2023 года"/>
  </r>
  <r>
    <n v="2023"/>
    <s v="Сентябрь"/>
    <n v="-2298.9"/>
    <x v="0"/>
    <n v="2298929"/>
    <x v="13"/>
    <s v="Приобретение облигаций, август 2022 года"/>
  </r>
  <r>
    <n v="2023"/>
    <s v="Сентябрь"/>
    <n v="-1.5800000000000002E-2"/>
    <x v="0"/>
    <n v="15.8"/>
    <x v="1"/>
    <s v="Приобретение облигаций, июнь 2023 года"/>
  </r>
  <r>
    <n v="2023"/>
    <s v="Август"/>
    <n v="-6775.9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3"/>
    <s v="Июль"/>
    <n v="-524.20000000000005"/>
    <x v="0"/>
    <n v="524221.36499999999"/>
    <x v="2"/>
    <s v="Приобретение облигаций, апрель 2023 года"/>
  </r>
  <r>
    <n v="2023"/>
    <s v="Июль"/>
    <n v="-11851.9"/>
    <x v="0"/>
    <n v="11851945"/>
    <x v="14"/>
    <s v="Приобретение облигаций, июль 2022 года"/>
  </r>
  <r>
    <n v="2023"/>
    <s v="Июнь"/>
    <n v="-5498.3"/>
    <x v="0"/>
    <n v="67984.912799999991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3"/>
    <s v="Февраль"/>
    <n v="-5353.7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Декабрь"/>
    <n v="-4199.8"/>
    <x v="0"/>
    <n v="67984.912799999991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Декабрь"/>
    <n v="-1080"/>
    <x v="0"/>
    <n v="1080000"/>
    <x v="11"/>
    <s v="«Строительство «интеллектуальных сетей», 2014 год"/>
  </r>
  <r>
    <n v="2022"/>
    <s v="Август"/>
    <n v="-4284.2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Март"/>
    <n v="-6640.2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Февраль"/>
    <n v="-141802"/>
    <x v="0"/>
    <n v="1750000"/>
    <x v="8"/>
    <s v="«Строительство интегрированного нефтехимического комплекса «Западно-Сибирский нефтехимический комбинат»"/>
  </r>
  <r>
    <m/>
    <m/>
    <m/>
    <x v="2"/>
    <m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J20:N38" firstHeaderRow="1" firstDataRow="2" firstDataCol="1"/>
  <pivotFields count="7"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8">
        <item x="10"/>
        <item x="1"/>
        <item x="0"/>
        <item x="7"/>
        <item x="5"/>
        <item x="9"/>
        <item x="6"/>
        <item x="8"/>
        <item x="11"/>
        <item x="12"/>
        <item x="3"/>
        <item x="15"/>
        <item m="1" x="16"/>
        <item x="2"/>
        <item x="13"/>
        <item x="14"/>
        <item x="4"/>
        <item t="default"/>
      </items>
    </pivotField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Сумма по полю Сумма, млн. руб" fld="2" baseField="0" baseItem="379974688"/>
  </dataFields>
  <formats count="109">
    <format dxfId="217">
      <pivotArea dataOnly="0" labelOnly="1" fieldPosition="0">
        <references count="1">
          <reference field="5" count="1">
            <x v="2"/>
          </reference>
        </references>
      </pivotArea>
    </format>
    <format dxfId="216">
      <pivotArea dataOnly="0" labelOnly="1" fieldPosition="0">
        <references count="1">
          <reference field="5" count="1">
            <x v="6"/>
          </reference>
        </references>
      </pivotArea>
    </format>
    <format dxfId="215">
      <pivotArea dataOnly="0" labelOnly="1" fieldPosition="0">
        <references count="1">
          <reference field="5" count="1">
            <x v="1"/>
          </reference>
        </references>
      </pivotArea>
    </format>
    <format dxfId="214">
      <pivotArea dataOnly="0" labelOnly="1" fieldPosition="0">
        <references count="1">
          <reference field="5" count="1">
            <x v="9"/>
          </reference>
        </references>
      </pivotArea>
    </format>
    <format dxfId="213">
      <pivotArea dataOnly="0" labelOnly="1" fieldPosition="0">
        <references count="1">
          <reference field="5" count="1">
            <x v="10"/>
          </reference>
        </references>
      </pivotArea>
    </format>
    <format dxfId="212">
      <pivotArea dataOnly="0" labelOnly="1" fieldPosition="0">
        <references count="1">
          <reference field="5" count="1">
            <x v="3"/>
          </reference>
        </references>
      </pivotArea>
    </format>
    <format dxfId="211">
      <pivotArea dataOnly="0" labelOnly="1" fieldPosition="0">
        <references count="1">
          <reference field="5" count="1">
            <x v="4"/>
          </reference>
        </references>
      </pivotArea>
    </format>
    <format dxfId="210">
      <pivotArea dataOnly="0" labelOnly="1" fieldPosition="0">
        <references count="1">
          <reference field="5" count="1">
            <x v="0"/>
          </reference>
        </references>
      </pivotArea>
    </format>
    <format dxfId="209">
      <pivotArea dataOnly="0" labelOnly="1" fieldPosition="0">
        <references count="1">
          <reference field="5" count="0"/>
        </references>
      </pivotArea>
    </format>
    <format dxfId="208">
      <pivotArea dataOnly="0" labelOnly="1" fieldPosition="0">
        <references count="1">
          <reference field="5" count="1">
            <x v="1"/>
          </reference>
        </references>
      </pivotArea>
    </format>
    <format dxfId="207">
      <pivotArea dataOnly="0" labelOnly="1" fieldPosition="0">
        <references count="1">
          <reference field="5" count="1">
            <x v="2"/>
          </reference>
        </references>
      </pivotArea>
    </format>
    <format dxfId="206">
      <pivotArea dataOnly="0" labelOnly="1" fieldPosition="0">
        <references count="1">
          <reference field="5" count="1">
            <x v="3"/>
          </reference>
        </references>
      </pivotArea>
    </format>
    <format dxfId="205">
      <pivotArea dataOnly="0" labelOnly="1" fieldPosition="0">
        <references count="1">
          <reference field="5" count="1">
            <x v="10"/>
          </reference>
        </references>
      </pivotArea>
    </format>
    <format dxfId="204">
      <pivotArea dataOnly="0" labelOnly="1" fieldPosition="0">
        <references count="1">
          <reference field="5" count="1">
            <x v="6"/>
          </reference>
        </references>
      </pivotArea>
    </format>
    <format dxfId="203">
      <pivotArea dataOnly="0" labelOnly="1" fieldPosition="0">
        <references count="1">
          <reference field="5" count="1">
            <x v="9"/>
          </reference>
        </references>
      </pivotArea>
    </format>
    <format dxfId="202">
      <pivotArea dataOnly="0" labelOnly="1" fieldPosition="0">
        <references count="1">
          <reference field="5" count="1">
            <x v="4"/>
          </reference>
        </references>
      </pivotArea>
    </format>
    <format dxfId="201">
      <pivotArea dataOnly="0" labelOnly="1" fieldPosition="0">
        <references count="1">
          <reference field="5" count="1">
            <x v="0"/>
          </reference>
        </references>
      </pivotArea>
    </format>
    <format dxfId="200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99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98">
      <pivotArea dataOnly="0" labelOnly="1" fieldPosition="0">
        <references count="1">
          <reference field="5" count="1">
            <x v="2"/>
          </reference>
        </references>
      </pivotArea>
    </format>
    <format dxfId="197">
      <pivotArea dataOnly="0" labelOnly="1" fieldPosition="0">
        <references count="1">
          <reference field="5" count="1">
            <x v="2"/>
          </reference>
        </references>
      </pivotArea>
    </format>
    <format dxfId="196">
      <pivotArea dataOnly="0" labelOnly="1" fieldPosition="0">
        <references count="1">
          <reference field="5" count="1">
            <x v="6"/>
          </reference>
        </references>
      </pivotArea>
    </format>
    <format dxfId="195">
      <pivotArea dataOnly="0" labelOnly="1" fieldPosition="0">
        <references count="1">
          <reference field="5" count="1">
            <x v="3"/>
          </reference>
        </references>
      </pivotArea>
    </format>
    <format dxfId="194">
      <pivotArea dataOnly="0" labelOnly="1" fieldPosition="0">
        <references count="1">
          <reference field="5" count="1">
            <x v="10"/>
          </reference>
        </references>
      </pivotArea>
    </format>
    <format dxfId="193">
      <pivotArea dataOnly="0" labelOnly="1" fieldPosition="0">
        <references count="1">
          <reference field="5" count="1">
            <x v="1"/>
          </reference>
        </references>
      </pivotArea>
    </format>
    <format dxfId="192">
      <pivotArea dataOnly="0" labelOnly="1" fieldPosition="0">
        <references count="1">
          <reference field="5" count="1">
            <x v="9"/>
          </reference>
        </references>
      </pivotArea>
    </format>
    <format dxfId="191">
      <pivotArea dataOnly="0" labelOnly="1" fieldPosition="0">
        <references count="1">
          <reference field="5" count="1">
            <x v="4"/>
          </reference>
        </references>
      </pivotArea>
    </format>
    <format dxfId="190">
      <pivotArea dataOnly="0" labelOnly="1" fieldPosition="0">
        <references count="1">
          <reference field="5" count="1">
            <x v="0"/>
          </reference>
        </references>
      </pivotArea>
    </format>
    <format dxfId="189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88">
      <pivotArea dataOnly="0" labelOnly="1" fieldPosition="0">
        <references count="1">
          <reference field="5" count="1">
            <x v="2"/>
          </reference>
        </references>
      </pivotArea>
    </format>
    <format dxfId="187">
      <pivotArea dataOnly="0" labelOnly="1" fieldPosition="0">
        <references count="1">
          <reference field="5" count="1">
            <x v="6"/>
          </reference>
        </references>
      </pivotArea>
    </format>
    <format dxfId="186">
      <pivotArea dataOnly="0" labelOnly="1" fieldPosition="0">
        <references count="1">
          <reference field="5" count="1">
            <x v="10"/>
          </reference>
        </references>
      </pivotArea>
    </format>
    <format dxfId="185">
      <pivotArea dataOnly="0" labelOnly="1" fieldPosition="0">
        <references count="1">
          <reference field="5" count="1">
            <x v="3"/>
          </reference>
        </references>
      </pivotArea>
    </format>
    <format dxfId="184">
      <pivotArea dataOnly="0" labelOnly="1" fieldPosition="0">
        <references count="1">
          <reference field="5" count="1">
            <x v="1"/>
          </reference>
        </references>
      </pivotArea>
    </format>
    <format dxfId="183">
      <pivotArea dataOnly="0" labelOnly="1" fieldPosition="0">
        <references count="1">
          <reference field="5" count="1">
            <x v="9"/>
          </reference>
        </references>
      </pivotArea>
    </format>
    <format dxfId="182">
      <pivotArea dataOnly="0" labelOnly="1" fieldPosition="0">
        <references count="1">
          <reference field="5" count="1">
            <x v="4"/>
          </reference>
        </references>
      </pivotArea>
    </format>
    <format dxfId="181">
      <pivotArea dataOnly="0" labelOnly="1" fieldPosition="0">
        <references count="1">
          <reference field="5" count="1">
            <x v="0"/>
          </reference>
        </references>
      </pivotArea>
    </format>
    <format dxfId="180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79">
      <pivotArea dataOnly="0" labelOnly="1" fieldPosition="0">
        <references count="1">
          <reference field="5" count="1">
            <x v="4"/>
          </reference>
        </references>
      </pivotArea>
    </format>
    <format dxfId="178">
      <pivotArea dataOnly="0" labelOnly="1" fieldPosition="0">
        <references count="1">
          <reference field="5" count="1">
            <x v="6"/>
          </reference>
        </references>
      </pivotArea>
    </format>
    <format dxfId="177">
      <pivotArea dataOnly="0" labelOnly="1" fieldPosition="0">
        <references count="1">
          <reference field="5" count="1">
            <x v="3"/>
          </reference>
        </references>
      </pivotArea>
    </format>
    <format dxfId="176">
      <pivotArea dataOnly="0" labelOnly="1" fieldPosition="0">
        <references count="1">
          <reference field="5" count="1">
            <x v="10"/>
          </reference>
        </references>
      </pivotArea>
    </format>
    <format dxfId="175">
      <pivotArea dataOnly="0" labelOnly="1" fieldPosition="0">
        <references count="1">
          <reference field="5" count="1">
            <x v="1"/>
          </reference>
        </references>
      </pivotArea>
    </format>
    <format dxfId="174">
      <pivotArea dataOnly="0" labelOnly="1" fieldPosition="0">
        <references count="1">
          <reference field="5" count="1">
            <x v="9"/>
          </reference>
        </references>
      </pivotArea>
    </format>
    <format dxfId="173">
      <pivotArea dataOnly="0" labelOnly="1" fieldPosition="0">
        <references count="1">
          <reference field="5" count="1">
            <x v="0"/>
          </reference>
        </references>
      </pivotArea>
    </format>
    <format dxfId="172">
      <pivotArea dataOnly="0" labelOnly="1" fieldPosition="0">
        <references count="1">
          <reference field="5" count="0"/>
        </references>
      </pivotArea>
    </format>
    <format dxfId="171">
      <pivotArea dataOnly="0" labelOnly="1" fieldPosition="0">
        <references count="1">
          <reference field="5" count="1">
            <x v="2"/>
          </reference>
        </references>
      </pivotArea>
    </format>
    <format dxfId="170">
      <pivotArea dataOnly="0" labelOnly="1" fieldPosition="0">
        <references count="1">
          <reference field="5" count="1">
            <x v="6"/>
          </reference>
        </references>
      </pivotArea>
    </format>
    <format dxfId="169">
      <pivotArea dataOnly="0" labelOnly="1" fieldPosition="0">
        <references count="1">
          <reference field="5" count="1">
            <x v="10"/>
          </reference>
        </references>
      </pivotArea>
    </format>
    <format dxfId="168">
      <pivotArea dataOnly="0" labelOnly="1" fieldPosition="0">
        <references count="1">
          <reference field="5" count="1">
            <x v="3"/>
          </reference>
        </references>
      </pivotArea>
    </format>
    <format dxfId="167">
      <pivotArea dataOnly="0" labelOnly="1" fieldPosition="0">
        <references count="1">
          <reference field="5" count="1">
            <x v="1"/>
          </reference>
        </references>
      </pivotArea>
    </format>
    <format dxfId="166">
      <pivotArea dataOnly="0" labelOnly="1" fieldPosition="0">
        <references count="1">
          <reference field="5" count="1">
            <x v="9"/>
          </reference>
        </references>
      </pivotArea>
    </format>
    <format dxfId="165">
      <pivotArea dataOnly="0" labelOnly="1" fieldPosition="0">
        <references count="1">
          <reference field="5" count="1">
            <x v="4"/>
          </reference>
        </references>
      </pivotArea>
    </format>
    <format dxfId="164">
      <pivotArea dataOnly="0" labelOnly="1" fieldPosition="0">
        <references count="1">
          <reference field="5" count="1">
            <x v="0"/>
          </reference>
        </references>
      </pivotArea>
    </format>
    <format dxfId="163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62">
      <pivotArea dataOnly="0" labelOnly="1" fieldPosition="0">
        <references count="1">
          <reference field="5" count="1">
            <x v="2"/>
          </reference>
        </references>
      </pivotArea>
    </format>
    <format dxfId="161">
      <pivotArea dataOnly="0" labelOnly="1" fieldPosition="0">
        <references count="1">
          <reference field="5" count="1">
            <x v="6"/>
          </reference>
        </references>
      </pivotArea>
    </format>
    <format dxfId="160">
      <pivotArea dataOnly="0" labelOnly="1" fieldPosition="0">
        <references count="1">
          <reference field="5" count="1">
            <x v="10"/>
          </reference>
        </references>
      </pivotArea>
    </format>
    <format dxfId="159">
      <pivotArea dataOnly="0" labelOnly="1" fieldPosition="0">
        <references count="1">
          <reference field="5" count="1">
            <x v="3"/>
          </reference>
        </references>
      </pivotArea>
    </format>
    <format dxfId="158">
      <pivotArea dataOnly="0" labelOnly="1" fieldPosition="0">
        <references count="1">
          <reference field="5" count="1">
            <x v="1"/>
          </reference>
        </references>
      </pivotArea>
    </format>
    <format dxfId="157">
      <pivotArea dataOnly="0" labelOnly="1" fieldPosition="0">
        <references count="1">
          <reference field="5" count="1">
            <x v="9"/>
          </reference>
        </references>
      </pivotArea>
    </format>
    <format dxfId="156">
      <pivotArea dataOnly="0" labelOnly="1" fieldPosition="0">
        <references count="1">
          <reference field="5" count="1">
            <x v="4"/>
          </reference>
        </references>
      </pivotArea>
    </format>
    <format dxfId="155">
      <pivotArea dataOnly="0" labelOnly="1" fieldPosition="0">
        <references count="1">
          <reference field="5" count="1">
            <x v="0"/>
          </reference>
        </references>
      </pivotArea>
    </format>
    <format dxfId="154">
      <pivotArea type="origin" dataOnly="0" labelOnly="1" outline="0" fieldPosition="0"/>
    </format>
    <format dxfId="153">
      <pivotArea field="5" type="button" dataOnly="0" labelOnly="1" outline="0" axis="axisRow" fieldPosition="0"/>
    </format>
    <format dxfId="152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51">
      <pivotArea dataOnly="0" labelOnly="1" fieldPosition="0">
        <references count="1">
          <reference field="5" count="1">
            <x v="2"/>
          </reference>
        </references>
      </pivotArea>
    </format>
    <format dxfId="150">
      <pivotArea dataOnly="0" labelOnly="1" fieldPosition="0">
        <references count="1">
          <reference field="5" count="1">
            <x v="2"/>
          </reference>
        </references>
      </pivotArea>
    </format>
    <format dxfId="149">
      <pivotArea dataOnly="0" labelOnly="1" fieldPosition="0">
        <references count="1">
          <reference field="5" count="1">
            <x v="6"/>
          </reference>
        </references>
      </pivotArea>
    </format>
    <format dxfId="148">
      <pivotArea dataOnly="0" labelOnly="1" fieldPosition="0">
        <references count="1">
          <reference field="5" count="1">
            <x v="10"/>
          </reference>
        </references>
      </pivotArea>
    </format>
    <format dxfId="147">
      <pivotArea dataOnly="0" labelOnly="1" fieldPosition="0">
        <references count="1">
          <reference field="5" count="1">
            <x v="3"/>
          </reference>
        </references>
      </pivotArea>
    </format>
    <format dxfId="146">
      <pivotArea dataOnly="0" labelOnly="1" fieldPosition="0">
        <references count="1">
          <reference field="5" count="1">
            <x v="1"/>
          </reference>
        </references>
      </pivotArea>
    </format>
    <format dxfId="145">
      <pivotArea dataOnly="0" labelOnly="1" fieldPosition="0">
        <references count="1">
          <reference field="5" count="1">
            <x v="9"/>
          </reference>
        </references>
      </pivotArea>
    </format>
    <format dxfId="144">
      <pivotArea dataOnly="0" labelOnly="1" fieldPosition="0">
        <references count="1">
          <reference field="5" count="1">
            <x v="4"/>
          </reference>
        </references>
      </pivotArea>
    </format>
    <format dxfId="143">
      <pivotArea dataOnly="0" labelOnly="1" fieldPosition="0">
        <references count="1">
          <reference field="5" count="1">
            <x v="0"/>
          </reference>
        </references>
      </pivotArea>
    </format>
    <format dxfId="142">
      <pivotArea dataOnly="0" labelOnly="1" fieldPosition="0">
        <references count="1">
          <reference field="5" count="0"/>
        </references>
      </pivotArea>
    </format>
    <format dxfId="141">
      <pivotArea dataOnly="0" labelOnly="1" fieldPosition="0">
        <references count="1">
          <reference field="5" count="1">
            <x v="2"/>
          </reference>
        </references>
      </pivotArea>
    </format>
    <format dxfId="140">
      <pivotArea dataOnly="0" labelOnly="1" fieldPosition="0">
        <references count="1">
          <reference field="5" count="1">
            <x v="6"/>
          </reference>
        </references>
      </pivotArea>
    </format>
    <format dxfId="139">
      <pivotArea dataOnly="0" labelOnly="1" fieldPosition="0">
        <references count="1">
          <reference field="5" count="1">
            <x v="3"/>
          </reference>
        </references>
      </pivotArea>
    </format>
    <format dxfId="138">
      <pivotArea dataOnly="0" labelOnly="1" fieldPosition="0">
        <references count="1">
          <reference field="5" count="1">
            <x v="10"/>
          </reference>
        </references>
      </pivotArea>
    </format>
    <format dxfId="137">
      <pivotArea dataOnly="0" labelOnly="1" fieldPosition="0">
        <references count="1">
          <reference field="5" count="1">
            <x v="1"/>
          </reference>
        </references>
      </pivotArea>
    </format>
    <format dxfId="136">
      <pivotArea dataOnly="0" labelOnly="1" fieldPosition="0">
        <references count="1">
          <reference field="5" count="1">
            <x v="9"/>
          </reference>
        </references>
      </pivotArea>
    </format>
    <format dxfId="135">
      <pivotArea dataOnly="0" labelOnly="1" fieldPosition="0">
        <references count="1">
          <reference field="5" count="1">
            <x v="4"/>
          </reference>
        </references>
      </pivotArea>
    </format>
    <format dxfId="134">
      <pivotArea dataOnly="0" labelOnly="1" fieldPosition="0">
        <references count="1">
          <reference field="5" count="1">
            <x v="0"/>
          </reference>
        </references>
      </pivotArea>
    </format>
    <format dxfId="133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32">
      <pivotArea dataOnly="0" labelOnly="1" fieldPosition="0">
        <references count="1">
          <reference field="5" count="1">
            <x v="2"/>
          </reference>
        </references>
      </pivotArea>
    </format>
    <format dxfId="131">
      <pivotArea dataOnly="0" labelOnly="1" fieldPosition="0">
        <references count="1">
          <reference field="5" count="1">
            <x v="6"/>
          </reference>
        </references>
      </pivotArea>
    </format>
    <format dxfId="130">
      <pivotArea dataOnly="0" labelOnly="1" fieldPosition="0">
        <references count="1">
          <reference field="5" count="1">
            <x v="9"/>
          </reference>
        </references>
      </pivotArea>
    </format>
    <format dxfId="129">
      <pivotArea dataOnly="0" labelOnly="1" fieldPosition="0">
        <references count="1">
          <reference field="5" count="1">
            <x v="4"/>
          </reference>
        </references>
      </pivotArea>
    </format>
    <format dxfId="128">
      <pivotArea dataOnly="0" labelOnly="1" fieldPosition="0">
        <references count="1">
          <reference field="5" count="1">
            <x v="0"/>
          </reference>
        </references>
      </pivotArea>
    </format>
    <format dxfId="127">
      <pivotArea dataOnly="0" labelOnly="1" fieldPosition="0">
        <references count="1">
          <reference field="5" count="1">
            <x v="10"/>
          </reference>
        </references>
      </pivotArea>
    </format>
    <format dxfId="126">
      <pivotArea dataOnly="0" labelOnly="1" fieldPosition="0">
        <references count="1">
          <reference field="5" count="1">
            <x v="3"/>
          </reference>
        </references>
      </pivotArea>
    </format>
    <format dxfId="125">
      <pivotArea dataOnly="0" labelOnly="1" fieldPosition="0">
        <references count="1">
          <reference field="5" count="1">
            <x v="1"/>
          </reference>
        </references>
      </pivotArea>
    </format>
    <format dxfId="124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23">
      <pivotArea dataOnly="0" labelOnly="1" fieldPosition="0">
        <references count="1">
          <reference field="5" count="1">
            <x v="2"/>
          </reference>
        </references>
      </pivotArea>
    </format>
    <format dxfId="122">
      <pivotArea dataOnly="0" labelOnly="1" fieldPosition="0">
        <references count="1">
          <reference field="5" count="1">
            <x v="6"/>
          </reference>
        </references>
      </pivotArea>
    </format>
    <format dxfId="121">
      <pivotArea dataOnly="0" labelOnly="1" fieldPosition="0">
        <references count="1">
          <reference field="5" count="1">
            <x v="3"/>
          </reference>
        </references>
      </pivotArea>
    </format>
    <format dxfId="120">
      <pivotArea dataOnly="0" labelOnly="1" fieldPosition="0">
        <references count="1">
          <reference field="5" count="1">
            <x v="10"/>
          </reference>
        </references>
      </pivotArea>
    </format>
    <format dxfId="119">
      <pivotArea dataOnly="0" labelOnly="1" fieldPosition="0">
        <references count="1">
          <reference field="5" count="1">
            <x v="1"/>
          </reference>
        </references>
      </pivotArea>
    </format>
    <format dxfId="118">
      <pivotArea dataOnly="0" labelOnly="1" fieldPosition="0">
        <references count="1">
          <reference field="5" count="1">
            <x v="9"/>
          </reference>
        </references>
      </pivotArea>
    </format>
    <format dxfId="117">
      <pivotArea dataOnly="0" labelOnly="1" fieldPosition="0">
        <references count="1">
          <reference field="5" count="1">
            <x v="4"/>
          </reference>
        </references>
      </pivotArea>
    </format>
    <format dxfId="116">
      <pivotArea dataOnly="0" labelOnly="1" fieldPosition="0">
        <references count="1">
          <reference field="5" count="1">
            <x v="0"/>
          </reference>
        </references>
      </pivotArea>
    </format>
    <format dxfId="115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14">
      <pivotArea dataOnly="0" labelOnly="1" fieldPosition="0">
        <references count="1">
          <reference field="5" count="1">
            <x v="2"/>
          </reference>
        </references>
      </pivotArea>
    </format>
    <format dxfId="113">
      <pivotArea dataOnly="0" labelOnly="1" fieldPosition="0">
        <references count="1">
          <reference field="5" count="1">
            <x v="6"/>
          </reference>
        </references>
      </pivotArea>
    </format>
    <format dxfId="112">
      <pivotArea dataOnly="0" labelOnly="1" fieldPosition="0">
        <references count="1">
          <reference field="5" count="1">
            <x v="1"/>
          </reference>
        </references>
      </pivotArea>
    </format>
    <format dxfId="111">
      <pivotArea dataOnly="0" labelOnly="1" fieldPosition="0">
        <references count="1">
          <reference field="5" count="1">
            <x v="9"/>
          </reference>
        </references>
      </pivotArea>
    </format>
    <format dxfId="110">
      <pivotArea dataOnly="0" labelOnly="1" fieldPosition="0">
        <references count="1">
          <reference field="5" count="1">
            <x v="4"/>
          </reference>
        </references>
      </pivotArea>
    </format>
    <format dxfId="109">
      <pivotArea dataOnly="0" labelOnly="1" fieldPosition="0">
        <references count="1">
          <reference field="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ic.government.ru/media/files/WqduZlYo4645YP7BAKRdxaUADiAo4G6c.pdf" TargetMode="External"/><Relationship Id="rId2" Type="http://schemas.openxmlformats.org/officeDocument/2006/relationships/hyperlink" Target="https://docs.cntd.ru/document/1304820438" TargetMode="External"/><Relationship Id="rId1" Type="http://schemas.openxmlformats.org/officeDocument/2006/relationships/hyperlink" Target="https://neftegaz.ru/news/Gazohimija/816850-kompleks-po-pererabotke-gaza-v-ust-luge-poluchit-finansirovanie-fnb/" TargetMode="External"/><Relationship Id="rId4" Type="http://schemas.openxmlformats.org/officeDocument/2006/relationships/hyperlink" Target="http://static.government.ru/media/files/ab6RAZqNooMrdUAj8ts9WbO8y74PoTCo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84"/>
  <sheetViews>
    <sheetView zoomScale="55" zoomScaleNormal="55" workbookViewId="0">
      <pane xSplit="2" ySplit="1" topLeftCell="AH24" activePane="bottomRight" state="frozen"/>
      <selection pane="topRight" activeCell="C1" sqref="C1"/>
      <selection pane="bottomLeft" activeCell="A2" sqref="A2"/>
      <selection pane="bottomRight" activeCell="AJ57" sqref="AJ57"/>
    </sheetView>
  </sheetViews>
  <sheetFormatPr defaultRowHeight="14.5" x14ac:dyDescent="0.35"/>
  <cols>
    <col min="1" max="1" width="14.1796875" customWidth="1"/>
    <col min="2" max="2" width="97.90625" customWidth="1"/>
    <col min="3" max="7" width="12.453125" customWidth="1"/>
    <col min="8" max="11" width="12.08984375" customWidth="1"/>
    <col min="12" max="12" width="11.36328125" style="6" bestFit="1" customWidth="1"/>
    <col min="13" max="14" width="11.36328125" style="6" customWidth="1"/>
    <col min="15" max="16" width="11.7265625" customWidth="1"/>
    <col min="17" max="18" width="11.453125" bestFit="1" customWidth="1"/>
    <col min="19" max="36" width="11.453125" customWidth="1"/>
    <col min="37" max="37" width="12.1796875" bestFit="1" customWidth="1"/>
    <col min="38" max="38" width="16.81640625" bestFit="1" customWidth="1"/>
    <col min="39" max="39" width="15.81640625" bestFit="1" customWidth="1"/>
  </cols>
  <sheetData>
    <row r="1" spans="1:69" x14ac:dyDescent="0.35">
      <c r="A1" s="7" t="s">
        <v>33</v>
      </c>
      <c r="B1" s="7" t="s">
        <v>34</v>
      </c>
      <c r="C1" s="7" t="s">
        <v>61</v>
      </c>
      <c r="D1" s="7" t="s">
        <v>62</v>
      </c>
      <c r="E1" s="7" t="s">
        <v>63</v>
      </c>
      <c r="F1" s="7" t="s">
        <v>52</v>
      </c>
      <c r="G1" s="7" t="s">
        <v>0</v>
      </c>
      <c r="H1" s="7" t="s">
        <v>28</v>
      </c>
      <c r="I1" s="7" t="s">
        <v>51</v>
      </c>
      <c r="J1" s="7" t="s">
        <v>50</v>
      </c>
      <c r="K1" s="7" t="s">
        <v>49</v>
      </c>
      <c r="L1" s="7" t="s">
        <v>29</v>
      </c>
      <c r="M1" s="7" t="s">
        <v>48</v>
      </c>
      <c r="N1" s="7" t="s">
        <v>47</v>
      </c>
      <c r="O1" s="7" t="s">
        <v>46</v>
      </c>
      <c r="P1" s="7" t="s">
        <v>127</v>
      </c>
      <c r="Q1" s="7" t="s">
        <v>146</v>
      </c>
      <c r="R1" s="7" t="s">
        <v>183</v>
      </c>
      <c r="S1" s="7" t="s">
        <v>185</v>
      </c>
      <c r="T1" s="7" t="s">
        <v>186</v>
      </c>
      <c r="U1" s="7" t="s">
        <v>187</v>
      </c>
      <c r="V1" s="7" t="s">
        <v>188</v>
      </c>
      <c r="W1" s="7" t="s">
        <v>204</v>
      </c>
      <c r="X1" s="7" t="s">
        <v>205</v>
      </c>
      <c r="Y1" s="7" t="s">
        <v>208</v>
      </c>
      <c r="Z1" s="7" t="s">
        <v>215</v>
      </c>
      <c r="AA1" s="7" t="s">
        <v>216</v>
      </c>
      <c r="AB1" s="7" t="s">
        <v>217</v>
      </c>
      <c r="AC1" s="7" t="s">
        <v>218</v>
      </c>
      <c r="AD1" s="7" t="s">
        <v>220</v>
      </c>
      <c r="AE1" s="7" t="s">
        <v>228</v>
      </c>
      <c r="AF1" s="7" t="s">
        <v>233</v>
      </c>
      <c r="AG1" s="7" t="s">
        <v>238</v>
      </c>
      <c r="AH1" s="7" t="s">
        <v>239</v>
      </c>
      <c r="AI1" s="7" t="s">
        <v>243</v>
      </c>
      <c r="AJ1" s="7" t="s">
        <v>248</v>
      </c>
      <c r="AK1" s="7" t="s">
        <v>227</v>
      </c>
      <c r="AL1" s="7" t="s">
        <v>226</v>
      </c>
    </row>
    <row r="2" spans="1:69" x14ac:dyDescent="0.35">
      <c r="A2" t="s">
        <v>5</v>
      </c>
      <c r="B2" t="s">
        <v>1</v>
      </c>
      <c r="C2" s="1">
        <v>49188.800000000003</v>
      </c>
      <c r="D2" s="1">
        <v>45733.5</v>
      </c>
      <c r="E2" s="1">
        <v>41891.699999999997</v>
      </c>
      <c r="F2" s="1">
        <v>10464.5</v>
      </c>
      <c r="G2" s="1">
        <v>10464.5</v>
      </c>
      <c r="H2" s="1">
        <v>10464.5</v>
      </c>
      <c r="I2" s="1">
        <v>10398.799999999999</v>
      </c>
      <c r="J2" s="1">
        <v>9233.6</v>
      </c>
      <c r="K2" s="1">
        <v>9054.6</v>
      </c>
      <c r="L2" s="5">
        <v>7278.7</v>
      </c>
      <c r="M2" s="5">
        <v>7278.7</v>
      </c>
      <c r="N2" s="5">
        <v>5224.6000000000004</v>
      </c>
      <c r="O2" s="1">
        <v>4070.6</v>
      </c>
      <c r="P2" s="1">
        <v>3666.6</v>
      </c>
      <c r="Q2" s="1">
        <v>3268.8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7">
        <f>AJ2-AI2</f>
        <v>0</v>
      </c>
      <c r="AL2" s="17">
        <f>AJ2-X2</f>
        <v>0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x14ac:dyDescent="0.35">
      <c r="A3" t="s">
        <v>5</v>
      </c>
      <c r="B3" t="s">
        <v>59</v>
      </c>
      <c r="C3" s="1">
        <v>5313.3</v>
      </c>
      <c r="D3" s="1">
        <v>4938.3</v>
      </c>
      <c r="E3" s="1">
        <v>2769.6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7">
        <f t="shared" ref="AK3:AK57" si="0">AJ3-AI3</f>
        <v>0</v>
      </c>
      <c r="AL3" s="17">
        <f t="shared" ref="AL3:AL57" si="1">AJ3-X3</f>
        <v>0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x14ac:dyDescent="0.35">
      <c r="A4" t="s">
        <v>5</v>
      </c>
      <c r="B4" t="s">
        <v>60</v>
      </c>
      <c r="C4" s="1">
        <v>768257.7</v>
      </c>
      <c r="D4" s="1">
        <v>692698.4</v>
      </c>
      <c r="E4" s="1">
        <v>478478.3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7">
        <f t="shared" si="0"/>
        <v>0</v>
      </c>
      <c r="AL4" s="17">
        <f t="shared" si="1"/>
        <v>0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x14ac:dyDescent="0.35">
      <c r="A5" t="s">
        <v>5</v>
      </c>
      <c r="B5" t="s">
        <v>2</v>
      </c>
      <c r="C5" s="1">
        <v>309720.09999999998</v>
      </c>
      <c r="D5" s="1">
        <v>309720.09999999998</v>
      </c>
      <c r="E5" s="1">
        <v>309720.09999999998</v>
      </c>
      <c r="F5" s="1">
        <v>309720.09999999998</v>
      </c>
      <c r="G5" s="1">
        <v>307445.90000000002</v>
      </c>
      <c r="H5" s="1">
        <v>300067.90000000002</v>
      </c>
      <c r="I5" s="1">
        <v>292588.79999999999</v>
      </c>
      <c r="J5" s="1">
        <v>288330.09999999998</v>
      </c>
      <c r="K5" s="1">
        <v>285736.09999999998</v>
      </c>
      <c r="L5" s="5">
        <v>282284.2</v>
      </c>
      <c r="M5" s="5">
        <v>280158.90000000002</v>
      </c>
      <c r="N5" s="5">
        <v>279773.7</v>
      </c>
      <c r="O5" s="1">
        <v>279773.7</v>
      </c>
      <c r="P5" s="1">
        <v>279773.7</v>
      </c>
      <c r="Q5" s="1">
        <v>279773.7</v>
      </c>
      <c r="R5" s="1">
        <v>227330.7</v>
      </c>
      <c r="S5" s="1">
        <v>227517.1</v>
      </c>
      <c r="T5" s="1">
        <v>227517.1</v>
      </c>
      <c r="U5" s="1">
        <v>227615.8</v>
      </c>
      <c r="V5" s="1">
        <v>227615.8</v>
      </c>
      <c r="W5" s="1">
        <v>227615.8</v>
      </c>
      <c r="X5" s="1">
        <v>229532.6</v>
      </c>
      <c r="Y5" s="1">
        <v>226532.6</v>
      </c>
      <c r="Z5" s="1">
        <v>223782.6</v>
      </c>
      <c r="AA5" s="1">
        <v>221782.6</v>
      </c>
      <c r="AB5" s="1">
        <v>220532.6</v>
      </c>
      <c r="AC5" s="1">
        <v>219532.6</v>
      </c>
      <c r="AD5" s="1">
        <v>164044.20000000001</v>
      </c>
      <c r="AE5" s="1">
        <v>164255.79999999999</v>
      </c>
      <c r="AF5" s="1">
        <v>164285.9</v>
      </c>
      <c r="AG5" s="1">
        <v>164387.6</v>
      </c>
      <c r="AH5" s="1">
        <v>164597.20000000001</v>
      </c>
      <c r="AI5" s="1">
        <v>153698.1</v>
      </c>
      <c r="AJ5" s="1">
        <v>214820.7</v>
      </c>
      <c r="AK5" s="17">
        <f t="shared" si="0"/>
        <v>61122.600000000006</v>
      </c>
      <c r="AL5" s="17">
        <f t="shared" si="1"/>
        <v>-14711.899999999994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x14ac:dyDescent="0.35">
      <c r="A6" t="s">
        <v>5</v>
      </c>
      <c r="B6" t="s">
        <v>3</v>
      </c>
      <c r="C6" s="1">
        <v>554910.5</v>
      </c>
      <c r="D6" s="1">
        <v>554910.5</v>
      </c>
      <c r="E6" s="1">
        <v>554910.5</v>
      </c>
      <c r="F6" s="1">
        <v>554910.5</v>
      </c>
      <c r="G6" s="1">
        <v>551277.5</v>
      </c>
      <c r="H6" s="1">
        <v>539245.1</v>
      </c>
      <c r="I6" s="1">
        <v>527382.30000000005</v>
      </c>
      <c r="J6" s="1">
        <v>520974</v>
      </c>
      <c r="K6" s="1">
        <v>517114.1</v>
      </c>
      <c r="L6" s="5">
        <v>511986.9</v>
      </c>
      <c r="M6" s="5">
        <v>508835.4</v>
      </c>
      <c r="N6" s="5">
        <v>508265.3</v>
      </c>
      <c r="O6" s="1">
        <v>508265.3</v>
      </c>
      <c r="P6" s="1">
        <v>508265.3</v>
      </c>
      <c r="Q6" s="1">
        <v>508265.3</v>
      </c>
      <c r="R6" s="1">
        <v>358960.6</v>
      </c>
      <c r="S6" s="1">
        <v>358960.6</v>
      </c>
      <c r="T6" s="1">
        <v>358014.6</v>
      </c>
      <c r="U6" s="1">
        <v>334863.2</v>
      </c>
      <c r="V6" s="1">
        <v>334367.3</v>
      </c>
      <c r="W6" s="1">
        <v>329705.3</v>
      </c>
      <c r="X6" s="1">
        <v>303578.59999999998</v>
      </c>
      <c r="Y6" s="1">
        <v>298840.40000000002</v>
      </c>
      <c r="Z6" s="1">
        <v>293188.59999999998</v>
      </c>
      <c r="AA6" s="1">
        <v>292494.09999999998</v>
      </c>
      <c r="AB6" s="1">
        <v>283575.3</v>
      </c>
      <c r="AC6" s="1">
        <v>279562.59999999998</v>
      </c>
      <c r="AD6" s="1">
        <v>187749.1</v>
      </c>
      <c r="AE6" s="1">
        <v>178996</v>
      </c>
      <c r="AF6" s="1">
        <v>174626.7</v>
      </c>
      <c r="AG6" s="1">
        <v>168271.4</v>
      </c>
      <c r="AH6" s="1">
        <v>168061.1</v>
      </c>
      <c r="AI6" s="1">
        <v>139509.1</v>
      </c>
      <c r="AJ6" s="1">
        <v>211953.9</v>
      </c>
      <c r="AK6" s="17">
        <f t="shared" si="0"/>
        <v>72444.799999999988</v>
      </c>
      <c r="AL6" s="17">
        <f t="shared" si="1"/>
        <v>-91624.699999999983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69" x14ac:dyDescent="0.35">
      <c r="A7" t="s">
        <v>5</v>
      </c>
      <c r="B7" t="s">
        <v>4</v>
      </c>
      <c r="C7" s="1">
        <v>264.3</v>
      </c>
      <c r="D7" s="1">
        <v>526.70000000000005</v>
      </c>
      <c r="E7" s="1">
        <v>242.7</v>
      </c>
      <c r="F7" s="1">
        <v>274.8</v>
      </c>
      <c r="G7" s="1">
        <v>530.1</v>
      </c>
      <c r="H7" s="1">
        <v>6124</v>
      </c>
      <c r="I7" s="1">
        <v>140.69999999999999</v>
      </c>
      <c r="J7" s="1">
        <v>232.8</v>
      </c>
      <c r="K7" s="1">
        <v>228</v>
      </c>
      <c r="L7" s="5">
        <v>400.4</v>
      </c>
      <c r="M7" s="5">
        <v>5490.5</v>
      </c>
      <c r="N7" s="5">
        <v>6775.9</v>
      </c>
      <c r="O7" s="1">
        <v>395.9</v>
      </c>
      <c r="P7" s="1">
        <v>261.8</v>
      </c>
      <c r="Q7" s="1">
        <v>1187.5999999999999</v>
      </c>
      <c r="R7" s="1">
        <v>1514</v>
      </c>
      <c r="S7" s="1">
        <v>294.8</v>
      </c>
      <c r="T7" s="1">
        <v>1241</v>
      </c>
      <c r="U7" s="1">
        <v>1650.1</v>
      </c>
      <c r="V7" s="1">
        <v>299.7</v>
      </c>
      <c r="W7" s="1">
        <v>1252</v>
      </c>
      <c r="X7" s="1">
        <v>1676</v>
      </c>
      <c r="Y7" s="1">
        <v>368.5</v>
      </c>
      <c r="Z7" s="1">
        <v>1261.9000000000001</v>
      </c>
      <c r="AA7" s="1">
        <v>1612.3</v>
      </c>
      <c r="AB7" s="1">
        <v>410.2</v>
      </c>
      <c r="AC7" s="1">
        <v>1429.9</v>
      </c>
      <c r="AD7" s="1">
        <v>1630.9</v>
      </c>
      <c r="AE7" s="1">
        <v>0</v>
      </c>
      <c r="AF7" s="1">
        <v>1249.5999999999999</v>
      </c>
      <c r="AG7" s="1">
        <v>1671.6</v>
      </c>
      <c r="AH7" s="1">
        <v>397.6</v>
      </c>
      <c r="AI7" s="1">
        <v>1271.3</v>
      </c>
      <c r="AJ7" s="1">
        <v>2525.5</v>
      </c>
      <c r="AK7" s="17">
        <f t="shared" si="0"/>
        <v>1254.2</v>
      </c>
      <c r="AL7" s="17">
        <f t="shared" si="1"/>
        <v>849.5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spans="1:69" x14ac:dyDescent="0.35">
      <c r="A8" t="s">
        <v>24</v>
      </c>
      <c r="B8" t="s">
        <v>118</v>
      </c>
      <c r="C8" s="1"/>
      <c r="D8" s="1"/>
      <c r="E8" s="1"/>
      <c r="F8" s="1"/>
      <c r="G8" s="1">
        <v>50000</v>
      </c>
      <c r="H8" s="1"/>
      <c r="I8" s="1"/>
      <c r="J8" s="1"/>
      <c r="K8" s="1"/>
      <c r="L8" s="5">
        <v>50000</v>
      </c>
      <c r="M8" s="5">
        <v>50000</v>
      </c>
      <c r="N8" s="5">
        <v>50000</v>
      </c>
      <c r="O8" s="1">
        <v>50000</v>
      </c>
      <c r="P8" s="1">
        <f>O8</f>
        <v>50000</v>
      </c>
      <c r="Q8" s="1">
        <v>50000</v>
      </c>
      <c r="R8" s="1">
        <f>Q8</f>
        <v>50000</v>
      </c>
      <c r="S8" s="1">
        <f>R8</f>
        <v>50000</v>
      </c>
      <c r="T8" s="1">
        <v>50000</v>
      </c>
      <c r="U8" s="1">
        <f t="shared" ref="U8:V13" si="2">T8</f>
        <v>50000</v>
      </c>
      <c r="V8" s="1">
        <f>U8</f>
        <v>50000</v>
      </c>
      <c r="W8" s="1">
        <f t="shared" ref="W8:W12" si="3">V8</f>
        <v>50000</v>
      </c>
      <c r="X8" s="1">
        <f t="shared" ref="X8:X13" si="4">W8</f>
        <v>50000</v>
      </c>
      <c r="Y8" s="1">
        <f t="shared" ref="Y8:Y13" si="5">X8</f>
        <v>50000</v>
      </c>
      <c r="Z8" s="1">
        <f t="shared" ref="Z8:Z13" si="6">Y8</f>
        <v>50000</v>
      </c>
      <c r="AA8" s="1">
        <f t="shared" ref="AA8:AB13" si="7">Z8</f>
        <v>50000</v>
      </c>
      <c r="AB8" s="1">
        <f t="shared" ref="AB8:AG8" si="8">AA8</f>
        <v>50000</v>
      </c>
      <c r="AC8" s="1">
        <f t="shared" si="8"/>
        <v>50000</v>
      </c>
      <c r="AD8" s="1">
        <f t="shared" si="8"/>
        <v>50000</v>
      </c>
      <c r="AE8" s="1">
        <f t="shared" si="8"/>
        <v>50000</v>
      </c>
      <c r="AF8" s="1">
        <f t="shared" si="8"/>
        <v>50000</v>
      </c>
      <c r="AG8" s="1">
        <f t="shared" si="8"/>
        <v>50000</v>
      </c>
      <c r="AH8" s="1">
        <v>50000</v>
      </c>
      <c r="AI8" s="1">
        <f t="shared" ref="AI8:AI13" si="9">AH8</f>
        <v>50000</v>
      </c>
      <c r="AJ8" s="1">
        <f>AI8</f>
        <v>50000</v>
      </c>
      <c r="AK8" s="17">
        <f t="shared" si="0"/>
        <v>0</v>
      </c>
      <c r="AL8" s="17">
        <f t="shared" si="1"/>
        <v>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</row>
    <row r="9" spans="1:69" x14ac:dyDescent="0.35">
      <c r="A9" t="s">
        <v>24</v>
      </c>
      <c r="B9" t="s">
        <v>25</v>
      </c>
      <c r="C9" s="1"/>
      <c r="D9" s="1"/>
      <c r="E9" s="1"/>
      <c r="F9" s="1"/>
      <c r="G9" s="1">
        <v>30000</v>
      </c>
      <c r="H9" s="1"/>
      <c r="I9" s="1"/>
      <c r="J9" s="1"/>
      <c r="K9" s="1"/>
      <c r="L9" s="5">
        <v>30000</v>
      </c>
      <c r="M9" s="5">
        <v>30000</v>
      </c>
      <c r="N9" s="5">
        <v>30000</v>
      </c>
      <c r="O9" s="1">
        <v>30000</v>
      </c>
      <c r="P9" s="1">
        <f t="shared" ref="P9:P13" si="10">O9</f>
        <v>30000</v>
      </c>
      <c r="Q9" s="1">
        <v>30000</v>
      </c>
      <c r="R9" s="1">
        <f t="shared" ref="R9:R13" si="11">Q9</f>
        <v>30000</v>
      </c>
      <c r="S9" s="1">
        <f t="shared" ref="S9:T13" si="12">R9</f>
        <v>30000</v>
      </c>
      <c r="T9" s="1">
        <f t="shared" si="12"/>
        <v>30000</v>
      </c>
      <c r="U9" s="1">
        <f t="shared" si="2"/>
        <v>30000</v>
      </c>
      <c r="V9" s="1">
        <f t="shared" si="2"/>
        <v>30000</v>
      </c>
      <c r="W9" s="1">
        <f t="shared" si="3"/>
        <v>30000</v>
      </c>
      <c r="X9" s="1">
        <f t="shared" si="4"/>
        <v>30000</v>
      </c>
      <c r="Y9" s="1">
        <f t="shared" si="5"/>
        <v>30000</v>
      </c>
      <c r="Z9" s="1">
        <f t="shared" si="6"/>
        <v>30000</v>
      </c>
      <c r="AA9" s="1">
        <f t="shared" si="7"/>
        <v>30000</v>
      </c>
      <c r="AB9" s="1">
        <f t="shared" si="7"/>
        <v>30000</v>
      </c>
      <c r="AC9" s="1">
        <f>AB9</f>
        <v>30000</v>
      </c>
      <c r="AD9" s="1">
        <f t="shared" ref="AD9:AD13" si="13">AC9</f>
        <v>30000</v>
      </c>
      <c r="AE9" s="1">
        <f t="shared" ref="AE9:AF13" si="14">AD9</f>
        <v>30000</v>
      </c>
      <c r="AF9" s="1">
        <f t="shared" si="14"/>
        <v>30000</v>
      </c>
      <c r="AG9" s="1">
        <f t="shared" ref="AG9:AH13" si="15">AF9</f>
        <v>30000</v>
      </c>
      <c r="AH9" s="1">
        <v>30000</v>
      </c>
      <c r="AI9" s="1">
        <f t="shared" si="9"/>
        <v>30000</v>
      </c>
      <c r="AJ9" s="1">
        <f>AI9</f>
        <v>30000</v>
      </c>
      <c r="AK9" s="17">
        <f t="shared" si="0"/>
        <v>0</v>
      </c>
      <c r="AL9" s="17">
        <f t="shared" si="1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</row>
    <row r="10" spans="1:69" x14ac:dyDescent="0.35">
      <c r="A10" t="s">
        <v>24</v>
      </c>
      <c r="B10" t="s">
        <v>53</v>
      </c>
      <c r="C10" s="1"/>
      <c r="D10" s="1"/>
      <c r="E10" s="1"/>
      <c r="F10" s="1"/>
      <c r="G10" s="1">
        <v>40000</v>
      </c>
      <c r="H10" s="1"/>
      <c r="I10" s="1"/>
      <c r="J10" s="1"/>
      <c r="K10" s="1"/>
      <c r="L10" s="5">
        <v>40000</v>
      </c>
      <c r="M10" s="5">
        <v>40000</v>
      </c>
      <c r="N10" s="5">
        <v>40000</v>
      </c>
      <c r="O10" s="1">
        <v>40000</v>
      </c>
      <c r="P10" s="1">
        <f t="shared" si="10"/>
        <v>40000</v>
      </c>
      <c r="Q10" s="1">
        <v>40000</v>
      </c>
      <c r="R10" s="1">
        <f t="shared" si="11"/>
        <v>40000</v>
      </c>
      <c r="S10" s="1">
        <f t="shared" si="12"/>
        <v>40000</v>
      </c>
      <c r="T10" s="1">
        <f t="shared" si="12"/>
        <v>40000</v>
      </c>
      <c r="U10" s="1">
        <f t="shared" si="2"/>
        <v>40000</v>
      </c>
      <c r="V10" s="1">
        <f t="shared" si="2"/>
        <v>40000</v>
      </c>
      <c r="W10" s="1">
        <f t="shared" si="3"/>
        <v>40000</v>
      </c>
      <c r="X10" s="1">
        <f t="shared" si="4"/>
        <v>40000</v>
      </c>
      <c r="Y10" s="1">
        <f t="shared" si="5"/>
        <v>40000</v>
      </c>
      <c r="Z10" s="1">
        <f t="shared" si="6"/>
        <v>40000</v>
      </c>
      <c r="AA10" s="1">
        <f t="shared" si="7"/>
        <v>40000</v>
      </c>
      <c r="AB10" s="1">
        <f t="shared" si="7"/>
        <v>40000</v>
      </c>
      <c r="AC10" s="1">
        <f>AB10</f>
        <v>40000</v>
      </c>
      <c r="AD10" s="1">
        <f t="shared" si="13"/>
        <v>40000</v>
      </c>
      <c r="AE10" s="1">
        <f t="shared" si="14"/>
        <v>40000</v>
      </c>
      <c r="AF10" s="1">
        <f t="shared" si="14"/>
        <v>40000</v>
      </c>
      <c r="AG10" s="1">
        <f t="shared" si="15"/>
        <v>40000</v>
      </c>
      <c r="AH10" s="1">
        <v>40000</v>
      </c>
      <c r="AI10" s="1">
        <f t="shared" si="9"/>
        <v>40000</v>
      </c>
      <c r="AJ10" s="1">
        <f>AI10</f>
        <v>40000</v>
      </c>
      <c r="AK10" s="17">
        <f t="shared" si="0"/>
        <v>0</v>
      </c>
      <c r="AL10" s="17">
        <f t="shared" si="1"/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 x14ac:dyDescent="0.35">
      <c r="A11" t="s">
        <v>24</v>
      </c>
      <c r="B11" t="s">
        <v>26</v>
      </c>
      <c r="C11" s="1"/>
      <c r="D11" s="1"/>
      <c r="E11" s="1"/>
      <c r="F11" s="1"/>
      <c r="G11" s="1">
        <v>138830</v>
      </c>
      <c r="H11" s="1"/>
      <c r="I11" s="1"/>
      <c r="J11" s="1"/>
      <c r="K11" s="1"/>
      <c r="L11" s="5">
        <v>138830</v>
      </c>
      <c r="M11" s="5">
        <v>138830</v>
      </c>
      <c r="N11" s="5">
        <v>138830</v>
      </c>
      <c r="O11" s="5">
        <v>138830</v>
      </c>
      <c r="P11" s="1">
        <f t="shared" si="10"/>
        <v>138830</v>
      </c>
      <c r="Q11" s="1">
        <v>138830</v>
      </c>
      <c r="R11" s="1">
        <f t="shared" si="11"/>
        <v>138830</v>
      </c>
      <c r="S11" s="1">
        <f t="shared" si="12"/>
        <v>138830</v>
      </c>
      <c r="T11" s="1">
        <f t="shared" si="12"/>
        <v>138830</v>
      </c>
      <c r="U11" s="1">
        <f t="shared" si="2"/>
        <v>138830</v>
      </c>
      <c r="V11" s="1">
        <f t="shared" si="2"/>
        <v>138830</v>
      </c>
      <c r="W11" s="1">
        <f t="shared" si="3"/>
        <v>138830</v>
      </c>
      <c r="X11" s="1">
        <f t="shared" si="4"/>
        <v>138830</v>
      </c>
      <c r="Y11" s="1">
        <f t="shared" si="5"/>
        <v>138830</v>
      </c>
      <c r="Z11" s="1">
        <f t="shared" si="6"/>
        <v>138830</v>
      </c>
      <c r="AA11" s="1">
        <f t="shared" si="7"/>
        <v>138830</v>
      </c>
      <c r="AB11" s="1">
        <f t="shared" si="7"/>
        <v>138830</v>
      </c>
      <c r="AC11" s="1">
        <f>AB11</f>
        <v>138830</v>
      </c>
      <c r="AD11" s="1">
        <f t="shared" si="13"/>
        <v>138830</v>
      </c>
      <c r="AE11" s="1">
        <f t="shared" si="14"/>
        <v>138830</v>
      </c>
      <c r="AF11" s="1">
        <f t="shared" si="14"/>
        <v>138830</v>
      </c>
      <c r="AG11" s="1">
        <f t="shared" si="15"/>
        <v>138830</v>
      </c>
      <c r="AH11" s="1">
        <v>138830</v>
      </c>
      <c r="AI11" s="1">
        <f t="shared" si="9"/>
        <v>138830</v>
      </c>
      <c r="AJ11" s="1">
        <f>AI11</f>
        <v>138830</v>
      </c>
      <c r="AK11" s="17">
        <f t="shared" si="0"/>
        <v>0</v>
      </c>
      <c r="AL11" s="17">
        <f t="shared" si="1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</row>
    <row r="12" spans="1:69" x14ac:dyDescent="0.35">
      <c r="A12" t="s">
        <v>24</v>
      </c>
      <c r="B12" t="s">
        <v>26</v>
      </c>
      <c r="C12" s="1"/>
      <c r="D12" s="1"/>
      <c r="E12" s="1"/>
      <c r="F12" s="1"/>
      <c r="G12" s="1">
        <v>197580</v>
      </c>
      <c r="H12" s="1"/>
      <c r="I12" s="1"/>
      <c r="J12" s="1"/>
      <c r="K12" s="1"/>
      <c r="L12" s="5">
        <v>197580</v>
      </c>
      <c r="M12" s="5">
        <v>197580</v>
      </c>
      <c r="N12" s="5">
        <v>197580</v>
      </c>
      <c r="O12" s="5">
        <v>197580</v>
      </c>
      <c r="P12" s="1">
        <f t="shared" si="10"/>
        <v>197580</v>
      </c>
      <c r="Q12" s="1">
        <v>197580</v>
      </c>
      <c r="R12" s="1">
        <f t="shared" si="11"/>
        <v>197580</v>
      </c>
      <c r="S12" s="1">
        <f t="shared" si="12"/>
        <v>197580</v>
      </c>
      <c r="T12" s="1">
        <f t="shared" si="12"/>
        <v>197580</v>
      </c>
      <c r="U12" s="1">
        <f t="shared" si="2"/>
        <v>197580</v>
      </c>
      <c r="V12" s="1">
        <f t="shared" si="2"/>
        <v>197580</v>
      </c>
      <c r="W12" s="1">
        <f t="shared" si="3"/>
        <v>197580</v>
      </c>
      <c r="X12" s="1">
        <f t="shared" si="4"/>
        <v>197580</v>
      </c>
      <c r="Y12" s="1">
        <f t="shared" si="5"/>
        <v>197580</v>
      </c>
      <c r="Z12" s="1">
        <f t="shared" si="6"/>
        <v>197580</v>
      </c>
      <c r="AA12" s="1">
        <f t="shared" si="7"/>
        <v>197580</v>
      </c>
      <c r="AB12" s="1">
        <f t="shared" si="7"/>
        <v>197580</v>
      </c>
      <c r="AC12" s="1">
        <f>AB12</f>
        <v>197580</v>
      </c>
      <c r="AD12" s="1">
        <f t="shared" si="13"/>
        <v>197580</v>
      </c>
      <c r="AE12" s="1">
        <f t="shared" si="14"/>
        <v>197580</v>
      </c>
      <c r="AF12" s="1">
        <f t="shared" si="14"/>
        <v>197580</v>
      </c>
      <c r="AG12" s="1">
        <f t="shared" si="15"/>
        <v>197580</v>
      </c>
      <c r="AH12" s="1">
        <v>197580</v>
      </c>
      <c r="AI12" s="1">
        <f t="shared" si="9"/>
        <v>197580</v>
      </c>
      <c r="AJ12" s="1">
        <f>AI12</f>
        <v>197580</v>
      </c>
      <c r="AK12" s="17">
        <f t="shared" si="0"/>
        <v>0</v>
      </c>
      <c r="AL12" s="17">
        <f t="shared" si="1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</row>
    <row r="13" spans="1:69" x14ac:dyDescent="0.35">
      <c r="A13" t="s">
        <v>24</v>
      </c>
      <c r="B13" t="s">
        <v>27</v>
      </c>
      <c r="C13" s="1"/>
      <c r="D13" s="1"/>
      <c r="E13" s="1"/>
      <c r="F13" s="1"/>
      <c r="G13" s="1">
        <v>16240</v>
      </c>
      <c r="H13" s="1"/>
      <c r="I13" s="1"/>
      <c r="J13" s="1"/>
      <c r="K13" s="1"/>
      <c r="L13" s="5">
        <v>16240</v>
      </c>
      <c r="M13" s="5">
        <v>16240</v>
      </c>
      <c r="N13" s="5">
        <v>16240</v>
      </c>
      <c r="O13" s="5">
        <v>16240</v>
      </c>
      <c r="P13" s="1">
        <f t="shared" si="10"/>
        <v>16240</v>
      </c>
      <c r="Q13" s="1">
        <v>16240</v>
      </c>
      <c r="R13" s="1">
        <f t="shared" si="11"/>
        <v>16240</v>
      </c>
      <c r="S13" s="1">
        <f t="shared" si="12"/>
        <v>16240</v>
      </c>
      <c r="T13" s="1">
        <f t="shared" si="12"/>
        <v>16240</v>
      </c>
      <c r="U13" s="1">
        <f t="shared" si="2"/>
        <v>16240</v>
      </c>
      <c r="V13" s="1">
        <f t="shared" si="2"/>
        <v>16240</v>
      </c>
      <c r="W13" s="1">
        <f>V13</f>
        <v>16240</v>
      </c>
      <c r="X13" s="1">
        <f t="shared" si="4"/>
        <v>16240</v>
      </c>
      <c r="Y13" s="1">
        <f t="shared" si="5"/>
        <v>16240</v>
      </c>
      <c r="Z13" s="1">
        <f t="shared" si="6"/>
        <v>16240</v>
      </c>
      <c r="AA13" s="1">
        <f t="shared" si="7"/>
        <v>16240</v>
      </c>
      <c r="AB13" s="1">
        <f t="shared" si="7"/>
        <v>16240</v>
      </c>
      <c r="AC13" s="1">
        <f>AB13</f>
        <v>16240</v>
      </c>
      <c r="AD13" s="1">
        <f t="shared" si="13"/>
        <v>16240</v>
      </c>
      <c r="AE13" s="1">
        <f t="shared" si="14"/>
        <v>16240</v>
      </c>
      <c r="AF13" s="1">
        <f t="shared" si="14"/>
        <v>16240</v>
      </c>
      <c r="AG13" s="1">
        <f t="shared" si="15"/>
        <v>16240</v>
      </c>
      <c r="AH13" s="1">
        <f t="shared" si="15"/>
        <v>16240</v>
      </c>
      <c r="AI13" s="1">
        <f t="shared" si="9"/>
        <v>16240</v>
      </c>
      <c r="AJ13" s="1">
        <f>AI13</f>
        <v>16240</v>
      </c>
      <c r="AK13" s="17">
        <f t="shared" si="0"/>
        <v>0</v>
      </c>
      <c r="AL13" s="17">
        <f t="shared" si="1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</row>
    <row r="14" spans="1:69" x14ac:dyDescent="0.35">
      <c r="A14" t="s">
        <v>24</v>
      </c>
      <c r="B14" t="s">
        <v>54</v>
      </c>
      <c r="C14" s="1"/>
      <c r="D14" s="1"/>
      <c r="E14" s="1"/>
      <c r="F14" s="1"/>
      <c r="G14" s="1">
        <v>18350</v>
      </c>
      <c r="H14" s="1"/>
      <c r="I14" s="1"/>
      <c r="J14" s="1"/>
      <c r="K14" s="1"/>
      <c r="L14" s="5">
        <v>17660</v>
      </c>
      <c r="M14" s="5">
        <f>L14-139.8</f>
        <v>17520.2</v>
      </c>
      <c r="N14" s="5">
        <v>17390</v>
      </c>
      <c r="O14" s="1">
        <f>17250-0.7</f>
        <v>17249.3</v>
      </c>
      <c r="P14" s="1">
        <f>O14-142.9</f>
        <v>17106.399999999998</v>
      </c>
      <c r="Q14" s="1">
        <v>16980</v>
      </c>
      <c r="R14" s="1">
        <f>Q14-145</f>
        <v>16835</v>
      </c>
      <c r="S14" s="1">
        <f>R14-142.2</f>
        <v>16692.8</v>
      </c>
      <c r="T14" s="1">
        <f>S14-143.4</f>
        <v>16549.399999999998</v>
      </c>
      <c r="U14" s="1">
        <f>T14-152.6</f>
        <v>16396.8</v>
      </c>
      <c r="V14" s="1">
        <f>U14-145.6</f>
        <v>16251.199999999999</v>
      </c>
      <c r="W14" s="1">
        <f>V14-150.7</f>
        <v>16100.499999999998</v>
      </c>
      <c r="X14" s="1">
        <f>W14-147.9</f>
        <v>15952.599999999999</v>
      </c>
      <c r="Y14" s="1">
        <f>X14-152.9</f>
        <v>15799.699999999999</v>
      </c>
      <c r="Z14" s="1">
        <f>Y14-150.2</f>
        <v>15649.499999999998</v>
      </c>
      <c r="AA14" s="1">
        <f>Z14-151.3</f>
        <v>15498.199999999999</v>
      </c>
      <c r="AB14" s="1">
        <f>AA14-156.3</f>
        <v>15341.9</v>
      </c>
      <c r="AC14" s="1">
        <f>AB14-153.7</f>
        <v>15188.199999999999</v>
      </c>
      <c r="AD14" s="1">
        <f>AC14-158.6</f>
        <v>15029.599999999999</v>
      </c>
      <c r="AE14" s="1">
        <f>AD14-155.8</f>
        <v>14873.8</v>
      </c>
      <c r="AF14" s="1">
        <f>AE14-156.9</f>
        <v>14716.9</v>
      </c>
      <c r="AG14" s="1">
        <f>AF14-169</f>
        <v>14547.9</v>
      </c>
      <c r="AH14" s="1">
        <f>AG14-159.4</f>
        <v>14388.5</v>
      </c>
      <c r="AI14" s="1">
        <f>AH14-164.2</f>
        <v>14224.3</v>
      </c>
      <c r="AJ14" s="1">
        <f>AI14-161.9</f>
        <v>14062.4</v>
      </c>
      <c r="AK14" s="17">
        <f t="shared" si="0"/>
        <v>-161.89999999999964</v>
      </c>
      <c r="AL14" s="17">
        <f t="shared" si="1"/>
        <v>-1890.1999999999989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</row>
    <row r="15" spans="1:69" x14ac:dyDescent="0.35">
      <c r="A15" t="s">
        <v>24</v>
      </c>
      <c r="B15" t="s">
        <v>55</v>
      </c>
      <c r="C15" s="1"/>
      <c r="D15" s="1"/>
      <c r="E15" s="1"/>
      <c r="F15" s="1"/>
      <c r="G15" s="1">
        <v>4830</v>
      </c>
      <c r="H15" s="1"/>
      <c r="I15" s="1"/>
      <c r="J15" s="1"/>
      <c r="K15" s="1"/>
      <c r="L15" s="5">
        <v>4550</v>
      </c>
      <c r="M15" s="5">
        <v>4550</v>
      </c>
      <c r="N15" s="5">
        <v>4550</v>
      </c>
      <c r="O15" s="1">
        <v>4410</v>
      </c>
      <c r="P15" s="1">
        <f>O15</f>
        <v>4410</v>
      </c>
      <c r="Q15" s="1">
        <v>4410</v>
      </c>
      <c r="R15" s="1">
        <f>Q15-140.7</f>
        <v>4269.3</v>
      </c>
      <c r="S15" s="1">
        <f>R15</f>
        <v>4269.3</v>
      </c>
      <c r="T15" s="1">
        <f>S15</f>
        <v>4269.3</v>
      </c>
      <c r="U15" s="1">
        <f>T15-140.7</f>
        <v>4128.6000000000004</v>
      </c>
      <c r="V15" s="1">
        <f>U15</f>
        <v>4128.6000000000004</v>
      </c>
      <c r="W15" s="1">
        <f>V15</f>
        <v>4128.6000000000004</v>
      </c>
      <c r="X15" s="1">
        <f>W15-140.7</f>
        <v>3987.9000000000005</v>
      </c>
      <c r="Y15" s="1">
        <f>X15</f>
        <v>3987.9000000000005</v>
      </c>
      <c r="Z15" s="1">
        <f>Y15</f>
        <v>3987.9000000000005</v>
      </c>
      <c r="AA15" s="1">
        <f>Z15-140.7</f>
        <v>3847.2000000000007</v>
      </c>
      <c r="AB15" s="1">
        <f>AA15</f>
        <v>3847.2000000000007</v>
      </c>
      <c r="AC15" s="1">
        <f>AB15</f>
        <v>3847.2000000000007</v>
      </c>
      <c r="AD15" s="1">
        <f>AC15-140.7</f>
        <v>3706.5000000000009</v>
      </c>
      <c r="AE15" s="1">
        <f>AD15</f>
        <v>3706.5000000000009</v>
      </c>
      <c r="AF15" s="1">
        <f>AE15</f>
        <v>3706.5000000000009</v>
      </c>
      <c r="AG15" s="1">
        <f>AF15-166.7</f>
        <v>3539.8000000000011</v>
      </c>
      <c r="AH15" s="1">
        <f>AG15</f>
        <v>3539.8000000000011</v>
      </c>
      <c r="AI15" s="1">
        <f>AH15</f>
        <v>3539.8000000000011</v>
      </c>
      <c r="AJ15" s="1">
        <f>AI15-166.7</f>
        <v>3373.1000000000013</v>
      </c>
      <c r="AK15" s="17">
        <f t="shared" si="0"/>
        <v>-166.69999999999982</v>
      </c>
      <c r="AL15" s="17">
        <f t="shared" si="1"/>
        <v>-614.79999999999927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</row>
    <row r="16" spans="1:69" x14ac:dyDescent="0.35">
      <c r="A16" t="s">
        <v>24</v>
      </c>
      <c r="B16" t="s">
        <v>56</v>
      </c>
      <c r="C16" s="1"/>
      <c r="D16" s="1"/>
      <c r="E16" s="1"/>
      <c r="F16" s="1"/>
      <c r="G16" s="1">
        <v>31590</v>
      </c>
      <c r="H16" s="1"/>
      <c r="I16" s="1"/>
      <c r="J16" s="1"/>
      <c r="K16" s="1"/>
      <c r="L16" s="5">
        <v>31030</v>
      </c>
      <c r="M16" s="5">
        <f>L16-115.3</f>
        <v>30914.7</v>
      </c>
      <c r="N16" s="5">
        <v>30820</v>
      </c>
      <c r="O16" s="1">
        <v>30700</v>
      </c>
      <c r="P16" s="1">
        <f>O16-118.9</f>
        <v>30581.1</v>
      </c>
      <c r="Q16" s="1">
        <v>30470</v>
      </c>
      <c r="R16" s="1">
        <f>Q16-121.4</f>
        <v>30348.6</v>
      </c>
      <c r="S16" s="1">
        <f>R16-90.4</f>
        <v>30258.199999999997</v>
      </c>
      <c r="T16" s="1">
        <f>S16-158.8</f>
        <v>30099.399999999998</v>
      </c>
      <c r="U16" s="1">
        <f>T16-167.3</f>
        <v>29932.1</v>
      </c>
      <c r="V16" s="1">
        <f>U16-154.1</f>
        <v>29778</v>
      </c>
      <c r="W16" s="1">
        <f>V16-162.4</f>
        <v>29615.599999999999</v>
      </c>
      <c r="X16" s="1">
        <f>W16-156.5</f>
        <v>29459.1</v>
      </c>
      <c r="Y16" s="1">
        <f>X16-150.6</f>
        <v>29308.5</v>
      </c>
      <c r="Z16" s="1">
        <f>Y16-172.9</f>
        <v>29135.599999999999</v>
      </c>
      <c r="AA16" s="1">
        <f>Z16-160.1</f>
        <v>28975.5</v>
      </c>
      <c r="AB16" s="1">
        <f>AA16-161.2</f>
        <v>28814.3</v>
      </c>
      <c r="AC16" s="1">
        <f>AB16-169.4</f>
        <v>28644.899999999998</v>
      </c>
      <c r="AD16" s="1">
        <f>AC16-170.6</f>
        <v>28474.3</v>
      </c>
      <c r="AE16" s="1">
        <f>AD16-164.5</f>
        <v>28309.8</v>
      </c>
      <c r="AF16" s="1">
        <f>AE16-153.8</f>
        <v>28156</v>
      </c>
      <c r="AG16" s="1">
        <f>AF16-173.9</f>
        <v>27982.1</v>
      </c>
      <c r="AH16" s="1">
        <f>AG16-142</f>
        <v>27840.1</v>
      </c>
      <c r="AI16" s="1">
        <f>AH16-168.2</f>
        <v>27671.899999999998</v>
      </c>
      <c r="AJ16" s="1">
        <f>AI16-153.2</f>
        <v>27518.699999999997</v>
      </c>
      <c r="AK16" s="17">
        <f t="shared" si="0"/>
        <v>-153.20000000000073</v>
      </c>
      <c r="AL16" s="17">
        <f t="shared" si="1"/>
        <v>-1940.4000000000015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</row>
    <row r="17" spans="1:69" x14ac:dyDescent="0.35">
      <c r="A17" t="s">
        <v>24</v>
      </c>
      <c r="B17" t="s">
        <v>128</v>
      </c>
      <c r="C17" s="1"/>
      <c r="D17" s="1"/>
      <c r="E17" s="1"/>
      <c r="F17" s="1"/>
      <c r="G17" s="1"/>
      <c r="H17" s="1"/>
      <c r="I17" s="1"/>
      <c r="J17" s="1"/>
      <c r="K17" s="1"/>
      <c r="L17" s="5"/>
      <c r="M17" s="5"/>
      <c r="N17" s="5"/>
      <c r="O17" s="1">
        <v>0</v>
      </c>
      <c r="P17" s="1">
        <v>154.9</v>
      </c>
      <c r="Q17" s="1">
        <v>154.9</v>
      </c>
      <c r="R17" s="1">
        <f t="shared" ref="R17:W17" si="16">Q17</f>
        <v>154.9</v>
      </c>
      <c r="S17" s="1">
        <f t="shared" si="16"/>
        <v>154.9</v>
      </c>
      <c r="T17" s="1">
        <f t="shared" si="16"/>
        <v>154.9</v>
      </c>
      <c r="U17" s="1">
        <f t="shared" si="16"/>
        <v>154.9</v>
      </c>
      <c r="V17" s="1">
        <f t="shared" si="16"/>
        <v>154.9</v>
      </c>
      <c r="W17" s="1">
        <f t="shared" si="16"/>
        <v>154.9</v>
      </c>
      <c r="X17" s="1">
        <f t="shared" ref="X17:AC17" si="17">W17</f>
        <v>154.9</v>
      </c>
      <c r="Y17" s="1">
        <f t="shared" si="17"/>
        <v>154.9</v>
      </c>
      <c r="Z17" s="1">
        <f t="shared" si="17"/>
        <v>154.9</v>
      </c>
      <c r="AA17" s="1">
        <f t="shared" si="17"/>
        <v>154.9</v>
      </c>
      <c r="AB17" s="1">
        <f t="shared" si="17"/>
        <v>154.9</v>
      </c>
      <c r="AC17" s="1">
        <f t="shared" si="17"/>
        <v>154.9</v>
      </c>
      <c r="AD17" s="1">
        <f t="shared" ref="AD17:AE19" si="18">AC17</f>
        <v>154.9</v>
      </c>
      <c r="AE17" s="1">
        <f t="shared" si="18"/>
        <v>154.9</v>
      </c>
      <c r="AF17" s="1">
        <f>AE17</f>
        <v>154.9</v>
      </c>
      <c r="AG17" s="1">
        <f>AF17</f>
        <v>154.9</v>
      </c>
      <c r="AH17" s="1">
        <f>AG17</f>
        <v>154.9</v>
      </c>
      <c r="AI17" s="1">
        <f>AH17</f>
        <v>154.9</v>
      </c>
      <c r="AJ17" s="1">
        <f>AI17</f>
        <v>154.9</v>
      </c>
      <c r="AK17" s="17">
        <f t="shared" si="0"/>
        <v>0</v>
      </c>
      <c r="AL17" s="17">
        <f t="shared" si="1"/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 spans="1:69" x14ac:dyDescent="0.35">
      <c r="A18" t="s">
        <v>24</v>
      </c>
      <c r="B18" t="s">
        <v>213</v>
      </c>
      <c r="C18" s="1"/>
      <c r="D18" s="1"/>
      <c r="E18" s="1"/>
      <c r="F18" s="1"/>
      <c r="G18" s="1"/>
      <c r="H18" s="1"/>
      <c r="I18" s="1"/>
      <c r="J18" s="1"/>
      <c r="K18" s="1"/>
      <c r="L18" s="5"/>
      <c r="M18" s="5"/>
      <c r="N18" s="5"/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300.5</v>
      </c>
      <c r="Z18" s="1">
        <f t="shared" ref="Z18:AB19" si="19">Y18</f>
        <v>300.5</v>
      </c>
      <c r="AA18" s="1">
        <f t="shared" si="19"/>
        <v>300.5</v>
      </c>
      <c r="AB18" s="1">
        <f t="shared" si="19"/>
        <v>300.5</v>
      </c>
      <c r="AC18" s="1">
        <f>AB18</f>
        <v>300.5</v>
      </c>
      <c r="AD18" s="1">
        <f t="shared" si="18"/>
        <v>300.5</v>
      </c>
      <c r="AE18" s="1">
        <f t="shared" si="18"/>
        <v>300.5</v>
      </c>
      <c r="AF18" s="1">
        <f>AE18</f>
        <v>300.5</v>
      </c>
      <c r="AG18" s="1">
        <f t="shared" ref="AG18:AH20" si="20">AF18</f>
        <v>300.5</v>
      </c>
      <c r="AH18" s="1">
        <f t="shared" si="20"/>
        <v>300.5</v>
      </c>
      <c r="AI18" s="1">
        <f>AH18</f>
        <v>300.5</v>
      </c>
      <c r="AJ18" s="1">
        <f>AI18</f>
        <v>300.5</v>
      </c>
      <c r="AK18" s="17">
        <f t="shared" si="0"/>
        <v>0</v>
      </c>
      <c r="AL18" s="17">
        <f t="shared" si="1"/>
        <v>300.5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</row>
    <row r="19" spans="1:69" x14ac:dyDescent="0.35">
      <c r="A19" t="s">
        <v>24</v>
      </c>
      <c r="B19" t="s">
        <v>212</v>
      </c>
      <c r="C19" s="1"/>
      <c r="D19" s="1"/>
      <c r="E19" s="1"/>
      <c r="F19" s="1"/>
      <c r="G19" s="1"/>
      <c r="H19" s="1"/>
      <c r="I19" s="1"/>
      <c r="J19" s="1"/>
      <c r="K19" s="1"/>
      <c r="L19" s="5"/>
      <c r="M19" s="5"/>
      <c r="N19" s="5"/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939.5</v>
      </c>
      <c r="Z19" s="1">
        <f t="shared" si="19"/>
        <v>939.5</v>
      </c>
      <c r="AA19" s="1">
        <f t="shared" si="19"/>
        <v>939.5</v>
      </c>
      <c r="AB19" s="1">
        <f t="shared" si="19"/>
        <v>939.5</v>
      </c>
      <c r="AC19" s="1">
        <f>AB19</f>
        <v>939.5</v>
      </c>
      <c r="AD19" s="1">
        <f t="shared" si="18"/>
        <v>939.5</v>
      </c>
      <c r="AE19" s="1">
        <f t="shared" si="18"/>
        <v>939.5</v>
      </c>
      <c r="AF19" s="1">
        <f>AE19</f>
        <v>939.5</v>
      </c>
      <c r="AG19" s="1">
        <f t="shared" si="20"/>
        <v>939.5</v>
      </c>
      <c r="AH19" s="1">
        <f t="shared" si="20"/>
        <v>939.5</v>
      </c>
      <c r="AI19" s="1">
        <f>AH19</f>
        <v>939.5</v>
      </c>
      <c r="AJ19" s="1">
        <f>AI19</f>
        <v>939.5</v>
      </c>
      <c r="AK19" s="17">
        <f t="shared" si="0"/>
        <v>0</v>
      </c>
      <c r="AL19" s="17">
        <f t="shared" si="1"/>
        <v>939.5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</row>
    <row r="20" spans="1:69" x14ac:dyDescent="0.35">
      <c r="A20" t="s">
        <v>24</v>
      </c>
      <c r="B20" t="s">
        <v>57</v>
      </c>
      <c r="C20" s="1"/>
      <c r="D20" s="1"/>
      <c r="E20" s="1"/>
      <c r="F20" s="1"/>
      <c r="G20" s="1">
        <v>2170</v>
      </c>
      <c r="H20" s="1"/>
      <c r="I20" s="1"/>
      <c r="J20" s="1"/>
      <c r="K20" s="1"/>
      <c r="L20" s="5">
        <v>7130</v>
      </c>
      <c r="M20" s="5">
        <f>L20+2405.9</f>
        <v>9535.9</v>
      </c>
      <c r="N20" s="5">
        <v>11170</v>
      </c>
      <c r="O20" s="1">
        <v>12020</v>
      </c>
      <c r="P20" s="1">
        <f>O20+842.4</f>
        <v>12862.4</v>
      </c>
      <c r="Q20" s="1">
        <v>13700</v>
      </c>
      <c r="R20" s="1">
        <f>Q20+870.5</f>
        <v>14570.5</v>
      </c>
      <c r="S20" s="1">
        <f t="shared" ref="S20:T24" si="21">R20</f>
        <v>14570.5</v>
      </c>
      <c r="T20" s="1">
        <f t="shared" si="21"/>
        <v>14570.5</v>
      </c>
      <c r="U20" s="1">
        <f>T20</f>
        <v>14570.5</v>
      </c>
      <c r="V20" s="1">
        <f>U20+1786.7</f>
        <v>16357.2</v>
      </c>
      <c r="W20" s="1">
        <f>V20+893.3</f>
        <v>17250.5</v>
      </c>
      <c r="X20" s="1">
        <f>W20+917.7</f>
        <v>18168.2</v>
      </c>
      <c r="Y20" s="1">
        <f>X20+917.7</f>
        <v>19085.900000000001</v>
      </c>
      <c r="Z20" s="1">
        <f>Y20+917.7</f>
        <v>20003.600000000002</v>
      </c>
      <c r="AA20" s="1">
        <f>Z20+938</f>
        <v>20941.600000000002</v>
      </c>
      <c r="AB20" s="1">
        <f>AA20</f>
        <v>20941.600000000002</v>
      </c>
      <c r="AC20" s="1">
        <f>AB20</f>
        <v>20941.600000000002</v>
      </c>
      <c r="AD20" s="1">
        <f>AC20+2832.8</f>
        <v>23774.400000000001</v>
      </c>
      <c r="AE20" s="1">
        <f>AD20</f>
        <v>23774.400000000001</v>
      </c>
      <c r="AF20" s="1">
        <f>AE20</f>
        <v>23774.400000000001</v>
      </c>
      <c r="AG20" s="1">
        <f t="shared" si="20"/>
        <v>23774.400000000001</v>
      </c>
      <c r="AH20" s="1">
        <f>AG20+1950.2</f>
        <v>25724.600000000002</v>
      </c>
      <c r="AI20" s="1">
        <f>AH20+975.1</f>
        <v>26699.7</v>
      </c>
      <c r="AJ20" s="1">
        <f>AI20+995.7</f>
        <v>27695.4</v>
      </c>
      <c r="AK20" s="17">
        <f t="shared" si="0"/>
        <v>995.70000000000073</v>
      </c>
      <c r="AL20" s="17">
        <f t="shared" si="1"/>
        <v>9527.2000000000007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spans="1:69" x14ac:dyDescent="0.35">
      <c r="A21" t="s">
        <v>24</v>
      </c>
      <c r="B21" t="s">
        <v>189</v>
      </c>
      <c r="C21" s="1"/>
      <c r="D21" s="1"/>
      <c r="E21" s="1"/>
      <c r="F21" s="1"/>
      <c r="G21" s="1"/>
      <c r="H21" s="1"/>
      <c r="I21" s="1"/>
      <c r="J21" s="1"/>
      <c r="K21" s="1"/>
      <c r="L21" s="5"/>
      <c r="M21" s="5"/>
      <c r="N21" s="5"/>
      <c r="O21" s="1"/>
      <c r="P21" s="1"/>
      <c r="Q21" s="1"/>
      <c r="R21" s="1"/>
      <c r="S21" s="1"/>
      <c r="T21" s="1"/>
      <c r="U21" s="1"/>
      <c r="V21" s="1">
        <v>316</v>
      </c>
      <c r="W21" s="1">
        <f>V21</f>
        <v>316</v>
      </c>
      <c r="X21" s="1">
        <f>W21</f>
        <v>316</v>
      </c>
      <c r="Y21" s="1">
        <f>X21+26885</f>
        <v>27201</v>
      </c>
      <c r="Z21" s="1">
        <f>Y21</f>
        <v>27201</v>
      </c>
      <c r="AA21" s="1">
        <f>Z21</f>
        <v>27201</v>
      </c>
      <c r="AB21" s="1">
        <f>AA21+62050</f>
        <v>89251</v>
      </c>
      <c r="AC21" s="1">
        <f>AB21</f>
        <v>89251</v>
      </c>
      <c r="AD21" s="1">
        <f>AC21+137039</f>
        <v>226290</v>
      </c>
      <c r="AE21" s="1">
        <f>AD21+77848</f>
        <v>304138</v>
      </c>
      <c r="AF21" s="1">
        <f>AE21+37297</f>
        <v>341435</v>
      </c>
      <c r="AG21" s="1">
        <f>AF21+49015</f>
        <v>390450</v>
      </c>
      <c r="AH21" s="1">
        <f>AG21</f>
        <v>390450</v>
      </c>
      <c r="AI21" s="1">
        <f>AH21+47473</f>
        <v>437923</v>
      </c>
      <c r="AJ21" s="1">
        <f>AI21</f>
        <v>437923</v>
      </c>
      <c r="AK21" s="17">
        <f t="shared" si="0"/>
        <v>0</v>
      </c>
      <c r="AL21" s="17">
        <f t="shared" si="1"/>
        <v>437607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spans="1:69" x14ac:dyDescent="0.35">
      <c r="A22" t="s">
        <v>24</v>
      </c>
      <c r="B22" t="s">
        <v>231</v>
      </c>
      <c r="C22" s="1"/>
      <c r="D22" s="1"/>
      <c r="E22" s="1"/>
      <c r="F22" s="1"/>
      <c r="G22" s="1"/>
      <c r="H22" s="1"/>
      <c r="I22" s="1"/>
      <c r="J22" s="1"/>
      <c r="K22" s="1"/>
      <c r="L22" s="5"/>
      <c r="M22" s="5"/>
      <c r="N22" s="5"/>
      <c r="O22" s="1"/>
      <c r="P22" s="1"/>
      <c r="Q22" s="1"/>
      <c r="R22" s="1"/>
      <c r="S22" s="1"/>
      <c r="T22" s="1"/>
      <c r="U22" s="1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17">
        <f t="shared" si="0"/>
        <v>0</v>
      </c>
      <c r="AL22" s="17">
        <f t="shared" si="1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spans="1:69" x14ac:dyDescent="0.35">
      <c r="A23" t="s">
        <v>24</v>
      </c>
      <c r="B23" t="s">
        <v>58</v>
      </c>
      <c r="C23" s="1"/>
      <c r="D23" s="1"/>
      <c r="E23" s="1"/>
      <c r="F23" s="1"/>
      <c r="G23" s="1">
        <v>120000</v>
      </c>
      <c r="H23" s="1"/>
      <c r="I23" s="1"/>
      <c r="J23" s="1"/>
      <c r="K23" s="1"/>
      <c r="L23" s="5">
        <v>120000</v>
      </c>
      <c r="M23" s="5">
        <v>120000</v>
      </c>
      <c r="N23" s="5">
        <v>120000</v>
      </c>
      <c r="O23" s="1">
        <v>120000</v>
      </c>
      <c r="P23" s="1">
        <f>O23</f>
        <v>120000</v>
      </c>
      <c r="Q23" s="1">
        <v>120000</v>
      </c>
      <c r="R23" s="1">
        <f>Q23</f>
        <v>120000</v>
      </c>
      <c r="S23" s="1">
        <f t="shared" si="21"/>
        <v>120000</v>
      </c>
      <c r="T23" s="1">
        <f t="shared" si="21"/>
        <v>120000</v>
      </c>
      <c r="U23" s="1">
        <f t="shared" ref="U23:AE23" si="22">T23</f>
        <v>120000</v>
      </c>
      <c r="V23" s="1">
        <f t="shared" si="22"/>
        <v>120000</v>
      </c>
      <c r="W23" s="1">
        <f t="shared" si="22"/>
        <v>120000</v>
      </c>
      <c r="X23" s="1">
        <f t="shared" si="22"/>
        <v>120000</v>
      </c>
      <c r="Y23" s="1">
        <f t="shared" si="22"/>
        <v>120000</v>
      </c>
      <c r="Z23" s="1">
        <f t="shared" si="22"/>
        <v>120000</v>
      </c>
      <c r="AA23" s="1">
        <f t="shared" si="22"/>
        <v>120000</v>
      </c>
      <c r="AB23" s="1">
        <f t="shared" si="22"/>
        <v>120000</v>
      </c>
      <c r="AC23" s="1">
        <f t="shared" si="22"/>
        <v>120000</v>
      </c>
      <c r="AD23" s="1">
        <f t="shared" si="22"/>
        <v>120000</v>
      </c>
      <c r="AE23" s="1">
        <f t="shared" si="22"/>
        <v>120000</v>
      </c>
      <c r="AF23" s="1">
        <f t="shared" ref="AF23:AH24" si="23">AE23</f>
        <v>120000</v>
      </c>
      <c r="AG23" s="1">
        <f t="shared" si="23"/>
        <v>120000</v>
      </c>
      <c r="AH23" s="1">
        <f t="shared" si="23"/>
        <v>120000</v>
      </c>
      <c r="AI23" s="1">
        <f>AH23</f>
        <v>120000</v>
      </c>
      <c r="AJ23" s="1">
        <f>AI23</f>
        <v>120000</v>
      </c>
      <c r="AK23" s="17">
        <f t="shared" si="0"/>
        <v>0</v>
      </c>
      <c r="AL23" s="17">
        <f t="shared" si="1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spans="1:69" x14ac:dyDescent="0.35">
      <c r="A24" t="s">
        <v>35</v>
      </c>
      <c r="B24" t="s">
        <v>6</v>
      </c>
      <c r="C24" s="1">
        <v>3000</v>
      </c>
      <c r="D24" s="1">
        <v>3000</v>
      </c>
      <c r="E24" s="1">
        <v>3000</v>
      </c>
      <c r="F24" s="1">
        <v>3000</v>
      </c>
      <c r="G24" s="1">
        <v>3000</v>
      </c>
      <c r="H24" s="1">
        <v>3000</v>
      </c>
      <c r="I24" s="1">
        <v>3000</v>
      </c>
      <c r="J24" s="1">
        <v>3000</v>
      </c>
      <c r="K24" s="1">
        <v>3000</v>
      </c>
      <c r="L24" s="5">
        <v>3000</v>
      </c>
      <c r="M24" s="5">
        <v>3000</v>
      </c>
      <c r="N24" s="5">
        <v>3000</v>
      </c>
      <c r="O24" s="1">
        <v>3000</v>
      </c>
      <c r="P24" s="1">
        <v>3000</v>
      </c>
      <c r="Q24" s="1">
        <v>3000</v>
      </c>
      <c r="R24" s="1">
        <f>Q24</f>
        <v>3000</v>
      </c>
      <c r="S24" s="1">
        <f t="shared" si="21"/>
        <v>3000</v>
      </c>
      <c r="T24" s="1">
        <f t="shared" si="21"/>
        <v>3000</v>
      </c>
      <c r="U24" s="1">
        <f>T24</f>
        <v>3000</v>
      </c>
      <c r="V24" s="1">
        <v>3000</v>
      </c>
      <c r="W24" s="1">
        <v>3000</v>
      </c>
      <c r="X24" s="1">
        <f>W24</f>
        <v>3000</v>
      </c>
      <c r="Y24" s="1">
        <f>X24</f>
        <v>3000</v>
      </c>
      <c r="Z24" s="1">
        <v>3000</v>
      </c>
      <c r="AA24" s="1">
        <v>3000</v>
      </c>
      <c r="AB24" s="1">
        <v>3000</v>
      </c>
      <c r="AC24" s="1">
        <v>3000</v>
      </c>
      <c r="AD24" s="1">
        <f>AC24</f>
        <v>3000</v>
      </c>
      <c r="AE24" s="1">
        <f>AD24</f>
        <v>3000</v>
      </c>
      <c r="AF24" s="1">
        <f t="shared" si="23"/>
        <v>3000</v>
      </c>
      <c r="AG24" s="1">
        <f t="shared" si="23"/>
        <v>3000</v>
      </c>
      <c r="AH24" s="1">
        <f t="shared" si="23"/>
        <v>3000</v>
      </c>
      <c r="AI24" s="1">
        <v>3000</v>
      </c>
      <c r="AJ24" s="1">
        <f>AI24</f>
        <v>3000</v>
      </c>
      <c r="AK24" s="17">
        <f t="shared" si="0"/>
        <v>0</v>
      </c>
      <c r="AL24" s="17">
        <f t="shared" si="1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spans="1:69" x14ac:dyDescent="0.35">
      <c r="A25" t="s">
        <v>36</v>
      </c>
      <c r="B25" t="s">
        <v>7</v>
      </c>
      <c r="C25" s="1">
        <v>314357.40000000002</v>
      </c>
      <c r="D25" s="1">
        <v>319388.7</v>
      </c>
      <c r="E25" s="1">
        <v>385146.2</v>
      </c>
      <c r="F25" s="1">
        <v>583710</v>
      </c>
      <c r="G25" s="1">
        <v>583710</v>
      </c>
      <c r="H25" s="1">
        <v>583710</v>
      </c>
      <c r="I25" s="1">
        <v>595596</v>
      </c>
      <c r="J25" s="1">
        <v>603639.1</v>
      </c>
      <c r="K25" s="1">
        <v>619314.4</v>
      </c>
      <c r="L25" s="5">
        <v>697875.5</v>
      </c>
      <c r="M25" s="5">
        <v>703010.4</v>
      </c>
      <c r="N25" s="5">
        <v>862315.2</v>
      </c>
      <c r="O25" s="1">
        <v>918404.2</v>
      </c>
      <c r="P25" s="1">
        <v>940395.4</v>
      </c>
      <c r="Q25" s="1">
        <f>386744.9+140891.8+117073.5+88556.5+4050+178300+57500</f>
        <v>973116.7</v>
      </c>
      <c r="R25" s="1">
        <v>1157407</v>
      </c>
      <c r="S25" s="1">
        <f>R25</f>
        <v>1157407</v>
      </c>
      <c r="T25" s="1">
        <v>1163373</v>
      </c>
      <c r="U25" s="1">
        <v>1179302</v>
      </c>
      <c r="V25" s="1">
        <v>1182890</v>
      </c>
      <c r="W25" s="1">
        <v>1213962.3</v>
      </c>
      <c r="X25" s="1">
        <v>1231367.6000000001</v>
      </c>
      <c r="Y25" s="1">
        <v>1236574.6000000001</v>
      </c>
      <c r="Z25" s="1">
        <v>1262976</v>
      </c>
      <c r="AA25" s="1">
        <v>1270394.2</v>
      </c>
      <c r="AB25" s="1">
        <v>1283924.3999999999</v>
      </c>
      <c r="AC25" s="1">
        <v>1296899.4000000001</v>
      </c>
      <c r="AD25" s="1">
        <v>1339327.2</v>
      </c>
      <c r="AE25" s="1">
        <v>1339073.0999999999</v>
      </c>
      <c r="AF25" s="1">
        <v>1338488.3</v>
      </c>
      <c r="AG25" s="1">
        <v>1340916</v>
      </c>
      <c r="AH25" s="1">
        <v>1340825.6000000001</v>
      </c>
      <c r="AI25" s="1">
        <v>1347272.4</v>
      </c>
      <c r="AJ25" s="1">
        <f>GETPIVOTDATA("Сумма, млн. руб",infra_invest!$J$20,"Получатель","АО «Атомэнергопром»")+GETPIVOTDATA("Сумма, млн. руб",infra_invest!$J$20,"Получатель","АО «ГТЛК»")+GETPIVOTDATA("Сумма, млн. руб",infra_invest!$J$20,"Получатель","ГК «Российские автомобильные дороги»")+GETPIVOTDATA("Сумма, млн. руб",infra_invest!$J$20,"Получатель","ГК Фонд содействия реформированию жилищно-коммунального хозяйства")+GETPIVOTDATA("Сумма, млн. руб",infra_invest!$J$20,"Получатель","ООО «Авиакапитал-Сервис»")+GETPIVOTDATA("Сумма, млн. руб",infra_invest!$J$20,"Получатель","ООО «Инфраструктурные инвестиции - 4»")+GETPIVOTDATA("Сумма, млн. руб",infra_invest!$J$20,"Получатель","ППК «Фонд развития территорий»")+GETPIVOTDATA("Сумма, млн. руб",infra_invest!$J$20,"Получатель","ОАО «РЖД»")</f>
        <v>1350046.2</v>
      </c>
      <c r="AK25" s="17">
        <f t="shared" si="0"/>
        <v>2773.8000000000466</v>
      </c>
      <c r="AL25" s="17">
        <f t="shared" si="1"/>
        <v>118678.59999999986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spans="1:69" x14ac:dyDescent="0.35">
      <c r="A26" t="s">
        <v>36</v>
      </c>
      <c r="B26" t="s">
        <v>8</v>
      </c>
      <c r="C26" s="1">
        <v>2221.4</v>
      </c>
      <c r="D26" s="1">
        <v>2221.4</v>
      </c>
      <c r="E26" s="1">
        <v>2221.4</v>
      </c>
      <c r="F26" s="1">
        <v>2153.4</v>
      </c>
      <c r="G26" s="1">
        <v>2153.4</v>
      </c>
      <c r="H26" s="1">
        <v>2082.4</v>
      </c>
      <c r="I26" s="1">
        <v>2082.4</v>
      </c>
      <c r="J26" s="1">
        <v>2082.4</v>
      </c>
      <c r="K26" s="1">
        <v>2082.4</v>
      </c>
      <c r="L26" s="5">
        <v>2014.4</v>
      </c>
      <c r="M26" s="5">
        <v>2014.4</v>
      </c>
      <c r="N26" s="5">
        <v>1943.5</v>
      </c>
      <c r="O26" s="1">
        <v>1943.5</v>
      </c>
      <c r="P26" s="1">
        <v>1943.5</v>
      </c>
      <c r="Q26" s="1">
        <v>1943.5</v>
      </c>
      <c r="R26" s="1">
        <v>1875.5</v>
      </c>
      <c r="S26" s="1">
        <f t="shared" ref="S26:T29" si="24">R26</f>
        <v>1875.5</v>
      </c>
      <c r="T26" s="1">
        <f t="shared" si="24"/>
        <v>1875.5</v>
      </c>
      <c r="U26" s="1">
        <f t="shared" ref="U26:V29" si="25">T26</f>
        <v>1875.5</v>
      </c>
      <c r="V26" s="1">
        <f t="shared" si="25"/>
        <v>1875.5</v>
      </c>
      <c r="W26" s="1">
        <v>1875.4</v>
      </c>
      <c r="X26" s="1">
        <f t="shared" ref="X26:Y28" si="26">W26</f>
        <v>1875.4</v>
      </c>
      <c r="Y26" s="1">
        <f t="shared" si="26"/>
        <v>1875.4</v>
      </c>
      <c r="Z26" s="1">
        <f t="shared" ref="Z26:AA29" si="27">Y26</f>
        <v>1875.4</v>
      </c>
      <c r="AA26" s="1">
        <f t="shared" ref="AA26:AF26" si="28">Z26</f>
        <v>1875.4</v>
      </c>
      <c r="AB26" s="1">
        <f t="shared" si="28"/>
        <v>1875.4</v>
      </c>
      <c r="AC26" s="1">
        <f t="shared" si="28"/>
        <v>1875.4</v>
      </c>
      <c r="AD26" s="1">
        <f t="shared" si="28"/>
        <v>1875.4</v>
      </c>
      <c r="AE26" s="1">
        <f t="shared" si="28"/>
        <v>1875.4</v>
      </c>
      <c r="AF26" s="1">
        <f t="shared" si="28"/>
        <v>1875.4</v>
      </c>
      <c r="AG26" s="1">
        <f>AF26</f>
        <v>1875.4</v>
      </c>
      <c r="AH26" s="1">
        <f>AG26</f>
        <v>1875.4</v>
      </c>
      <c r="AI26" s="1">
        <f>AH26</f>
        <v>1875.4</v>
      </c>
      <c r="AJ26" s="1">
        <f>AI26</f>
        <v>1875.4</v>
      </c>
      <c r="AK26" s="17">
        <f t="shared" si="0"/>
        <v>0</v>
      </c>
      <c r="AL26" s="17">
        <f t="shared" si="1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spans="1:69" x14ac:dyDescent="0.35">
      <c r="A27" t="s">
        <v>9</v>
      </c>
      <c r="B27" t="s">
        <v>30</v>
      </c>
      <c r="C27" s="1">
        <v>214037.9</v>
      </c>
      <c r="D27" s="1">
        <v>214037.9</v>
      </c>
      <c r="E27" s="1">
        <v>214037.9</v>
      </c>
      <c r="F27" s="1">
        <v>214037.9</v>
      </c>
      <c r="G27" s="1">
        <v>214037.9</v>
      </c>
      <c r="H27" s="1">
        <v>214037.9</v>
      </c>
      <c r="I27" s="1">
        <v>214037.9</v>
      </c>
      <c r="J27" s="1">
        <v>214037.9</v>
      </c>
      <c r="K27" s="1">
        <v>214037.9</v>
      </c>
      <c r="L27" s="5">
        <v>214037.9</v>
      </c>
      <c r="M27" s="5">
        <v>214037.9</v>
      </c>
      <c r="N27" s="5">
        <v>214037.9</v>
      </c>
      <c r="O27" s="5">
        <v>214037.9</v>
      </c>
      <c r="P27" s="5">
        <v>214037.9</v>
      </c>
      <c r="Q27" s="5">
        <v>214037.9</v>
      </c>
      <c r="R27" s="1">
        <f>Q27</f>
        <v>214037.9</v>
      </c>
      <c r="S27" s="1">
        <f t="shared" si="24"/>
        <v>214037.9</v>
      </c>
      <c r="T27" s="1">
        <f t="shared" si="24"/>
        <v>214037.9</v>
      </c>
      <c r="U27" s="1">
        <f t="shared" si="25"/>
        <v>214037.9</v>
      </c>
      <c r="V27" s="1">
        <f t="shared" si="25"/>
        <v>214037.9</v>
      </c>
      <c r="W27" s="1">
        <f>V27</f>
        <v>214037.9</v>
      </c>
      <c r="X27" s="1">
        <f t="shared" si="26"/>
        <v>214037.9</v>
      </c>
      <c r="Y27" s="1">
        <f t="shared" si="26"/>
        <v>214037.9</v>
      </c>
      <c r="Z27" s="1">
        <f t="shared" si="27"/>
        <v>214037.9</v>
      </c>
      <c r="AA27" s="1">
        <f t="shared" si="27"/>
        <v>214037.9</v>
      </c>
      <c r="AB27" s="1">
        <f t="shared" ref="AB27:AC29" si="29">AA27</f>
        <v>214037.9</v>
      </c>
      <c r="AC27" s="1">
        <f t="shared" si="29"/>
        <v>214037.9</v>
      </c>
      <c r="AD27" s="1">
        <f>AC27</f>
        <v>214037.9</v>
      </c>
      <c r="AE27" s="1">
        <v>214038</v>
      </c>
      <c r="AF27" s="1">
        <f>AE27</f>
        <v>214038</v>
      </c>
      <c r="AG27" s="1">
        <v>214038</v>
      </c>
      <c r="AH27" s="1">
        <v>214038</v>
      </c>
      <c r="AI27" s="1">
        <f>AH27</f>
        <v>214038</v>
      </c>
      <c r="AJ27" s="1">
        <f>AI27</f>
        <v>214038</v>
      </c>
      <c r="AK27" s="17">
        <f t="shared" si="0"/>
        <v>0</v>
      </c>
      <c r="AL27" s="17">
        <f t="shared" si="1"/>
        <v>0.10000000000582077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1:69" x14ac:dyDescent="0.35">
      <c r="A28" t="s">
        <v>9</v>
      </c>
      <c r="B28" t="s">
        <v>31</v>
      </c>
      <c r="C28" s="1">
        <v>25000</v>
      </c>
      <c r="D28" s="1">
        <v>25000</v>
      </c>
      <c r="E28" s="1">
        <v>25000</v>
      </c>
      <c r="F28" s="1">
        <v>25000</v>
      </c>
      <c r="G28" s="1">
        <v>25000</v>
      </c>
      <c r="H28" s="1">
        <v>25000</v>
      </c>
      <c r="I28" s="1">
        <v>25000</v>
      </c>
      <c r="J28" s="1">
        <v>25000</v>
      </c>
      <c r="K28" s="1">
        <v>25000</v>
      </c>
      <c r="L28" s="5">
        <v>25000</v>
      </c>
      <c r="M28" s="5">
        <v>25000</v>
      </c>
      <c r="N28" s="5">
        <v>25000</v>
      </c>
      <c r="O28" s="5">
        <v>25000</v>
      </c>
      <c r="P28" s="5">
        <v>25000</v>
      </c>
      <c r="Q28" s="5">
        <v>25000</v>
      </c>
      <c r="R28" s="1">
        <f>Q28</f>
        <v>25000</v>
      </c>
      <c r="S28" s="1">
        <f t="shared" si="24"/>
        <v>25000</v>
      </c>
      <c r="T28" s="1">
        <f t="shared" si="24"/>
        <v>25000</v>
      </c>
      <c r="U28" s="1">
        <f t="shared" si="25"/>
        <v>25000</v>
      </c>
      <c r="V28" s="1">
        <f t="shared" si="25"/>
        <v>25000</v>
      </c>
      <c r="W28" s="1">
        <f>V28</f>
        <v>25000</v>
      </c>
      <c r="X28" s="1">
        <f t="shared" si="26"/>
        <v>25000</v>
      </c>
      <c r="Y28" s="1">
        <f t="shared" si="26"/>
        <v>25000</v>
      </c>
      <c r="Z28" s="1">
        <f t="shared" si="27"/>
        <v>25000</v>
      </c>
      <c r="AA28" s="1">
        <f t="shared" si="27"/>
        <v>25000</v>
      </c>
      <c r="AB28" s="1">
        <f t="shared" si="29"/>
        <v>25000</v>
      </c>
      <c r="AC28" s="1">
        <f t="shared" si="29"/>
        <v>25000</v>
      </c>
      <c r="AD28" s="1">
        <f>AC28</f>
        <v>25000</v>
      </c>
      <c r="AE28" s="1">
        <v>25000</v>
      </c>
      <c r="AF28" s="1">
        <f>AE28</f>
        <v>25000</v>
      </c>
      <c r="AG28" s="1">
        <f>AF28</f>
        <v>25000</v>
      </c>
      <c r="AH28" s="1">
        <f>AG28</f>
        <v>25000</v>
      </c>
      <c r="AI28" s="1">
        <f>AH28</f>
        <v>25000</v>
      </c>
      <c r="AJ28" s="1">
        <f>AI28</f>
        <v>25000</v>
      </c>
      <c r="AK28" s="17">
        <f t="shared" si="0"/>
        <v>0</v>
      </c>
      <c r="AL28" s="17">
        <f t="shared" si="1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spans="1:69" x14ac:dyDescent="0.35">
      <c r="A29" t="s">
        <v>9</v>
      </c>
      <c r="B29" t="s">
        <v>32</v>
      </c>
      <c r="C29" s="1">
        <v>89954</v>
      </c>
      <c r="D29" s="1">
        <v>89954</v>
      </c>
      <c r="E29" s="1">
        <v>89954</v>
      </c>
      <c r="F29" s="1">
        <v>89954</v>
      </c>
      <c r="G29" s="1">
        <v>89954</v>
      </c>
      <c r="H29" s="1">
        <v>89954</v>
      </c>
      <c r="I29" s="1">
        <v>89954</v>
      </c>
      <c r="J29" s="1">
        <v>89954</v>
      </c>
      <c r="K29" s="1">
        <v>89954</v>
      </c>
      <c r="L29" s="5">
        <v>89954</v>
      </c>
      <c r="M29" s="5">
        <v>89954</v>
      </c>
      <c r="N29" s="5">
        <v>89954</v>
      </c>
      <c r="O29" s="5">
        <v>89954</v>
      </c>
      <c r="P29" s="5">
        <v>89954</v>
      </c>
      <c r="Q29" s="5">
        <v>89954</v>
      </c>
      <c r="R29" s="1">
        <f>Q29</f>
        <v>89954</v>
      </c>
      <c r="S29" s="1">
        <f t="shared" si="24"/>
        <v>89954</v>
      </c>
      <c r="T29" s="1">
        <f t="shared" si="24"/>
        <v>89954</v>
      </c>
      <c r="U29" s="1">
        <f t="shared" si="25"/>
        <v>89954</v>
      </c>
      <c r="V29" s="1">
        <f t="shared" si="25"/>
        <v>89954</v>
      </c>
      <c r="W29" s="1">
        <f>V29</f>
        <v>89954</v>
      </c>
      <c r="X29" s="1">
        <v>164954</v>
      </c>
      <c r="Y29" s="1">
        <f>X29</f>
        <v>164954</v>
      </c>
      <c r="Z29" s="1">
        <f t="shared" si="27"/>
        <v>164954</v>
      </c>
      <c r="AA29" s="1">
        <f t="shared" si="27"/>
        <v>164954</v>
      </c>
      <c r="AB29" s="1">
        <f t="shared" si="29"/>
        <v>164954</v>
      </c>
      <c r="AC29" s="1">
        <f t="shared" si="29"/>
        <v>164954</v>
      </c>
      <c r="AD29" s="1">
        <f>AC29</f>
        <v>164954</v>
      </c>
      <c r="AE29" s="1">
        <v>164954</v>
      </c>
      <c r="AF29" s="1">
        <f>AE29</f>
        <v>164954</v>
      </c>
      <c r="AG29" s="1">
        <f>AF29</f>
        <v>164954</v>
      </c>
      <c r="AH29" s="1">
        <f>AG29</f>
        <v>164954</v>
      </c>
      <c r="AI29" s="1">
        <f>AH29</f>
        <v>164954</v>
      </c>
      <c r="AJ29" s="1">
        <f>AI29</f>
        <v>164954</v>
      </c>
      <c r="AK29" s="17">
        <f t="shared" si="0"/>
        <v>0</v>
      </c>
      <c r="AL29" s="17">
        <f t="shared" si="1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spans="1:69" x14ac:dyDescent="0.35">
      <c r="A30" t="s">
        <v>38</v>
      </c>
      <c r="B30" t="s">
        <v>10</v>
      </c>
      <c r="C30" s="1">
        <v>138433.9</v>
      </c>
      <c r="D30" s="1">
        <v>138433.9</v>
      </c>
      <c r="E30" s="1">
        <v>138433.9</v>
      </c>
      <c r="F30" s="1">
        <v>138433.9</v>
      </c>
      <c r="G30" s="1">
        <v>138433.9</v>
      </c>
      <c r="H30" s="1">
        <v>138433.9</v>
      </c>
      <c r="I30" s="1">
        <v>0</v>
      </c>
      <c r="J30" s="1">
        <v>0</v>
      </c>
      <c r="K30" s="1">
        <v>0</v>
      </c>
      <c r="L30" s="5">
        <v>0</v>
      </c>
      <c r="M30" s="5">
        <v>0</v>
      </c>
      <c r="N30" s="5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f>AF30</f>
        <v>0</v>
      </c>
      <c r="AH30" s="1">
        <v>0</v>
      </c>
      <c r="AI30" s="1">
        <v>0</v>
      </c>
      <c r="AJ30" s="1">
        <v>0</v>
      </c>
      <c r="AK30" s="17">
        <f t="shared" si="0"/>
        <v>0</v>
      </c>
      <c r="AL30" s="17">
        <f t="shared" si="1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1:69" x14ac:dyDescent="0.35">
      <c r="A31" t="s">
        <v>38</v>
      </c>
      <c r="B31" t="s">
        <v>122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38433.9</v>
      </c>
      <c r="J31" s="1">
        <v>38433.9</v>
      </c>
      <c r="K31" s="1">
        <v>38433.9</v>
      </c>
      <c r="L31" s="5">
        <v>38433.9</v>
      </c>
      <c r="M31" s="5">
        <v>38433.9</v>
      </c>
      <c r="N31" s="5">
        <v>38433.9</v>
      </c>
      <c r="O31" s="1">
        <v>38433.9</v>
      </c>
      <c r="P31" s="1">
        <v>38433.9</v>
      </c>
      <c r="Q31" s="1">
        <v>38433.9</v>
      </c>
      <c r="R31" s="1">
        <f t="shared" ref="R31:W31" si="30">Q31</f>
        <v>38433.9</v>
      </c>
      <c r="S31" s="1">
        <f t="shared" si="30"/>
        <v>38433.9</v>
      </c>
      <c r="T31" s="1">
        <f t="shared" si="30"/>
        <v>38433.9</v>
      </c>
      <c r="U31" s="1">
        <f t="shared" si="30"/>
        <v>38433.9</v>
      </c>
      <c r="V31" s="1">
        <f t="shared" si="30"/>
        <v>38433.9</v>
      </c>
      <c r="W31" s="1">
        <f t="shared" si="30"/>
        <v>38433.9</v>
      </c>
      <c r="X31" s="1">
        <f t="shared" ref="X31:AC31" si="31">W31</f>
        <v>38433.9</v>
      </c>
      <c r="Y31" s="1">
        <f t="shared" si="31"/>
        <v>38433.9</v>
      </c>
      <c r="Z31" s="1">
        <f t="shared" si="31"/>
        <v>38433.9</v>
      </c>
      <c r="AA31" s="1">
        <f t="shared" si="31"/>
        <v>38433.9</v>
      </c>
      <c r="AB31" s="1">
        <f t="shared" si="31"/>
        <v>38433.9</v>
      </c>
      <c r="AC31" s="1">
        <f t="shared" si="31"/>
        <v>38433.9</v>
      </c>
      <c r="AD31" s="1">
        <f>AC31</f>
        <v>38433.9</v>
      </c>
      <c r="AE31" s="1">
        <f>AD31</f>
        <v>38433.9</v>
      </c>
      <c r="AF31" s="1">
        <f>AE31</f>
        <v>38433.9</v>
      </c>
      <c r="AG31" s="1">
        <f>AF31</f>
        <v>38433.9</v>
      </c>
      <c r="AH31" s="1">
        <f>AG31</f>
        <v>38433.9</v>
      </c>
      <c r="AI31" s="1">
        <f>AH31</f>
        <v>38433.9</v>
      </c>
      <c r="AJ31" s="1">
        <f>AI31</f>
        <v>38433.9</v>
      </c>
      <c r="AK31" s="17">
        <f t="shared" si="0"/>
        <v>0</v>
      </c>
      <c r="AL31" s="17">
        <f t="shared" si="1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 x14ac:dyDescent="0.35">
      <c r="A32" t="s">
        <v>38</v>
      </c>
      <c r="B32" t="s">
        <v>241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5">
        <v>0</v>
      </c>
      <c r="M32" s="5">
        <v>0</v>
      </c>
      <c r="N32" s="5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94200</v>
      </c>
      <c r="AJ32" s="1">
        <f>AI32</f>
        <v>94200</v>
      </c>
      <c r="AK32" s="17">
        <f t="shared" si="0"/>
        <v>0</v>
      </c>
      <c r="AL32" s="17">
        <f t="shared" si="1"/>
        <v>94200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1:69" x14ac:dyDescent="0.35">
      <c r="A33" t="s">
        <v>38</v>
      </c>
      <c r="B33" t="s">
        <v>244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93180</v>
      </c>
      <c r="AJ33" s="1">
        <f>AI33</f>
        <v>93180</v>
      </c>
      <c r="AK33" s="17">
        <f t="shared" si="0"/>
        <v>0</v>
      </c>
      <c r="AL33" s="17">
        <f t="shared" si="1"/>
        <v>93180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1:69" x14ac:dyDescent="0.35">
      <c r="A34" t="s">
        <v>38</v>
      </c>
      <c r="B34" t="s">
        <v>245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83055</v>
      </c>
      <c r="AJ34" s="1">
        <f>AI34</f>
        <v>83055</v>
      </c>
      <c r="AK34" s="17">
        <f t="shared" si="0"/>
        <v>0</v>
      </c>
      <c r="AL34" s="17">
        <f t="shared" si="1"/>
        <v>83055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 x14ac:dyDescent="0.35">
      <c r="A35" t="s">
        <v>38</v>
      </c>
      <c r="B35" t="s">
        <v>246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29565</v>
      </c>
      <c r="AJ35" s="1">
        <f>AI35</f>
        <v>29565</v>
      </c>
      <c r="AK35" s="17">
        <f t="shared" si="0"/>
        <v>0</v>
      </c>
      <c r="AL35" s="17">
        <f t="shared" si="1"/>
        <v>29565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1:69" x14ac:dyDescent="0.35">
      <c r="A36" t="s">
        <v>37</v>
      </c>
      <c r="B36" t="s">
        <v>120</v>
      </c>
      <c r="C36" s="1">
        <v>1231892.1000000001</v>
      </c>
      <c r="D36" s="1">
        <v>1432125.4</v>
      </c>
      <c r="E36" s="1">
        <v>1534896.1</v>
      </c>
      <c r="F36" s="1">
        <v>1590911.7</v>
      </c>
      <c r="G36" s="1">
        <v>1758281</v>
      </c>
      <c r="H36" s="1">
        <v>1920003.5</v>
      </c>
      <c r="I36" s="1">
        <v>2420417.2999999998</v>
      </c>
      <c r="J36" s="1">
        <v>2708739.7</v>
      </c>
      <c r="K36" s="1">
        <v>2756172.3</v>
      </c>
      <c r="L36" s="5">
        <v>2705012.9</v>
      </c>
      <c r="M36" s="5">
        <v>2931447</v>
      </c>
      <c r="N36" s="5">
        <v>2997062.1</v>
      </c>
      <c r="O36" s="1">
        <v>2944773.3</v>
      </c>
      <c r="P36" s="1">
        <v>3028345.1</v>
      </c>
      <c r="Q36" s="1">
        <v>3110787.4</v>
      </c>
      <c r="R36" s="1">
        <v>3067646.3</v>
      </c>
      <c r="S36" s="1">
        <v>3113497.8</v>
      </c>
      <c r="T36" s="1">
        <v>3303115.3</v>
      </c>
      <c r="U36" s="1">
        <v>3373360.7</v>
      </c>
      <c r="V36" s="1">
        <v>3483246.2</v>
      </c>
      <c r="W36" s="1">
        <v>3553491.6</v>
      </c>
      <c r="X36" s="1">
        <v>3698838.6</v>
      </c>
      <c r="Y36" s="1">
        <v>3271719.4</v>
      </c>
      <c r="Z36" s="1">
        <v>2895985.5</v>
      </c>
      <c r="AA36" s="1">
        <v>3057256.3</v>
      </c>
      <c r="AB36" s="1">
        <v>2708852.7</v>
      </c>
      <c r="AC36" s="1">
        <v>2632508.7999999998</v>
      </c>
      <c r="AD36" s="1">
        <v>3124000.8</v>
      </c>
      <c r="AE36" s="1">
        <v>3190971.1</v>
      </c>
      <c r="AF36" s="1">
        <v>3466757.7</v>
      </c>
      <c r="AG36" s="1">
        <v>3457722.9</v>
      </c>
      <c r="AH36" s="1">
        <v>3461111</v>
      </c>
      <c r="AI36" s="1">
        <v>3483133.3</v>
      </c>
      <c r="AJ36" s="1">
        <v>3569867.1</v>
      </c>
      <c r="AK36" s="17">
        <f t="shared" si="0"/>
        <v>86733.800000000279</v>
      </c>
      <c r="AL36" s="17">
        <f t="shared" si="1"/>
        <v>-128971.5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1:69" x14ac:dyDescent="0.35">
      <c r="A37" t="s">
        <v>37</v>
      </c>
      <c r="B37" t="s">
        <v>116</v>
      </c>
      <c r="C37" s="1">
        <v>53439.199999999997</v>
      </c>
      <c r="D37" s="1">
        <v>60627.5</v>
      </c>
      <c r="E37" s="1">
        <v>58793.2</v>
      </c>
      <c r="F37" s="1">
        <v>58073.8</v>
      </c>
      <c r="G37" s="1">
        <v>65876.899999999994</v>
      </c>
      <c r="H37" s="1">
        <v>66822.7</v>
      </c>
      <c r="I37" s="1">
        <v>74507.5</v>
      </c>
      <c r="J37" s="1">
        <v>94511.8</v>
      </c>
      <c r="K37" s="1">
        <v>94157.1</v>
      </c>
      <c r="L37" s="5">
        <v>100730.6</v>
      </c>
      <c r="M37" s="5">
        <v>107256.8</v>
      </c>
      <c r="N37" s="5">
        <v>104111.9</v>
      </c>
      <c r="O37" s="1">
        <v>97869.5</v>
      </c>
      <c r="P37" s="1">
        <v>92785.7</v>
      </c>
      <c r="Q37" s="1">
        <v>86046.6</v>
      </c>
      <c r="R37" s="1">
        <v>82901.8</v>
      </c>
      <c r="S37" s="1">
        <v>92076.3</v>
      </c>
      <c r="T37" s="1">
        <v>90823.1</v>
      </c>
      <c r="U37" s="1">
        <v>105719.8</v>
      </c>
      <c r="V37" s="1">
        <v>121964.4</v>
      </c>
      <c r="W37" s="1">
        <v>130264.1</v>
      </c>
      <c r="X37" s="1">
        <v>148471.20000000001</v>
      </c>
      <c r="Y37" s="1">
        <v>128206.9</v>
      </c>
      <c r="Z37" s="1">
        <v>112884.5</v>
      </c>
      <c r="AA37" s="1">
        <v>130145.8</v>
      </c>
      <c r="AB37" s="1">
        <v>127426.6</v>
      </c>
      <c r="AC37" s="1">
        <v>126433.5</v>
      </c>
      <c r="AD37" s="1">
        <v>139533.20000000001</v>
      </c>
      <c r="AE37" s="1">
        <v>152585.60000000001</v>
      </c>
      <c r="AF37" s="1">
        <v>171738.6</v>
      </c>
      <c r="AG37" s="1">
        <v>162233</v>
      </c>
      <c r="AH37" s="1">
        <v>166442</v>
      </c>
      <c r="AI37" s="1">
        <v>160696.1</v>
      </c>
      <c r="AJ37" s="1">
        <v>157172.79999999999</v>
      </c>
      <c r="AK37" s="17">
        <f t="shared" si="0"/>
        <v>-3523.3000000000175</v>
      </c>
      <c r="AL37" s="17">
        <f t="shared" si="1"/>
        <v>8701.5999999999767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x14ac:dyDescent="0.35">
      <c r="A38" t="s">
        <v>37</v>
      </c>
      <c r="B38" t="s">
        <v>11</v>
      </c>
      <c r="C38" s="1">
        <v>50000</v>
      </c>
      <c r="D38" s="1">
        <v>50000</v>
      </c>
      <c r="E38" s="1">
        <v>50000</v>
      </c>
      <c r="F38" s="1">
        <v>50000</v>
      </c>
      <c r="G38" s="1">
        <v>50000</v>
      </c>
      <c r="H38" s="1">
        <v>50000</v>
      </c>
      <c r="I38" s="1">
        <v>50000</v>
      </c>
      <c r="J38" s="1">
        <v>50000</v>
      </c>
      <c r="K38" s="1">
        <v>50000</v>
      </c>
      <c r="L38" s="5">
        <v>137000</v>
      </c>
      <c r="M38" s="5">
        <v>137000</v>
      </c>
      <c r="N38" s="5">
        <v>137000</v>
      </c>
      <c r="O38" s="1">
        <v>137000</v>
      </c>
      <c r="P38" s="1">
        <v>137000</v>
      </c>
      <c r="Q38" s="1">
        <v>137000</v>
      </c>
      <c r="R38" s="1">
        <f>Q38</f>
        <v>137000</v>
      </c>
      <c r="S38" s="1">
        <v>137000</v>
      </c>
      <c r="T38" s="1">
        <f t="shared" ref="T38:V39" si="32">S38</f>
        <v>137000</v>
      </c>
      <c r="U38" s="1">
        <f t="shared" si="32"/>
        <v>137000</v>
      </c>
      <c r="V38" s="1">
        <f t="shared" si="32"/>
        <v>137000</v>
      </c>
      <c r="W38" s="1">
        <v>137000</v>
      </c>
      <c r="X38" s="1">
        <f t="shared" ref="X38:Z39" si="33">W38</f>
        <v>137000</v>
      </c>
      <c r="Y38" s="1">
        <f t="shared" si="33"/>
        <v>137000</v>
      </c>
      <c r="Z38" s="1">
        <f t="shared" si="33"/>
        <v>137000</v>
      </c>
      <c r="AA38" s="1">
        <f t="shared" ref="AA38:AC39" si="34">Z38</f>
        <v>137000</v>
      </c>
      <c r="AB38" s="1">
        <f t="shared" si="34"/>
        <v>137000</v>
      </c>
      <c r="AC38" s="1">
        <f t="shared" si="34"/>
        <v>137000</v>
      </c>
      <c r="AD38" s="1">
        <f t="shared" ref="AD38:AF39" si="35">AC38</f>
        <v>137000</v>
      </c>
      <c r="AE38" s="1">
        <f t="shared" si="35"/>
        <v>137000</v>
      </c>
      <c r="AF38" s="1">
        <f t="shared" si="35"/>
        <v>137000</v>
      </c>
      <c r="AG38" s="1">
        <f>AF38</f>
        <v>137000</v>
      </c>
      <c r="AH38" s="1">
        <f>AG38</f>
        <v>137000</v>
      </c>
      <c r="AI38" s="1">
        <f>AH38</f>
        <v>137000</v>
      </c>
      <c r="AJ38" s="1">
        <f>AI38</f>
        <v>137000</v>
      </c>
      <c r="AK38" s="17">
        <f t="shared" si="0"/>
        <v>0</v>
      </c>
      <c r="AL38" s="17">
        <f t="shared" si="1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x14ac:dyDescent="0.35">
      <c r="A39" t="s">
        <v>37</v>
      </c>
      <c r="B39" t="s">
        <v>16</v>
      </c>
      <c r="C39" s="1">
        <v>58334</v>
      </c>
      <c r="D39" s="1">
        <v>58334</v>
      </c>
      <c r="E39" s="1">
        <v>58334</v>
      </c>
      <c r="F39" s="1">
        <v>58334</v>
      </c>
      <c r="G39" s="1">
        <v>58334</v>
      </c>
      <c r="H39" s="1">
        <v>58334</v>
      </c>
      <c r="I39" s="1">
        <v>58334</v>
      </c>
      <c r="J39" s="1">
        <v>58334</v>
      </c>
      <c r="K39" s="1">
        <v>58334</v>
      </c>
      <c r="L39" s="5">
        <v>58334</v>
      </c>
      <c r="M39" s="5">
        <v>58334</v>
      </c>
      <c r="N39" s="5">
        <v>58334</v>
      </c>
      <c r="O39" s="1">
        <v>58334</v>
      </c>
      <c r="P39" s="1">
        <v>58334</v>
      </c>
      <c r="Q39" s="1">
        <v>58334</v>
      </c>
      <c r="R39" s="1">
        <v>58334</v>
      </c>
      <c r="S39" s="1">
        <v>58334</v>
      </c>
      <c r="T39" s="1">
        <f t="shared" si="32"/>
        <v>58334</v>
      </c>
      <c r="U39" s="1">
        <f t="shared" si="32"/>
        <v>58334</v>
      </c>
      <c r="V39" s="1">
        <f t="shared" si="32"/>
        <v>58334</v>
      </c>
      <c r="W39" s="1">
        <v>58334</v>
      </c>
      <c r="X39" s="1">
        <f t="shared" si="33"/>
        <v>58334</v>
      </c>
      <c r="Y39" s="1">
        <f t="shared" si="33"/>
        <v>58334</v>
      </c>
      <c r="Z39" s="1">
        <f t="shared" si="33"/>
        <v>58334</v>
      </c>
      <c r="AA39" s="1">
        <f t="shared" si="34"/>
        <v>58334</v>
      </c>
      <c r="AB39" s="1">
        <f t="shared" si="34"/>
        <v>58334</v>
      </c>
      <c r="AC39" s="1">
        <f t="shared" si="34"/>
        <v>58334</v>
      </c>
      <c r="AD39" s="1">
        <f t="shared" si="35"/>
        <v>58334</v>
      </c>
      <c r="AE39" s="1">
        <f t="shared" si="35"/>
        <v>58334</v>
      </c>
      <c r="AF39" s="1">
        <f t="shared" si="35"/>
        <v>58334</v>
      </c>
      <c r="AG39" s="1">
        <v>58334</v>
      </c>
      <c r="AH39" s="1">
        <f>AG39</f>
        <v>58334</v>
      </c>
      <c r="AI39" s="1">
        <f>AH39</f>
        <v>58334</v>
      </c>
      <c r="AJ39" s="1">
        <f>AI39</f>
        <v>58334</v>
      </c>
      <c r="AK39" s="17">
        <f t="shared" si="0"/>
        <v>0</v>
      </c>
      <c r="AL39" s="17">
        <f t="shared" si="1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x14ac:dyDescent="0.35">
      <c r="A40" t="s">
        <v>37</v>
      </c>
      <c r="B40" t="s">
        <v>112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105853.1</v>
      </c>
      <c r="J40" s="1">
        <v>130289.7</v>
      </c>
      <c r="K40" s="1">
        <v>130084.9</v>
      </c>
      <c r="L40" s="5">
        <v>127216.9</v>
      </c>
      <c r="M40" s="5">
        <v>150482.9</v>
      </c>
      <c r="N40" s="5">
        <v>168598.2</v>
      </c>
      <c r="O40" s="1">
        <v>151214.5</v>
      </c>
      <c r="P40" s="1">
        <v>147205.20000000001</v>
      </c>
      <c r="Q40" s="1">
        <v>138806</v>
      </c>
      <c r="R40" s="1">
        <v>133713.79999999999</v>
      </c>
      <c r="S40" s="1">
        <f>143693.3</f>
        <v>143693.29999999999</v>
      </c>
      <c r="T40" s="1">
        <v>136845.20000000001</v>
      </c>
      <c r="U40" s="1">
        <v>133040.70000000001</v>
      </c>
      <c r="V40" s="1">
        <v>137137.79999999999</v>
      </c>
      <c r="W40" s="1">
        <v>116856.9</v>
      </c>
      <c r="X40" s="1">
        <v>125021.9</v>
      </c>
      <c r="Y40" s="1">
        <v>114989.8</v>
      </c>
      <c r="Z40" s="1">
        <v>109206.9</v>
      </c>
      <c r="AA40" s="1">
        <v>105730.2</v>
      </c>
      <c r="AB40" s="1">
        <v>88416.7</v>
      </c>
      <c r="AC40" s="1">
        <v>81568.600000000006</v>
      </c>
      <c r="AD40" s="1">
        <v>93052.4</v>
      </c>
      <c r="AE40" s="1">
        <v>99549.3</v>
      </c>
      <c r="AF40" s="1">
        <v>105777</v>
      </c>
      <c r="AG40" s="1">
        <v>95674.6</v>
      </c>
      <c r="AH40" s="1">
        <v>113339.2</v>
      </c>
      <c r="AI40" s="1">
        <v>110670.2</v>
      </c>
      <c r="AJ40" s="1">
        <v>124542</v>
      </c>
      <c r="AK40" s="17">
        <f t="shared" si="0"/>
        <v>13871.800000000003</v>
      </c>
      <c r="AL40" s="17">
        <f t="shared" si="1"/>
        <v>-479.89999999999418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1:69" x14ac:dyDescent="0.35">
      <c r="A41" t="s">
        <v>13</v>
      </c>
      <c r="B41" t="s">
        <v>12</v>
      </c>
      <c r="C41" s="1">
        <v>250000</v>
      </c>
      <c r="D41" s="1">
        <v>250000</v>
      </c>
      <c r="E41" s="1">
        <v>250000</v>
      </c>
      <c r="F41" s="1">
        <v>467000</v>
      </c>
      <c r="G41" s="1">
        <v>467000</v>
      </c>
      <c r="H41" s="1">
        <v>467000</v>
      </c>
      <c r="I41" s="1">
        <v>467000</v>
      </c>
      <c r="J41" s="1">
        <v>467000</v>
      </c>
      <c r="K41" s="1">
        <v>467000</v>
      </c>
      <c r="L41" s="5">
        <v>467000</v>
      </c>
      <c r="M41" s="5">
        <v>467000</v>
      </c>
      <c r="N41" s="5">
        <v>467000</v>
      </c>
      <c r="O41" s="1">
        <v>467000</v>
      </c>
      <c r="P41" s="1">
        <v>467000</v>
      </c>
      <c r="Q41" s="1">
        <v>467000</v>
      </c>
      <c r="R41" s="1">
        <f t="shared" ref="R41:W41" si="36">Q41</f>
        <v>467000</v>
      </c>
      <c r="S41" s="1">
        <f t="shared" si="36"/>
        <v>467000</v>
      </c>
      <c r="T41" s="1">
        <f t="shared" si="36"/>
        <v>467000</v>
      </c>
      <c r="U41" s="1">
        <f t="shared" si="36"/>
        <v>467000</v>
      </c>
      <c r="V41" s="1">
        <f t="shared" si="36"/>
        <v>467000</v>
      </c>
      <c r="W41" s="1">
        <f t="shared" si="36"/>
        <v>467000</v>
      </c>
      <c r="X41" s="1">
        <f t="shared" ref="X41:AC41" si="37">W41</f>
        <v>467000</v>
      </c>
      <c r="Y41" s="1">
        <f t="shared" si="37"/>
        <v>467000</v>
      </c>
      <c r="Z41" s="1">
        <f t="shared" si="37"/>
        <v>467000</v>
      </c>
      <c r="AA41" s="1">
        <f t="shared" si="37"/>
        <v>467000</v>
      </c>
      <c r="AB41" s="1">
        <f t="shared" si="37"/>
        <v>467000</v>
      </c>
      <c r="AC41" s="1">
        <f t="shared" si="37"/>
        <v>467000</v>
      </c>
      <c r="AD41" s="1">
        <f t="shared" ref="AD41:AI41" si="38">AC41</f>
        <v>467000</v>
      </c>
      <c r="AE41" s="1">
        <f t="shared" si="38"/>
        <v>467000</v>
      </c>
      <c r="AF41" s="1">
        <f t="shared" si="38"/>
        <v>467000</v>
      </c>
      <c r="AG41" s="1">
        <f t="shared" si="38"/>
        <v>467000</v>
      </c>
      <c r="AH41" s="1">
        <f t="shared" si="38"/>
        <v>467000</v>
      </c>
      <c r="AI41" s="1">
        <f t="shared" si="38"/>
        <v>467000</v>
      </c>
      <c r="AJ41" s="1">
        <f>AI41</f>
        <v>467000</v>
      </c>
      <c r="AK41" s="17">
        <f t="shared" si="0"/>
        <v>0</v>
      </c>
      <c r="AL41" s="17">
        <f t="shared" si="1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1:69" x14ac:dyDescent="0.35">
      <c r="A42" t="s">
        <v>14</v>
      </c>
      <c r="B42" t="s">
        <v>15</v>
      </c>
      <c r="C42" s="1">
        <v>11851.9</v>
      </c>
      <c r="D42" s="1">
        <v>11851.9</v>
      </c>
      <c r="E42" s="1">
        <v>11851.9</v>
      </c>
      <c r="F42" s="1">
        <v>11851.9</v>
      </c>
      <c r="G42" s="1">
        <v>11851.9</v>
      </c>
      <c r="H42" s="1">
        <v>11851.9</v>
      </c>
      <c r="I42" s="1">
        <v>11851.9</v>
      </c>
      <c r="J42" s="1">
        <v>11851.9</v>
      </c>
      <c r="K42" s="1">
        <v>11851.9</v>
      </c>
      <c r="L42" s="5">
        <v>11851.9</v>
      </c>
      <c r="M42" s="5">
        <v>0</v>
      </c>
      <c r="N42" s="5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7">
        <f t="shared" si="0"/>
        <v>0</v>
      </c>
      <c r="AL42" s="17">
        <f t="shared" si="1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1:69" x14ac:dyDescent="0.35">
      <c r="A43" t="s">
        <v>14</v>
      </c>
      <c r="B43" t="s">
        <v>17</v>
      </c>
      <c r="C43" s="1">
        <v>2298.9</v>
      </c>
      <c r="D43" s="1">
        <v>2298.9</v>
      </c>
      <c r="E43" s="1">
        <v>2298.9</v>
      </c>
      <c r="F43" s="1">
        <v>2298.9</v>
      </c>
      <c r="G43" s="1">
        <v>2298.9</v>
      </c>
      <c r="H43" s="1">
        <v>2298.9</v>
      </c>
      <c r="I43" s="1">
        <v>2298.9</v>
      </c>
      <c r="J43" s="1">
        <v>2298.9</v>
      </c>
      <c r="K43" s="1">
        <v>2298.9</v>
      </c>
      <c r="L43" s="5">
        <v>2298.9</v>
      </c>
      <c r="M43" s="5">
        <v>2298.9</v>
      </c>
      <c r="N43" s="5">
        <v>2298.9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7">
        <f t="shared" si="0"/>
        <v>0</v>
      </c>
      <c r="AL43" s="17">
        <f t="shared" si="1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1:69" x14ac:dyDescent="0.35">
      <c r="A44" t="s">
        <v>14</v>
      </c>
      <c r="B44" t="s">
        <v>39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34948.1</v>
      </c>
      <c r="K44" s="5">
        <v>34948.1</v>
      </c>
      <c r="L44" s="5">
        <v>34948.1</v>
      </c>
      <c r="M44" s="5">
        <v>34423.9</v>
      </c>
      <c r="N44" s="5">
        <v>97014.5</v>
      </c>
      <c r="O44" s="1">
        <v>167543.5</v>
      </c>
      <c r="P44" s="1">
        <v>185719.7</v>
      </c>
      <c r="Q44" s="1">
        <v>190195.1</v>
      </c>
      <c r="R44" s="1">
        <v>296818.8</v>
      </c>
      <c r="S44" s="1">
        <v>296014</v>
      </c>
      <c r="T44" s="1">
        <v>294994</v>
      </c>
      <c r="U44" s="1">
        <v>292320.8</v>
      </c>
      <c r="V44" s="1">
        <v>291516.09999999998</v>
      </c>
      <c r="W44" s="1">
        <v>290496</v>
      </c>
      <c r="X44" s="1">
        <v>287822.8</v>
      </c>
      <c r="Y44" s="1">
        <v>287018.09999999998</v>
      </c>
      <c r="Z44" s="1">
        <v>285998</v>
      </c>
      <c r="AA44" s="1">
        <v>282911.8</v>
      </c>
      <c r="AB44" s="1">
        <v>282107.09999999998</v>
      </c>
      <c r="AC44" s="1">
        <v>281087</v>
      </c>
      <c r="AD44" s="1">
        <f>278420.3</f>
        <v>278420.3</v>
      </c>
      <c r="AE44" s="1">
        <v>277615.59999999998</v>
      </c>
      <c r="AF44" s="1">
        <v>276595.5</v>
      </c>
      <c r="AG44" s="1">
        <v>273928.8</v>
      </c>
      <c r="AH44" s="1">
        <v>273124.09999999998</v>
      </c>
      <c r="AI44" s="1">
        <v>272104</v>
      </c>
      <c r="AJ44" s="1">
        <v>269437.3</v>
      </c>
      <c r="AK44" s="17">
        <f t="shared" si="0"/>
        <v>-2666.7000000000116</v>
      </c>
      <c r="AL44" s="17">
        <f t="shared" si="1"/>
        <v>-18385.5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1:69" x14ac:dyDescent="0.35">
      <c r="A45" t="s">
        <v>14</v>
      </c>
      <c r="B45" t="s">
        <v>40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60000</v>
      </c>
      <c r="K45" s="5">
        <v>60000</v>
      </c>
      <c r="L45" s="5">
        <v>60000</v>
      </c>
      <c r="M45" s="5">
        <v>60000</v>
      </c>
      <c r="N45" s="5">
        <v>60000</v>
      </c>
      <c r="O45" s="1">
        <v>60000</v>
      </c>
      <c r="P45" s="1">
        <v>60000</v>
      </c>
      <c r="Q45" s="1">
        <v>60000</v>
      </c>
      <c r="R45" s="1">
        <v>60000</v>
      </c>
      <c r="S45" s="1">
        <f t="shared" ref="S45:T48" si="39">R45</f>
        <v>60000</v>
      </c>
      <c r="T45" s="1">
        <f t="shared" si="39"/>
        <v>60000</v>
      </c>
      <c r="U45" s="1">
        <f t="shared" ref="U45:W46" si="40">T45</f>
        <v>60000</v>
      </c>
      <c r="V45" s="1">
        <f t="shared" si="40"/>
        <v>60000</v>
      </c>
      <c r="W45" s="1">
        <f t="shared" si="40"/>
        <v>60000</v>
      </c>
      <c r="X45" s="1">
        <f>W45</f>
        <v>60000</v>
      </c>
      <c r="Y45" s="1">
        <f>X45</f>
        <v>60000</v>
      </c>
      <c r="Z45" s="1">
        <f>Y45</f>
        <v>60000</v>
      </c>
      <c r="AA45" s="1">
        <v>60000</v>
      </c>
      <c r="AB45" s="1">
        <f>AA45</f>
        <v>60000</v>
      </c>
      <c r="AC45" s="1">
        <f>AB45</f>
        <v>60000</v>
      </c>
      <c r="AD45" s="1">
        <f>AC45</f>
        <v>60000</v>
      </c>
      <c r="AE45" s="1">
        <v>60000</v>
      </c>
      <c r="AF45" s="1">
        <f t="shared" ref="AF45:AG48" si="41">AE45</f>
        <v>60000</v>
      </c>
      <c r="AG45" s="1">
        <f t="shared" si="41"/>
        <v>60000</v>
      </c>
      <c r="AH45" s="1">
        <f>AG45</f>
        <v>60000</v>
      </c>
      <c r="AI45" s="1">
        <f>AH45</f>
        <v>60000</v>
      </c>
      <c r="AJ45" s="1">
        <f>AI45</f>
        <v>60000</v>
      </c>
      <c r="AK45" s="17">
        <f t="shared" si="0"/>
        <v>0</v>
      </c>
      <c r="AL45" s="17">
        <f t="shared" si="1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1:69" x14ac:dyDescent="0.35">
      <c r="A46" t="s">
        <v>14</v>
      </c>
      <c r="B46" t="s">
        <v>209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5">
        <v>0</v>
      </c>
      <c r="L46" s="5">
        <v>0</v>
      </c>
      <c r="M46" s="5">
        <v>0</v>
      </c>
      <c r="N46" s="5">
        <v>0</v>
      </c>
      <c r="O46" s="1">
        <v>0</v>
      </c>
      <c r="P46" s="1">
        <v>0</v>
      </c>
      <c r="Q46" s="1">
        <v>0</v>
      </c>
      <c r="R46" s="1">
        <v>11000</v>
      </c>
      <c r="S46" s="1">
        <f t="shared" si="39"/>
        <v>11000</v>
      </c>
      <c r="T46" s="1">
        <f t="shared" si="39"/>
        <v>11000</v>
      </c>
      <c r="U46" s="1">
        <f t="shared" si="40"/>
        <v>11000</v>
      </c>
      <c r="V46" s="1">
        <f t="shared" si="40"/>
        <v>11000</v>
      </c>
      <c r="W46" s="1">
        <f t="shared" si="40"/>
        <v>11000</v>
      </c>
      <c r="X46" s="1">
        <v>16000</v>
      </c>
      <c r="Y46" s="1">
        <f>X46</f>
        <v>16000</v>
      </c>
      <c r="Z46" s="1">
        <f>Y46+12500</f>
        <v>28500</v>
      </c>
      <c r="AA46" s="1">
        <f>Z46</f>
        <v>28500</v>
      </c>
      <c r="AB46" s="1">
        <f>AA46</f>
        <v>28500</v>
      </c>
      <c r="AC46" s="1">
        <f>AB46+21200</f>
        <v>49700</v>
      </c>
      <c r="AD46" s="1">
        <f>AC46</f>
        <v>49700</v>
      </c>
      <c r="AE46" s="1">
        <f>AD46</f>
        <v>49700</v>
      </c>
      <c r="AF46" s="1">
        <f t="shared" si="41"/>
        <v>49700</v>
      </c>
      <c r="AG46" s="1">
        <f t="shared" si="41"/>
        <v>49700</v>
      </c>
      <c r="AH46" s="1">
        <f>AG46</f>
        <v>49700</v>
      </c>
      <c r="AI46" s="1">
        <f>AH46+8700</f>
        <v>58400</v>
      </c>
      <c r="AJ46" s="1">
        <f>AI46</f>
        <v>58400</v>
      </c>
      <c r="AK46" s="17">
        <f t="shared" si="0"/>
        <v>0</v>
      </c>
      <c r="AL46" s="17">
        <f t="shared" si="1"/>
        <v>42400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x14ac:dyDescent="0.35">
      <c r="A47" t="s">
        <v>14</v>
      </c>
      <c r="B47" t="s">
        <v>210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5">
        <v>0</v>
      </c>
      <c r="L47" s="5">
        <v>0</v>
      </c>
      <c r="M47" s="5">
        <v>0</v>
      </c>
      <c r="N47" s="5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3000</v>
      </c>
      <c r="Z47" s="1">
        <f>Y47+2750</f>
        <v>5750</v>
      </c>
      <c r="AA47" s="1">
        <f>Z47+2000</f>
        <v>7750</v>
      </c>
      <c r="AB47" s="1">
        <f>AA47+1250</f>
        <v>9000</v>
      </c>
      <c r="AC47" s="1">
        <f>AB47+1000</f>
        <v>10000</v>
      </c>
      <c r="AD47" s="1">
        <f>AC47</f>
        <v>10000</v>
      </c>
      <c r="AE47" s="1">
        <f>AD47</f>
        <v>10000</v>
      </c>
      <c r="AF47" s="1">
        <f t="shared" si="41"/>
        <v>10000</v>
      </c>
      <c r="AG47" s="1">
        <f t="shared" si="41"/>
        <v>10000</v>
      </c>
      <c r="AH47" s="1">
        <f>AG47</f>
        <v>10000</v>
      </c>
      <c r="AI47" s="1">
        <f>AH47</f>
        <v>10000</v>
      </c>
      <c r="AJ47" s="1">
        <f>AI47</f>
        <v>10000</v>
      </c>
      <c r="AK47" s="17">
        <f t="shared" si="0"/>
        <v>0</v>
      </c>
      <c r="AL47" s="17">
        <f t="shared" si="1"/>
        <v>10000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1:69" x14ac:dyDescent="0.35">
      <c r="A48" t="s">
        <v>14</v>
      </c>
      <c r="B48" t="s">
        <v>207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5">
        <v>0</v>
      </c>
      <c r="L48" s="5">
        <v>0</v>
      </c>
      <c r="M48" s="5">
        <v>0</v>
      </c>
      <c r="N48" s="5">
        <v>0</v>
      </c>
      <c r="O48" s="1">
        <v>0</v>
      </c>
      <c r="P48" s="1">
        <v>0</v>
      </c>
      <c r="Q48" s="1">
        <v>0</v>
      </c>
      <c r="R48" s="1">
        <v>17952.400000000001</v>
      </c>
      <c r="S48" s="1">
        <f t="shared" si="39"/>
        <v>17952.400000000001</v>
      </c>
      <c r="T48" s="1">
        <f t="shared" si="39"/>
        <v>17952.400000000001</v>
      </c>
      <c r="U48" s="1">
        <v>153989.70000000001</v>
      </c>
      <c r="V48" s="1">
        <f>U48</f>
        <v>153989.70000000001</v>
      </c>
      <c r="W48" s="1">
        <f>V48</f>
        <v>153989.70000000001</v>
      </c>
      <c r="X48" s="1">
        <f>247324.7</f>
        <v>247324.7</v>
      </c>
      <c r="Y48" s="1">
        <f>X48</f>
        <v>247324.7</v>
      </c>
      <c r="Z48" s="1">
        <f>Y48</f>
        <v>247324.7</v>
      </c>
      <c r="AA48" s="1">
        <f>Z48</f>
        <v>247324.7</v>
      </c>
      <c r="AB48" s="1">
        <f>AA48</f>
        <v>247324.7</v>
      </c>
      <c r="AC48" s="1">
        <f>AB48</f>
        <v>247324.7</v>
      </c>
      <c r="AD48" s="1">
        <f>AC48+111093.5</f>
        <v>358418.2</v>
      </c>
      <c r="AE48" s="1">
        <f>AD48</f>
        <v>358418.2</v>
      </c>
      <c r="AF48" s="1">
        <f t="shared" si="41"/>
        <v>358418.2</v>
      </c>
      <c r="AG48" s="1">
        <f t="shared" si="41"/>
        <v>358418.2</v>
      </c>
      <c r="AH48" s="1">
        <f>AG48</f>
        <v>358418.2</v>
      </c>
      <c r="AI48" s="1">
        <f>AH48</f>
        <v>358418.2</v>
      </c>
      <c r="AJ48" s="1">
        <f>AI48+11791.7</f>
        <v>370209.9</v>
      </c>
      <c r="AK48" s="17">
        <f t="shared" si="0"/>
        <v>11791.700000000012</v>
      </c>
      <c r="AL48" s="17">
        <f t="shared" si="1"/>
        <v>122885.20000000001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1:69" s="3" customFormat="1" x14ac:dyDescent="0.3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17">
        <f t="shared" si="0"/>
        <v>0</v>
      </c>
      <c r="AL49" s="17">
        <f t="shared" si="1"/>
        <v>0</v>
      </c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</row>
    <row r="50" spans="1:69" x14ac:dyDescent="0.35">
      <c r="A50" t="s">
        <v>41</v>
      </c>
      <c r="B50" t="s">
        <v>18</v>
      </c>
      <c r="C50" s="1">
        <v>10792185.6</v>
      </c>
      <c r="D50" s="1">
        <v>11374082</v>
      </c>
      <c r="E50" s="1">
        <v>11389507.9</v>
      </c>
      <c r="F50" s="1">
        <v>10434580.800000001</v>
      </c>
      <c r="G50" s="1">
        <v>10807595</v>
      </c>
      <c r="H50" s="1">
        <v>11106403.6</v>
      </c>
      <c r="I50" s="1">
        <v>11906061.4</v>
      </c>
      <c r="J50" s="1">
        <v>12475588.300000001</v>
      </c>
      <c r="K50" s="1">
        <v>12353145.800000001</v>
      </c>
      <c r="L50" s="5">
        <v>12670270.1</v>
      </c>
      <c r="M50" s="5">
        <v>13313450.5</v>
      </c>
      <c r="N50" s="5">
        <v>13703597.699999999</v>
      </c>
      <c r="O50" s="1">
        <v>13648337.699999999</v>
      </c>
      <c r="P50" s="1">
        <v>13541231.5</v>
      </c>
      <c r="Q50" s="1">
        <v>13432971.800000001</v>
      </c>
      <c r="R50" s="1">
        <v>11965074.699999999</v>
      </c>
      <c r="S50" s="1">
        <v>11922371.199999999</v>
      </c>
      <c r="T50" s="1">
        <v>12258661.199999999</v>
      </c>
      <c r="U50" s="1">
        <v>12534406.300000001</v>
      </c>
      <c r="V50" s="1">
        <v>12750839.4</v>
      </c>
      <c r="W50" s="1">
        <v>12703814.5</v>
      </c>
      <c r="X50" s="1">
        <v>12601672.4</v>
      </c>
      <c r="Y50" s="1">
        <v>12277510.9</v>
      </c>
      <c r="Z50" s="1">
        <v>12165767</v>
      </c>
      <c r="AA50" s="1">
        <v>12787132.6</v>
      </c>
      <c r="AB50" s="1">
        <v>12726198.800000001</v>
      </c>
      <c r="AC50" s="1">
        <v>13096719.1</v>
      </c>
      <c r="AD50" s="1">
        <v>11879972.699999999</v>
      </c>
      <c r="AE50" s="1">
        <v>11965801.9</v>
      </c>
      <c r="AF50" s="1">
        <v>11880606.5</v>
      </c>
      <c r="AG50" s="1">
        <v>11750725.5</v>
      </c>
      <c r="AH50" s="1">
        <v>11791774.4</v>
      </c>
      <c r="AI50" s="1">
        <v>11696343.9</v>
      </c>
      <c r="AJ50" s="1">
        <v>13090578.9</v>
      </c>
      <c r="AK50" s="17">
        <f t="shared" si="0"/>
        <v>1394235</v>
      </c>
      <c r="AL50" s="17">
        <f t="shared" si="1"/>
        <v>488906.5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1:69" x14ac:dyDescent="0.35">
      <c r="A51" t="s">
        <v>41</v>
      </c>
      <c r="B51" t="s">
        <v>20</v>
      </c>
      <c r="C51" s="1">
        <v>187974.6</v>
      </c>
      <c r="D51" s="1">
        <v>184841.3</v>
      </c>
      <c r="E51" s="1">
        <v>186486.39999999999</v>
      </c>
      <c r="F51" s="1">
        <v>148350.20000000001</v>
      </c>
      <c r="G51" s="1">
        <v>155297.79999999999</v>
      </c>
      <c r="H51" s="1">
        <v>147236.70000000001</v>
      </c>
      <c r="I51" s="1">
        <v>154451.1</v>
      </c>
      <c r="J51" s="1">
        <v>154958.29999999999</v>
      </c>
      <c r="K51" s="1">
        <v>153099.20000000001</v>
      </c>
      <c r="L51" s="5">
        <v>145578.20000000001</v>
      </c>
      <c r="M51" s="5">
        <v>146336.5</v>
      </c>
      <c r="N51" s="5">
        <v>142852.5</v>
      </c>
      <c r="O51" s="1">
        <v>140105.5</v>
      </c>
      <c r="P51" s="1">
        <v>145224.4</v>
      </c>
      <c r="Q51" s="1">
        <v>151129.1</v>
      </c>
      <c r="R51" s="1">
        <v>133407.29999999999</v>
      </c>
      <c r="S51" s="1">
        <v>133526.1</v>
      </c>
      <c r="T51" s="1">
        <v>133436</v>
      </c>
      <c r="U51" s="1">
        <v>135703.70000000001</v>
      </c>
      <c r="V51" s="1">
        <v>138929.70000000001</v>
      </c>
      <c r="W51" s="1">
        <v>141488.5</v>
      </c>
      <c r="X51" s="1">
        <v>146961.70000000001</v>
      </c>
      <c r="Y51" s="1">
        <v>142216</v>
      </c>
      <c r="Z51" s="1">
        <v>133415.9</v>
      </c>
      <c r="AA51" s="1">
        <v>137922.29999999999</v>
      </c>
      <c r="AB51" s="1">
        <v>131126.29999999999</v>
      </c>
      <c r="AC51" s="1">
        <v>121557.5</v>
      </c>
      <c r="AD51" s="1">
        <v>116837.2</v>
      </c>
      <c r="AE51" s="1">
        <v>122092.3</v>
      </c>
      <c r="AF51" s="1">
        <v>135473.79999999999</v>
      </c>
      <c r="AG51" s="1">
        <v>140422.39999999999</v>
      </c>
      <c r="AH51" s="1">
        <v>144575.1</v>
      </c>
      <c r="AI51" s="1">
        <v>148776.1</v>
      </c>
      <c r="AJ51" s="1">
        <v>166825.9</v>
      </c>
      <c r="AK51" s="17">
        <f t="shared" si="0"/>
        <v>18049.799999999988</v>
      </c>
      <c r="AL51" s="17">
        <f t="shared" si="1"/>
        <v>19864.199999999983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1:69" x14ac:dyDescent="0.35">
      <c r="A52" t="s">
        <v>43</v>
      </c>
      <c r="B52" t="s">
        <v>19</v>
      </c>
      <c r="C52" s="2">
        <v>8.1000000000000003E-2</v>
      </c>
      <c r="D52" s="2">
        <v>8.5000000000000006E-2</v>
      </c>
      <c r="E52" s="2">
        <v>8.5000000000000006E-2</v>
      </c>
      <c r="F52" s="2">
        <v>7.8E-2</v>
      </c>
      <c r="G52" s="2">
        <v>7.1999999999999995E-2</v>
      </c>
      <c r="H52" s="2">
        <v>7.3999999999999996E-2</v>
      </c>
      <c r="I52" s="2">
        <v>7.9000000000000001E-2</v>
      </c>
      <c r="J52" s="2">
        <v>8.3000000000000004E-2</v>
      </c>
      <c r="K52" s="2">
        <v>8.2000000000000003E-2</v>
      </c>
      <c r="L52" s="8">
        <v>8.4000000000000005E-2</v>
      </c>
      <c r="M52" s="8">
        <v>8.8999999999999996E-2</v>
      </c>
      <c r="N52" s="8">
        <v>9.0999999999999998E-2</v>
      </c>
      <c r="O52" s="2">
        <v>9.0999999999999998E-2</v>
      </c>
      <c r="P52" s="2">
        <v>0.09</v>
      </c>
      <c r="Q52" s="2">
        <v>0.09</v>
      </c>
      <c r="R52" s="2">
        <v>0.08</v>
      </c>
      <c r="S52" s="2">
        <v>6.6000000000000003E-2</v>
      </c>
      <c r="T52" s="2">
        <v>6.8000000000000005E-2</v>
      </c>
      <c r="U52" s="2">
        <v>7.0000000000000007E-2</v>
      </c>
      <c r="V52" s="2">
        <v>7.0999999999999994E-2</v>
      </c>
      <c r="W52" s="2">
        <v>7.0999999999999994E-2</v>
      </c>
      <c r="X52" s="2">
        <v>7.0000000000000007E-2</v>
      </c>
      <c r="Y52" s="2">
        <v>6.4000000000000001E-2</v>
      </c>
      <c r="Z52" s="2">
        <v>6.4000000000000001E-2</v>
      </c>
      <c r="AA52" s="2">
        <v>6.7000000000000004E-2</v>
      </c>
      <c r="AB52" s="2">
        <v>6.6000000000000003E-2</v>
      </c>
      <c r="AC52" s="2">
        <v>6.8000000000000005E-2</v>
      </c>
      <c r="AD52" s="2">
        <v>6.2E-2</v>
      </c>
      <c r="AE52" s="2">
        <v>5.6000000000000001E-2</v>
      </c>
      <c r="AF52" s="2">
        <v>5.5E-2</v>
      </c>
      <c r="AG52" s="2">
        <v>5.5E-2</v>
      </c>
      <c r="AH52" s="2">
        <v>5.5E-2</v>
      </c>
      <c r="AI52" s="2">
        <v>5.5E-2</v>
      </c>
      <c r="AJ52" s="2">
        <v>5.8999999999999997E-2</v>
      </c>
      <c r="AK52" s="17">
        <f t="shared" si="0"/>
        <v>3.9999999999999966E-3</v>
      </c>
      <c r="AL52" s="17">
        <f t="shared" si="1"/>
        <v>-1.100000000000001E-2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 spans="1:69" s="3" customFormat="1" x14ac:dyDescent="0.3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17">
        <f t="shared" si="0"/>
        <v>0</v>
      </c>
      <c r="AL53" s="17">
        <f t="shared" si="1"/>
        <v>0</v>
      </c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</row>
    <row r="54" spans="1:69" x14ac:dyDescent="0.35">
      <c r="A54" t="s">
        <v>21</v>
      </c>
      <c r="B54" t="s">
        <v>22</v>
      </c>
      <c r="C54" s="1">
        <v>7524361.2999999998</v>
      </c>
      <c r="D54" s="1">
        <v>7872548.2999999998</v>
      </c>
      <c r="E54" s="1">
        <v>7601763</v>
      </c>
      <c r="F54" s="1">
        <v>6132655.2000000002</v>
      </c>
      <c r="G54" s="1">
        <v>6334590.5999999996</v>
      </c>
      <c r="H54" s="1">
        <v>6446231</v>
      </c>
      <c r="I54" s="1">
        <v>6712063.4000000004</v>
      </c>
      <c r="J54" s="1">
        <v>6828671.4000000004</v>
      </c>
      <c r="K54" s="1">
        <v>6643004.4000000004</v>
      </c>
      <c r="L54" s="5">
        <v>6811125</v>
      </c>
      <c r="M54" s="5">
        <v>7183391.5</v>
      </c>
      <c r="N54" s="5">
        <v>7251634.9000000004</v>
      </c>
      <c r="O54" s="1">
        <v>7140176.0999999996</v>
      </c>
      <c r="P54" s="1">
        <v>6938308.7999999998</v>
      </c>
      <c r="Q54" s="1">
        <v>6746505.0999999996</v>
      </c>
      <c r="R54" s="1">
        <v>5011778</v>
      </c>
      <c r="S54" s="1">
        <v>4907126.4000000004</v>
      </c>
      <c r="T54" s="1">
        <v>5044614.2</v>
      </c>
      <c r="U54" s="1">
        <v>5087766.7</v>
      </c>
      <c r="V54" s="1">
        <v>5172247.3</v>
      </c>
      <c r="W54" s="1">
        <v>5046039</v>
      </c>
      <c r="X54" s="1">
        <v>4603329.0999999996</v>
      </c>
      <c r="Y54" s="1">
        <v>4665093</v>
      </c>
      <c r="Z54" s="1">
        <v>4854458.2</v>
      </c>
      <c r="AA54" s="1">
        <v>5255172.0999999996</v>
      </c>
      <c r="AB54" s="1">
        <v>5447193.4000000004</v>
      </c>
      <c r="AC54" s="1">
        <v>5792014.7999999998</v>
      </c>
      <c r="AD54" s="1">
        <v>3809866.8</v>
      </c>
      <c r="AE54" s="1">
        <v>3751160.1</v>
      </c>
      <c r="AF54" s="1">
        <v>3393844.7</v>
      </c>
      <c r="AG54" s="1">
        <v>3268903.8</v>
      </c>
      <c r="AH54" s="1">
        <v>3296830.6</v>
      </c>
      <c r="AI54" s="1">
        <v>2843025</v>
      </c>
      <c r="AJ54" s="1">
        <v>4127953.1</v>
      </c>
      <c r="AK54" s="17">
        <f t="shared" si="0"/>
        <v>1284928.1000000001</v>
      </c>
      <c r="AL54" s="17">
        <f t="shared" si="1"/>
        <v>-475375.99999999953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 x14ac:dyDescent="0.35">
      <c r="A55" t="s">
        <v>21</v>
      </c>
      <c r="B55" t="s">
        <v>23</v>
      </c>
      <c r="C55" s="1">
        <v>131056.8</v>
      </c>
      <c r="D55" s="1">
        <v>127937.60000000001</v>
      </c>
      <c r="E55" s="1">
        <v>124467.7</v>
      </c>
      <c r="F55" s="1">
        <v>87189</v>
      </c>
      <c r="G55" s="1">
        <v>91023.8</v>
      </c>
      <c r="H55" s="1">
        <v>85457.2</v>
      </c>
      <c r="I55" s="1">
        <v>87072.1</v>
      </c>
      <c r="J55" s="1">
        <v>84818.4</v>
      </c>
      <c r="K55" s="1">
        <v>82330.3</v>
      </c>
      <c r="L55" s="5">
        <v>78258.100000000006</v>
      </c>
      <c r="M55" s="5">
        <v>78957.2</v>
      </c>
      <c r="N55" s="5">
        <v>75594.3</v>
      </c>
      <c r="O55" s="1">
        <v>73296.7</v>
      </c>
      <c r="P55" s="1">
        <v>74410.600000000006</v>
      </c>
      <c r="Q55" s="1">
        <v>75905.3</v>
      </c>
      <c r="R55" s="1">
        <v>55880</v>
      </c>
      <c r="S55" s="1">
        <v>54958</v>
      </c>
      <c r="T55" s="1">
        <v>54910.8</v>
      </c>
      <c r="U55" s="1">
        <v>55082.7</v>
      </c>
      <c r="V55" s="1">
        <v>56355.4</v>
      </c>
      <c r="W55" s="1">
        <v>56200.2</v>
      </c>
      <c r="X55" s="1">
        <v>53684.4</v>
      </c>
      <c r="Y55" s="1">
        <v>54037.9</v>
      </c>
      <c r="Z55" s="1">
        <v>53236.4</v>
      </c>
      <c r="AA55" s="1">
        <v>56682.400000000001</v>
      </c>
      <c r="AB55" s="1">
        <v>56126</v>
      </c>
      <c r="AC55" s="1">
        <v>53758.7</v>
      </c>
      <c r="AD55" s="1">
        <v>37469.300000000003</v>
      </c>
      <c r="AE55" s="1">
        <v>38274.699999999997</v>
      </c>
      <c r="AF55" s="1">
        <v>38699.800000000003</v>
      </c>
      <c r="AG55" s="1">
        <v>39063.699999999997</v>
      </c>
      <c r="AH55" s="1">
        <v>40421.4</v>
      </c>
      <c r="AI55" s="1">
        <v>36162.9</v>
      </c>
      <c r="AJ55" s="1">
        <v>52606.5</v>
      </c>
      <c r="AK55" s="17">
        <f t="shared" si="0"/>
        <v>16443.599999999999</v>
      </c>
      <c r="AL55" s="17">
        <f t="shared" si="1"/>
        <v>-1077.9000000000015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69" x14ac:dyDescent="0.35">
      <c r="A56" t="s">
        <v>42</v>
      </c>
      <c r="B56" t="s">
        <v>19</v>
      </c>
      <c r="C56" s="2">
        <v>5.6000000000000001E-2</v>
      </c>
      <c r="D56" s="2">
        <v>5.8999999999999997E-2</v>
      </c>
      <c r="E56" s="2">
        <v>5.7000000000000002E-2</v>
      </c>
      <c r="F56" s="2">
        <v>4.5999999999999999E-2</v>
      </c>
      <c r="G56" s="2">
        <v>4.2000000000000003E-2</v>
      </c>
      <c r="H56" s="2">
        <v>4.2999999999999997E-2</v>
      </c>
      <c r="I56" s="2">
        <v>4.4999999999999998E-2</v>
      </c>
      <c r="J56" s="2">
        <v>4.5999999999999999E-2</v>
      </c>
      <c r="K56" s="2">
        <v>4.3999999999999997E-2</v>
      </c>
      <c r="L56" s="8">
        <v>4.4999999999999998E-2</v>
      </c>
      <c r="M56" s="8">
        <v>4.8000000000000001E-2</v>
      </c>
      <c r="N56" s="8">
        <v>4.8000000000000001E-2</v>
      </c>
      <c r="O56" s="2">
        <v>4.8000000000000001E-2</v>
      </c>
      <c r="P56" s="2">
        <v>4.5999999999999999E-2</v>
      </c>
      <c r="Q56" s="2">
        <v>4.4999999999999998E-2</v>
      </c>
      <c r="R56" s="2">
        <v>3.3000000000000002E-2</v>
      </c>
      <c r="S56" s="2">
        <v>2.7E-2</v>
      </c>
      <c r="T56" s="2">
        <v>2.8000000000000001E-2</v>
      </c>
      <c r="U56" s="2">
        <v>2.8000000000000001E-2</v>
      </c>
      <c r="V56" s="2">
        <v>2.9000000000000001E-2</v>
      </c>
      <c r="W56" s="2">
        <v>2.8000000000000001E-2</v>
      </c>
      <c r="X56" s="2">
        <v>2.5999999999999999E-2</v>
      </c>
      <c r="Y56" s="2">
        <v>2.4E-2</v>
      </c>
      <c r="Z56" s="2">
        <v>2.5000000000000001E-2</v>
      </c>
      <c r="AA56" s="2">
        <v>2.5000000000000001E-2</v>
      </c>
      <c r="AB56" s="2">
        <v>2.8000000000000001E-2</v>
      </c>
      <c r="AC56" s="2">
        <v>0.03</v>
      </c>
      <c r="AD56" s="2">
        <v>0.02</v>
      </c>
      <c r="AE56" s="2">
        <v>1.7000000000000001E-2</v>
      </c>
      <c r="AF56" s="2">
        <v>1.6E-2</v>
      </c>
      <c r="AG56" s="2">
        <v>1.4999999999999999E-2</v>
      </c>
      <c r="AH56" s="2">
        <v>1.4999999999999999E-2</v>
      </c>
      <c r="AI56" s="2">
        <v>1.2999999999999999E-2</v>
      </c>
      <c r="AJ56" s="2">
        <v>1.9E-2</v>
      </c>
      <c r="AK56" s="17">
        <f t="shared" si="0"/>
        <v>6.0000000000000001E-3</v>
      </c>
      <c r="AL56" s="17">
        <f t="shared" si="1"/>
        <v>-6.9999999999999993E-3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spans="1:69" x14ac:dyDescent="0.35">
      <c r="A57" t="s">
        <v>44</v>
      </c>
      <c r="B57" t="s">
        <v>45</v>
      </c>
      <c r="C57" s="2">
        <f>C55/C51</f>
        <v>0.6972048351213409</v>
      </c>
      <c r="D57" s="2">
        <f>D55/D51</f>
        <v>0.69214834563487715</v>
      </c>
      <c r="E57" s="2">
        <f>E55/E51</f>
        <v>0.66743580228906774</v>
      </c>
      <c r="F57" s="2">
        <f>F55/F51</f>
        <v>0.58772418237386936</v>
      </c>
      <c r="G57" s="2">
        <f>G55/G51</f>
        <v>0.58612420781234509</v>
      </c>
      <c r="H57" s="2">
        <f t="shared" ref="H57:P57" si="42">H55/H51</f>
        <v>0.58040692300221342</v>
      </c>
      <c r="I57" s="2">
        <f t="shared" si="42"/>
        <v>0.56375189299396378</v>
      </c>
      <c r="J57" s="2">
        <f t="shared" si="42"/>
        <v>0.54736274210545677</v>
      </c>
      <c r="K57" s="2">
        <f t="shared" si="42"/>
        <v>0.53775787202023262</v>
      </c>
      <c r="L57" s="2">
        <f t="shared" si="42"/>
        <v>0.53756743798178575</v>
      </c>
      <c r="M57" s="2">
        <f t="shared" si="42"/>
        <v>0.53955916671507109</v>
      </c>
      <c r="N57" s="2">
        <f t="shared" si="42"/>
        <v>0.52917729826219351</v>
      </c>
      <c r="O57" s="2">
        <f>O55/O51</f>
        <v>0.5231536235194193</v>
      </c>
      <c r="P57" s="2">
        <f t="shared" si="42"/>
        <v>0.512383593941514</v>
      </c>
      <c r="Q57" s="2">
        <f t="shared" ref="Q57:AB57" si="43">Q55/Q51</f>
        <v>0.5022546948271378</v>
      </c>
      <c r="R57" s="2">
        <f t="shared" si="43"/>
        <v>0.41886763318049314</v>
      </c>
      <c r="S57" s="2">
        <f t="shared" si="43"/>
        <v>0.41158994383869518</v>
      </c>
      <c r="T57" s="2">
        <f t="shared" si="43"/>
        <v>0.41151413411673016</v>
      </c>
      <c r="U57" s="2">
        <f t="shared" si="43"/>
        <v>0.40590418684236312</v>
      </c>
      <c r="V57" s="2">
        <f t="shared" si="43"/>
        <v>0.40563968683442053</v>
      </c>
      <c r="W57" s="2">
        <f t="shared" si="43"/>
        <v>0.39720684013188351</v>
      </c>
      <c r="X57" s="2">
        <f t="shared" si="43"/>
        <v>0.36529517554573743</v>
      </c>
      <c r="Y57" s="2">
        <f t="shared" si="43"/>
        <v>0.37997060808910393</v>
      </c>
      <c r="Z57" s="2">
        <f t="shared" si="43"/>
        <v>0.39902590320943759</v>
      </c>
      <c r="AA57" s="2">
        <f t="shared" si="43"/>
        <v>0.41097342489213134</v>
      </c>
      <c r="AB57" s="2">
        <f t="shared" si="43"/>
        <v>0.42803007482099326</v>
      </c>
      <c r="AC57" s="2">
        <f t="shared" ref="AC57:AJ57" si="44">AC55/AC51</f>
        <v>0.4422491413528577</v>
      </c>
      <c r="AD57" s="2">
        <f t="shared" si="44"/>
        <v>0.32069666167967054</v>
      </c>
      <c r="AE57" s="2">
        <f t="shared" si="44"/>
        <v>0.31348987610193269</v>
      </c>
      <c r="AF57" s="2">
        <f t="shared" si="44"/>
        <v>0.28566261520677805</v>
      </c>
      <c r="AG57" s="2">
        <f t="shared" si="44"/>
        <v>0.27818709835467842</v>
      </c>
      <c r="AH57" s="2">
        <f t="shared" si="44"/>
        <v>0.27958756383360622</v>
      </c>
      <c r="AI57" s="2">
        <f t="shared" si="44"/>
        <v>0.24306928330558469</v>
      </c>
      <c r="AJ57" s="2">
        <f t="shared" si="44"/>
        <v>0.31533772633625834</v>
      </c>
      <c r="AK57" s="17">
        <f t="shared" si="0"/>
        <v>7.2268443030673646E-2</v>
      </c>
      <c r="AL57" s="17">
        <f t="shared" si="1"/>
        <v>-4.9957449209479088E-2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 x14ac:dyDescent="0.35">
      <c r="C58" s="1"/>
      <c r="D58" s="1"/>
      <c r="E58" s="1"/>
      <c r="F58" s="1"/>
      <c r="G58" s="1"/>
      <c r="H58" s="1"/>
      <c r="I58" s="1"/>
      <c r="J58" s="1"/>
      <c r="K58" s="1"/>
      <c r="L58" s="5"/>
      <c r="M58" s="5"/>
      <c r="N58" s="5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 x14ac:dyDescent="0.35">
      <c r="C59" s="1"/>
      <c r="D59" s="1"/>
      <c r="E59" s="1"/>
      <c r="F59" s="1"/>
      <c r="G59" s="1"/>
      <c r="H59" s="1"/>
      <c r="I59" s="1"/>
      <c r="J59" s="1"/>
      <c r="K59" s="1"/>
      <c r="L59" s="5"/>
      <c r="M59" s="5"/>
      <c r="N59" s="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x14ac:dyDescent="0.35">
      <c r="A60" t="s">
        <v>117</v>
      </c>
      <c r="C60" s="1"/>
      <c r="D60" s="1"/>
      <c r="E60" s="1"/>
      <c r="F60" s="1"/>
      <c r="G60" s="1"/>
      <c r="H60" s="1"/>
      <c r="I60" s="1"/>
      <c r="J60" s="1"/>
      <c r="K60" s="1"/>
      <c r="L60" s="5"/>
      <c r="M60" s="5"/>
      <c r="N60" s="5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 x14ac:dyDescent="0.35">
      <c r="A61" t="s">
        <v>119</v>
      </c>
      <c r="C61" s="1"/>
      <c r="D61" s="1"/>
      <c r="E61" s="1"/>
      <c r="F61" s="1"/>
      <c r="G61" s="1"/>
      <c r="H61" s="1"/>
      <c r="I61" s="1"/>
      <c r="J61" s="1"/>
      <c r="K61" s="1"/>
      <c r="L61" s="5"/>
      <c r="M61" s="5"/>
      <c r="N61" s="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 x14ac:dyDescent="0.35">
      <c r="A62" t="s">
        <v>219</v>
      </c>
      <c r="C62" s="1"/>
      <c r="D62" s="1"/>
      <c r="E62" s="1"/>
      <c r="F62" s="1"/>
      <c r="G62" s="1"/>
      <c r="H62" s="1"/>
      <c r="I62" s="1"/>
      <c r="J62" s="1"/>
      <c r="K62" s="1"/>
      <c r="L62" s="5"/>
      <c r="M62" s="5"/>
      <c r="N62" s="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x14ac:dyDescent="0.35">
      <c r="A63" t="s">
        <v>242</v>
      </c>
      <c r="C63" s="1"/>
      <c r="D63" s="1"/>
      <c r="E63" s="1"/>
      <c r="F63" s="1"/>
      <c r="G63" s="1"/>
      <c r="H63" s="1"/>
      <c r="I63" s="1"/>
      <c r="J63" s="1"/>
      <c r="K63" s="1"/>
      <c r="L63" s="5"/>
      <c r="M63" s="5"/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 x14ac:dyDescent="0.35">
      <c r="C64" s="1"/>
      <c r="D64" s="1"/>
      <c r="E64" s="1"/>
      <c r="F64" s="1"/>
      <c r="G64" s="1"/>
      <c r="H64" s="1"/>
      <c r="I64" s="1"/>
      <c r="J64" s="1"/>
      <c r="K64" s="1"/>
      <c r="L64" s="5"/>
      <c r="M64" s="5"/>
      <c r="N64" s="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3:69" x14ac:dyDescent="0.35">
      <c r="C65" s="1"/>
      <c r="D65" s="1"/>
      <c r="E65" s="1"/>
      <c r="F65" s="1"/>
      <c r="G65" s="1"/>
      <c r="H65" s="1"/>
      <c r="I65" s="1"/>
      <c r="J65" s="1"/>
      <c r="K65" s="1"/>
      <c r="L65" s="5"/>
      <c r="M65" s="5"/>
      <c r="N65" s="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3:69" x14ac:dyDescent="0.35">
      <c r="C66" s="1"/>
      <c r="D66" s="1"/>
      <c r="E66" s="1"/>
      <c r="F66" s="1"/>
      <c r="G66" s="1"/>
      <c r="H66" s="1"/>
      <c r="I66" s="1"/>
      <c r="J66" s="1"/>
      <c r="K66" s="1"/>
      <c r="L66" s="5"/>
      <c r="M66" s="5"/>
      <c r="N66" s="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3:69" x14ac:dyDescent="0.35">
      <c r="C67" s="1"/>
      <c r="D67" s="1"/>
      <c r="E67" s="1"/>
      <c r="F67" s="1"/>
      <c r="G67" s="1"/>
      <c r="H67" s="1"/>
      <c r="I67" s="1"/>
      <c r="J67" s="1"/>
      <c r="K67" s="1"/>
      <c r="L67" s="5"/>
      <c r="M67" s="5"/>
      <c r="N67" s="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3:69" x14ac:dyDescent="0.35">
      <c r="C68" s="1"/>
      <c r="D68" s="1"/>
      <c r="E68" s="1"/>
      <c r="F68" s="1"/>
      <c r="G68" s="1"/>
      <c r="H68" s="1"/>
      <c r="I68" s="1"/>
      <c r="J68" s="1"/>
      <c r="K68" s="1"/>
      <c r="L68" s="5"/>
      <c r="M68" s="5"/>
      <c r="N68" s="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3:69" x14ac:dyDescent="0.35"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3:69" x14ac:dyDescent="0.35">
      <c r="C70" s="1"/>
      <c r="D70" s="1"/>
      <c r="E70" s="1"/>
      <c r="F70" s="1"/>
      <c r="G70" s="1"/>
      <c r="H70" s="1"/>
      <c r="I70" s="1"/>
      <c r="J70" s="1"/>
      <c r="K70" s="1"/>
      <c r="L70" s="5"/>
      <c r="M70" s="5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3:69" x14ac:dyDescent="0.35">
      <c r="C71" s="1"/>
      <c r="D71" s="1"/>
      <c r="E71" s="1"/>
      <c r="F71" s="1"/>
      <c r="G71" s="1"/>
      <c r="H71" s="1"/>
      <c r="I71" s="1"/>
      <c r="J71" s="1"/>
      <c r="K71" s="1"/>
      <c r="L71" s="5"/>
      <c r="M71" s="5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3:69" x14ac:dyDescent="0.35">
      <c r="C72" s="1"/>
      <c r="D72" s="1"/>
      <c r="E72" s="1"/>
      <c r="F72" s="1"/>
      <c r="G72" s="1"/>
      <c r="H72" s="1"/>
      <c r="I72" s="1"/>
      <c r="J72" s="1"/>
      <c r="K72" s="1"/>
      <c r="L72" s="5"/>
      <c r="M72" s="5"/>
      <c r="N72" s="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3:69" x14ac:dyDescent="0.35">
      <c r="C73" s="1"/>
      <c r="D73" s="1"/>
      <c r="E73" s="1"/>
      <c r="F73" s="1"/>
      <c r="G73" s="1"/>
      <c r="H73" s="1"/>
      <c r="I73" s="1"/>
      <c r="J73" s="1"/>
      <c r="K73" s="1"/>
      <c r="L73" s="5"/>
      <c r="M73" s="5"/>
      <c r="N73" s="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3:69" x14ac:dyDescent="0.35">
      <c r="C74" s="1"/>
      <c r="D74" s="1"/>
      <c r="E74" s="1"/>
      <c r="F74" s="1"/>
      <c r="G74" s="1"/>
      <c r="H74" s="1"/>
      <c r="I74" s="1"/>
      <c r="J74" s="1"/>
      <c r="K74" s="1"/>
      <c r="L74" s="5"/>
      <c r="M74" s="5"/>
      <c r="N74" s="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3:69" x14ac:dyDescent="0.35">
      <c r="C75" s="1"/>
      <c r="D75" s="1"/>
      <c r="E75" s="1"/>
      <c r="F75" s="1"/>
      <c r="G75" s="1"/>
      <c r="H75" s="1"/>
      <c r="I75" s="1"/>
      <c r="J75" s="1"/>
      <c r="K75" s="1"/>
      <c r="L75" s="5"/>
      <c r="M75" s="5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3:69" x14ac:dyDescent="0.35">
      <c r="C76" s="1"/>
      <c r="D76" s="1"/>
      <c r="E76" s="1"/>
      <c r="F76" s="1"/>
      <c r="G76" s="1"/>
      <c r="H76" s="1"/>
      <c r="I76" s="1"/>
      <c r="J76" s="1"/>
      <c r="K76" s="1"/>
      <c r="L76" s="5"/>
      <c r="M76" s="5"/>
      <c r="N76" s="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3:69" x14ac:dyDescent="0.35">
      <c r="C77" s="1"/>
      <c r="D77" s="1"/>
      <c r="E77" s="1"/>
      <c r="F77" s="1"/>
      <c r="G77" s="1"/>
      <c r="H77" s="1"/>
      <c r="I77" s="1"/>
      <c r="J77" s="1"/>
      <c r="K77" s="1"/>
      <c r="L77" s="5"/>
      <c r="M77" s="5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3:69" x14ac:dyDescent="0.35">
      <c r="C78" s="1"/>
      <c r="D78" s="1"/>
      <c r="E78" s="1"/>
      <c r="F78" s="1"/>
      <c r="G78" s="1"/>
      <c r="H78" s="1"/>
      <c r="I78" s="1"/>
      <c r="J78" s="1"/>
      <c r="K78" s="1"/>
      <c r="L78" s="5"/>
      <c r="M78" s="5"/>
      <c r="N78" s="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3:69" x14ac:dyDescent="0.35">
      <c r="C79" s="1"/>
      <c r="D79" s="1"/>
      <c r="E79" s="1"/>
      <c r="F79" s="1"/>
      <c r="G79" s="1"/>
      <c r="H79" s="1"/>
      <c r="I79" s="1"/>
      <c r="J79" s="1"/>
      <c r="K79" s="1"/>
      <c r="L79" s="5"/>
      <c r="M79" s="5"/>
      <c r="N79" s="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3:69" x14ac:dyDescent="0.35">
      <c r="C80" s="1"/>
      <c r="D80" s="1"/>
      <c r="E80" s="1"/>
      <c r="F80" s="1"/>
      <c r="G80" s="1"/>
      <c r="H80" s="1"/>
      <c r="I80" s="1"/>
      <c r="J80" s="1"/>
      <c r="K80" s="1"/>
      <c r="L80" s="5"/>
      <c r="M80" s="5"/>
      <c r="N80" s="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3:69" x14ac:dyDescent="0.35">
      <c r="C81" s="1"/>
      <c r="D81" s="1"/>
      <c r="E81" s="1"/>
      <c r="F81" s="1"/>
      <c r="G81" s="1"/>
      <c r="H81" s="1"/>
      <c r="I81" s="1"/>
      <c r="J81" s="1"/>
      <c r="K81" s="1"/>
      <c r="L81" s="5"/>
      <c r="M81" s="5"/>
      <c r="N81" s="5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3:69" x14ac:dyDescent="0.35">
      <c r="C82" s="1"/>
      <c r="D82" s="1"/>
      <c r="E82" s="1"/>
      <c r="F82" s="1"/>
      <c r="G82" s="1"/>
      <c r="H82" s="1"/>
      <c r="I82" s="1"/>
      <c r="J82" s="1"/>
      <c r="K82" s="1"/>
      <c r="L82" s="5"/>
      <c r="M82" s="5"/>
      <c r="N82" s="5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3:69" x14ac:dyDescent="0.35">
      <c r="C83" s="1"/>
      <c r="D83" s="1"/>
      <c r="E83" s="1"/>
      <c r="F83" s="1"/>
      <c r="G83" s="1"/>
      <c r="H83" s="1"/>
      <c r="I83" s="1"/>
      <c r="J83" s="1"/>
      <c r="K83" s="1"/>
      <c r="L83" s="5"/>
      <c r="M83" s="5"/>
      <c r="N83" s="5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3:69" x14ac:dyDescent="0.35">
      <c r="C84" s="1"/>
      <c r="D84" s="1"/>
      <c r="E84" s="1"/>
      <c r="F84" s="1"/>
      <c r="G84" s="1"/>
      <c r="H84" s="1"/>
      <c r="I84" s="1"/>
      <c r="J84" s="1"/>
      <c r="K84" s="1"/>
      <c r="L84" s="5"/>
      <c r="M84" s="5"/>
      <c r="N84" s="5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</sheetData>
  <pageMargins left="0.7" right="0.7" top="0.75" bottom="0.75" header="0.3" footer="0.3"/>
  <pageSetup paperSize="9" orientation="portrait" r:id="rId1"/>
  <ignoredErrors>
    <ignoredError sqref="P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workbookViewId="0">
      <pane xSplit="1" ySplit="1" topLeftCell="AA2" activePane="bottomRight" state="frozen"/>
      <selection pane="topRight" activeCell="B1" sqref="B1"/>
      <selection pane="bottomLeft" activeCell="A2" sqref="A2"/>
      <selection pane="bottomRight" activeCell="AI17" sqref="AI17"/>
    </sheetView>
  </sheetViews>
  <sheetFormatPr defaultRowHeight="14.5" x14ac:dyDescent="0.35"/>
  <cols>
    <col min="1" max="1" width="67.7265625" customWidth="1"/>
    <col min="2" max="15" width="11.36328125" bestFit="1" customWidth="1"/>
    <col min="16" max="16" width="10.26953125" customWidth="1"/>
    <col min="17" max="18" width="10" customWidth="1"/>
    <col min="19" max="20" width="9.90625" bestFit="1" customWidth="1"/>
    <col min="21" max="21" width="10.08984375" customWidth="1"/>
    <col min="22" max="34" width="9.90625" bestFit="1" customWidth="1"/>
    <col min="35" max="35" width="10.1796875" customWidth="1"/>
  </cols>
  <sheetData>
    <row r="1" spans="1:35" x14ac:dyDescent="0.35">
      <c r="A1" t="s">
        <v>138</v>
      </c>
      <c r="B1" t="s">
        <v>61</v>
      </c>
      <c r="C1" t="s">
        <v>62</v>
      </c>
      <c r="D1" t="s">
        <v>63</v>
      </c>
      <c r="E1" t="s">
        <v>52</v>
      </c>
      <c r="F1" t="s">
        <v>0</v>
      </c>
      <c r="G1" t="s">
        <v>28</v>
      </c>
      <c r="H1" t="s">
        <v>51</v>
      </c>
      <c r="I1" t="s">
        <v>50</v>
      </c>
      <c r="J1" t="s">
        <v>49</v>
      </c>
      <c r="K1" t="s">
        <v>29</v>
      </c>
      <c r="L1" t="s">
        <v>48</v>
      </c>
      <c r="M1" t="s">
        <v>47</v>
      </c>
      <c r="N1" t="s">
        <v>46</v>
      </c>
      <c r="O1" t="s">
        <v>127</v>
      </c>
      <c r="P1" t="s">
        <v>146</v>
      </c>
      <c r="Q1" t="s">
        <v>183</v>
      </c>
      <c r="R1" t="s">
        <v>185</v>
      </c>
      <c r="S1" t="s">
        <v>186</v>
      </c>
      <c r="T1" t="s">
        <v>187</v>
      </c>
      <c r="U1" t="s">
        <v>188</v>
      </c>
      <c r="V1" t="s">
        <v>204</v>
      </c>
      <c r="W1" t="s">
        <v>205</v>
      </c>
      <c r="X1" t="s">
        <v>208</v>
      </c>
      <c r="Y1" t="s">
        <v>215</v>
      </c>
      <c r="Z1" t="s">
        <v>216</v>
      </c>
      <c r="AA1" t="s">
        <v>217</v>
      </c>
      <c r="AB1" t="s">
        <v>218</v>
      </c>
      <c r="AC1" t="s">
        <v>220</v>
      </c>
      <c r="AD1" t="s">
        <v>228</v>
      </c>
      <c r="AE1" t="s">
        <v>233</v>
      </c>
      <c r="AF1" t="s">
        <v>238</v>
      </c>
      <c r="AG1" t="s">
        <v>239</v>
      </c>
      <c r="AH1" t="s">
        <v>243</v>
      </c>
      <c r="AI1" t="s">
        <v>248</v>
      </c>
    </row>
    <row r="2" spans="1:35" x14ac:dyDescent="0.35">
      <c r="A2" t="s">
        <v>129</v>
      </c>
      <c r="B2" s="12">
        <f>Main_!C50</f>
        <v>10792185.6</v>
      </c>
      <c r="C2" s="12">
        <f>Main_!D50</f>
        <v>11374082</v>
      </c>
      <c r="D2" s="12">
        <f>Main_!E50</f>
        <v>11389507.9</v>
      </c>
      <c r="E2" s="12">
        <f>Main_!F50</f>
        <v>10434580.800000001</v>
      </c>
      <c r="F2" s="12">
        <f>Main_!G50</f>
        <v>10807595</v>
      </c>
      <c r="G2" s="12">
        <f>Main_!H50</f>
        <v>11106403.6</v>
      </c>
      <c r="H2" s="12">
        <f>Main_!I50</f>
        <v>11906061.4</v>
      </c>
      <c r="I2" s="12">
        <f>Main_!J50</f>
        <v>12475588.300000001</v>
      </c>
      <c r="J2" s="12">
        <f>Main_!K50</f>
        <v>12353145.800000001</v>
      </c>
      <c r="K2" s="12">
        <f>Main_!L50</f>
        <v>12670270.1</v>
      </c>
      <c r="L2" s="12">
        <f>Main_!M50</f>
        <v>13313450.5</v>
      </c>
      <c r="M2" s="12">
        <f>Main_!N50</f>
        <v>13703597.699999999</v>
      </c>
      <c r="N2" s="12">
        <f>Main_!O50</f>
        <v>13648337.699999999</v>
      </c>
      <c r="O2" s="12">
        <f>Main_!P50</f>
        <v>13541231.5</v>
      </c>
      <c r="P2" s="12">
        <f>Main_!Q50</f>
        <v>13432971.800000001</v>
      </c>
      <c r="Q2" s="12">
        <f>Main_!R50</f>
        <v>11965074.699999999</v>
      </c>
      <c r="R2" s="12">
        <f>Main_!S50</f>
        <v>11922371.199999999</v>
      </c>
      <c r="S2" s="12">
        <f>Main_!T50</f>
        <v>12258661.199999999</v>
      </c>
      <c r="T2" s="12">
        <f>Main_!U50</f>
        <v>12534406.300000001</v>
      </c>
      <c r="U2" s="12">
        <f>Main_!V50</f>
        <v>12750839.4</v>
      </c>
      <c r="V2" s="12">
        <f>Main_!W50</f>
        <v>12703814.5</v>
      </c>
      <c r="W2" s="12">
        <f>Main_!X50</f>
        <v>12601672.4</v>
      </c>
      <c r="X2" s="12">
        <f>Main_!Y50</f>
        <v>12277510.9</v>
      </c>
      <c r="Y2" s="12">
        <f>Main_!Z50</f>
        <v>12165767</v>
      </c>
      <c r="Z2" s="12">
        <f>Main_!AA50</f>
        <v>12787132.6</v>
      </c>
      <c r="AA2" s="12">
        <f>Main_!AB50</f>
        <v>12726198.800000001</v>
      </c>
      <c r="AB2" s="12">
        <f>Main_!AC50</f>
        <v>13096719.1</v>
      </c>
      <c r="AC2" s="12">
        <f>Main_!AD50</f>
        <v>11879972.699999999</v>
      </c>
      <c r="AD2" s="12">
        <f>Main_!AE50</f>
        <v>11965801.9</v>
      </c>
      <c r="AE2" s="12">
        <f>Main_!AF50</f>
        <v>11880606.5</v>
      </c>
      <c r="AF2" s="12">
        <f>Main_!AG50</f>
        <v>11750725.5</v>
      </c>
      <c r="AG2" s="12">
        <f>Main_!AH50</f>
        <v>11791774.4</v>
      </c>
      <c r="AH2" s="12">
        <f>Main_!AI50</f>
        <v>11696343.9</v>
      </c>
      <c r="AI2" s="12">
        <f>Main_!AJ50</f>
        <v>13090578.9</v>
      </c>
    </row>
    <row r="3" spans="1:35" x14ac:dyDescent="0.35">
      <c r="A3" t="s">
        <v>130</v>
      </c>
      <c r="B3" s="12">
        <f>Main_!C51</f>
        <v>187974.6</v>
      </c>
      <c r="C3" s="12">
        <f>Main_!D51</f>
        <v>184841.3</v>
      </c>
      <c r="D3" s="12">
        <f>Main_!E51</f>
        <v>186486.39999999999</v>
      </c>
      <c r="E3" s="12">
        <f>Main_!F51</f>
        <v>148350.20000000001</v>
      </c>
      <c r="F3" s="12">
        <f>Main_!G51</f>
        <v>155297.79999999999</v>
      </c>
      <c r="G3" s="12">
        <f>Main_!H51</f>
        <v>147236.70000000001</v>
      </c>
      <c r="H3" s="12">
        <f>Main_!I51</f>
        <v>154451.1</v>
      </c>
      <c r="I3" s="12">
        <f>Main_!J51</f>
        <v>154958.29999999999</v>
      </c>
      <c r="J3" s="12">
        <f>Main_!K51</f>
        <v>153099.20000000001</v>
      </c>
      <c r="K3" s="12">
        <f>Main_!L51</f>
        <v>145578.20000000001</v>
      </c>
      <c r="L3" s="12">
        <f>Main_!M51</f>
        <v>146336.5</v>
      </c>
      <c r="M3" s="12">
        <f>Main_!N51</f>
        <v>142852.5</v>
      </c>
      <c r="N3" s="12">
        <f>Main_!O51</f>
        <v>140105.5</v>
      </c>
      <c r="O3" s="12">
        <f>Main_!P51</f>
        <v>145224.4</v>
      </c>
      <c r="P3" s="12">
        <f>Main_!Q51</f>
        <v>151129.1</v>
      </c>
      <c r="Q3" s="12">
        <f>Main_!R51</f>
        <v>133407.29999999999</v>
      </c>
      <c r="R3" s="12">
        <f>Main_!S51</f>
        <v>133526.1</v>
      </c>
      <c r="S3" s="12">
        <f>Main_!T51</f>
        <v>133436</v>
      </c>
      <c r="T3" s="12">
        <f>Main_!U51</f>
        <v>135703.70000000001</v>
      </c>
      <c r="U3" s="12">
        <f>Main_!V51</f>
        <v>138929.70000000001</v>
      </c>
      <c r="V3" s="12">
        <f>Main_!W51</f>
        <v>141488.5</v>
      </c>
      <c r="W3" s="12">
        <f>Main_!X51</f>
        <v>146961.70000000001</v>
      </c>
      <c r="X3" s="12">
        <f>Main_!Y51</f>
        <v>142216</v>
      </c>
      <c r="Y3" s="12">
        <f>Main_!Z51</f>
        <v>133415.9</v>
      </c>
      <c r="Z3" s="12">
        <f>Main_!AA51</f>
        <v>137922.29999999999</v>
      </c>
      <c r="AA3" s="12">
        <f>Main_!AB51</f>
        <v>131126.29999999999</v>
      </c>
      <c r="AB3" s="12">
        <f>Main_!AC51</f>
        <v>121557.5</v>
      </c>
      <c r="AC3" s="12">
        <f>Main_!AD51</f>
        <v>116837.2</v>
      </c>
      <c r="AD3" s="12">
        <f>Main_!AE51</f>
        <v>122092.3</v>
      </c>
      <c r="AE3" s="12">
        <f>Main_!AF51</f>
        <v>135473.79999999999</v>
      </c>
      <c r="AF3" s="12">
        <f>Main_!AG51</f>
        <v>140422.39999999999</v>
      </c>
      <c r="AG3" s="12">
        <f>Main_!AH51</f>
        <v>144575.1</v>
      </c>
      <c r="AH3" s="12">
        <f>Main_!AI51</f>
        <v>148776.1</v>
      </c>
      <c r="AI3" s="12">
        <f>Main_!AJ51</f>
        <v>166825.9</v>
      </c>
    </row>
    <row r="4" spans="1:35" x14ac:dyDescent="0.35">
      <c r="A4" t="s">
        <v>139</v>
      </c>
      <c r="B4" s="12">
        <f>Main_!C2</f>
        <v>49188.800000000003</v>
      </c>
      <c r="C4" s="12">
        <f>Main_!D2</f>
        <v>45733.5</v>
      </c>
      <c r="D4" s="12">
        <f>Main_!E2</f>
        <v>41891.699999999997</v>
      </c>
      <c r="E4" s="12">
        <f>Main_!F2</f>
        <v>10464.5</v>
      </c>
      <c r="F4" s="12">
        <f>Main_!G2</f>
        <v>10464.5</v>
      </c>
      <c r="G4" s="12">
        <f>Main_!H2</f>
        <v>10464.5</v>
      </c>
      <c r="H4" s="12">
        <f>Main_!I2</f>
        <v>10398.799999999999</v>
      </c>
      <c r="I4" s="12">
        <f>Main_!J2</f>
        <v>9233.6</v>
      </c>
      <c r="J4" s="12">
        <f>Main_!K2</f>
        <v>9054.6</v>
      </c>
      <c r="K4" s="12">
        <f>Main_!L2</f>
        <v>7278.7</v>
      </c>
      <c r="L4" s="12">
        <f>Main_!M2</f>
        <v>7278.7</v>
      </c>
      <c r="M4" s="12">
        <f>Main_!N2</f>
        <v>5224.6000000000004</v>
      </c>
      <c r="N4" s="12">
        <f>Main_!O2</f>
        <v>4070.6</v>
      </c>
      <c r="O4" s="12">
        <f>Main_!P2</f>
        <v>3666.6</v>
      </c>
      <c r="P4" s="12">
        <f>Main_!Q2</f>
        <v>3268.8</v>
      </c>
      <c r="Q4" s="12">
        <f>Main_!R2</f>
        <v>0</v>
      </c>
      <c r="R4" s="12">
        <f>Main_!S2</f>
        <v>0</v>
      </c>
      <c r="S4" s="12">
        <f>Main_!T2</f>
        <v>0</v>
      </c>
      <c r="T4" s="12">
        <f>Main_!U2</f>
        <v>0</v>
      </c>
      <c r="U4" s="12">
        <f>Main_!V2</f>
        <v>0</v>
      </c>
      <c r="V4" s="12">
        <f>Main_!W2</f>
        <v>0</v>
      </c>
      <c r="W4" s="12">
        <f>Main_!X2</f>
        <v>0</v>
      </c>
      <c r="X4" s="12">
        <f>Main_!Y2</f>
        <v>0</v>
      </c>
      <c r="Y4" s="12">
        <f>Main_!Z2</f>
        <v>0</v>
      </c>
      <c r="Z4" s="12">
        <f>Main_!AA2</f>
        <v>0</v>
      </c>
      <c r="AA4" s="12">
        <f>Main_!AB2</f>
        <v>0</v>
      </c>
      <c r="AB4" s="12">
        <f>Main_!AC2</f>
        <v>0</v>
      </c>
      <c r="AC4" s="12">
        <f>Main_!AD2</f>
        <v>0</v>
      </c>
      <c r="AD4" s="12">
        <f>Main_!AE2</f>
        <v>0</v>
      </c>
      <c r="AE4" s="12">
        <f>Main_!AF2</f>
        <v>0</v>
      </c>
      <c r="AF4" s="12">
        <f>Main_!AG2</f>
        <v>0</v>
      </c>
      <c r="AG4" s="12">
        <f>Main_!AH2</f>
        <v>0</v>
      </c>
      <c r="AH4" s="12">
        <f>Main_!AI2</f>
        <v>0</v>
      </c>
      <c r="AI4" s="12">
        <f>Main_!AJ2</f>
        <v>0</v>
      </c>
    </row>
    <row r="5" spans="1:35" x14ac:dyDescent="0.35">
      <c r="A5" t="s">
        <v>140</v>
      </c>
      <c r="B5" s="12">
        <f>Main_!C5</f>
        <v>309720.09999999998</v>
      </c>
      <c r="C5" s="12">
        <f>Main_!D5</f>
        <v>309720.09999999998</v>
      </c>
      <c r="D5" s="12">
        <f>Main_!E5</f>
        <v>309720.09999999998</v>
      </c>
      <c r="E5" s="12">
        <f>Main_!F5</f>
        <v>309720.09999999998</v>
      </c>
      <c r="F5" s="12">
        <f>Main_!G5</f>
        <v>307445.90000000002</v>
      </c>
      <c r="G5" s="12">
        <f>Main_!H5</f>
        <v>300067.90000000002</v>
      </c>
      <c r="H5" s="12">
        <f>Main_!I5</f>
        <v>292588.79999999999</v>
      </c>
      <c r="I5" s="12">
        <f>Main_!J5</f>
        <v>288330.09999999998</v>
      </c>
      <c r="J5" s="12">
        <f>Main_!K5</f>
        <v>285736.09999999998</v>
      </c>
      <c r="K5" s="12">
        <f>Main_!L5</f>
        <v>282284.2</v>
      </c>
      <c r="L5" s="12">
        <f>Main_!M5</f>
        <v>280158.90000000002</v>
      </c>
      <c r="M5" s="12">
        <f>Main_!N5</f>
        <v>279773.7</v>
      </c>
      <c r="N5" s="12">
        <f>Main_!O5</f>
        <v>279773.7</v>
      </c>
      <c r="O5" s="12">
        <f>Main_!P5</f>
        <v>279773.7</v>
      </c>
      <c r="P5" s="12">
        <f>Main_!Q5</f>
        <v>279773.7</v>
      </c>
      <c r="Q5" s="12">
        <f>Main_!R5</f>
        <v>227330.7</v>
      </c>
      <c r="R5" s="12">
        <f>Main_!S5</f>
        <v>227517.1</v>
      </c>
      <c r="S5" s="12">
        <f>Main_!T5</f>
        <v>227517.1</v>
      </c>
      <c r="T5" s="12">
        <f>Main_!U5</f>
        <v>227615.8</v>
      </c>
      <c r="U5" s="12">
        <f>Main_!V5</f>
        <v>227615.8</v>
      </c>
      <c r="V5" s="12">
        <f>Main_!W5</f>
        <v>227615.8</v>
      </c>
      <c r="W5" s="12">
        <f>Main_!X5</f>
        <v>229532.6</v>
      </c>
      <c r="X5" s="12">
        <f>Main_!Y5</f>
        <v>226532.6</v>
      </c>
      <c r="Y5" s="12">
        <f>Main_!Z5</f>
        <v>223782.6</v>
      </c>
      <c r="Z5" s="12">
        <f>Main_!AA5</f>
        <v>221782.6</v>
      </c>
      <c r="AA5" s="12">
        <f>Main_!AB5</f>
        <v>220532.6</v>
      </c>
      <c r="AB5" s="12">
        <f>Main_!AC5</f>
        <v>219532.6</v>
      </c>
      <c r="AC5" s="12">
        <f>Main_!AD5</f>
        <v>164044.20000000001</v>
      </c>
      <c r="AD5" s="12">
        <f>Main_!AE5</f>
        <v>164255.79999999999</v>
      </c>
      <c r="AE5" s="12">
        <f>Main_!AF5</f>
        <v>164285.9</v>
      </c>
      <c r="AF5" s="12">
        <f>Main_!AG5</f>
        <v>164387.6</v>
      </c>
      <c r="AG5" s="12">
        <f>Main_!AH5</f>
        <v>164597.20000000001</v>
      </c>
      <c r="AH5" s="12">
        <f>Main_!AI5</f>
        <v>153698.1</v>
      </c>
      <c r="AI5" s="12">
        <f>Main_!AJ5</f>
        <v>214820.7</v>
      </c>
    </row>
    <row r="6" spans="1:35" x14ac:dyDescent="0.35">
      <c r="A6" t="s">
        <v>141</v>
      </c>
      <c r="B6" s="12">
        <f>Main_!C6</f>
        <v>554910.5</v>
      </c>
      <c r="C6" s="12">
        <f>Main_!D6</f>
        <v>554910.5</v>
      </c>
      <c r="D6" s="12">
        <f>Main_!E6</f>
        <v>554910.5</v>
      </c>
      <c r="E6" s="12">
        <f>Main_!F6</f>
        <v>554910.5</v>
      </c>
      <c r="F6" s="12">
        <f>Main_!G6</f>
        <v>551277.5</v>
      </c>
      <c r="G6" s="12">
        <f>Main_!H6</f>
        <v>539245.1</v>
      </c>
      <c r="H6" s="12">
        <f>Main_!I6</f>
        <v>527382.30000000005</v>
      </c>
      <c r="I6" s="12">
        <f>Main_!J6</f>
        <v>520974</v>
      </c>
      <c r="J6" s="12">
        <f>Main_!K6</f>
        <v>517114.1</v>
      </c>
      <c r="K6" s="12">
        <f>Main_!L6</f>
        <v>511986.9</v>
      </c>
      <c r="L6" s="12">
        <f>Main_!M6</f>
        <v>508835.4</v>
      </c>
      <c r="M6" s="12">
        <f>Main_!N6</f>
        <v>508265.3</v>
      </c>
      <c r="N6" s="12">
        <f>Main_!O6</f>
        <v>508265.3</v>
      </c>
      <c r="O6" s="12">
        <f>Main_!P6</f>
        <v>508265.3</v>
      </c>
      <c r="P6" s="12">
        <f>Main_!Q6</f>
        <v>508265.3</v>
      </c>
      <c r="Q6" s="12">
        <f>Main_!R6</f>
        <v>358960.6</v>
      </c>
      <c r="R6" s="12">
        <f>Main_!S6</f>
        <v>358960.6</v>
      </c>
      <c r="S6" s="12">
        <f>Main_!T6</f>
        <v>358014.6</v>
      </c>
      <c r="T6" s="12">
        <f>Main_!U6</f>
        <v>334863.2</v>
      </c>
      <c r="U6" s="12">
        <f>Main_!V6</f>
        <v>334367.3</v>
      </c>
      <c r="V6" s="12">
        <f>Main_!W6</f>
        <v>329705.3</v>
      </c>
      <c r="W6" s="12">
        <f>Main_!X6</f>
        <v>303578.59999999998</v>
      </c>
      <c r="X6" s="12">
        <f>Main_!Y6</f>
        <v>298840.40000000002</v>
      </c>
      <c r="Y6" s="12">
        <f>Main_!Z6</f>
        <v>293188.59999999998</v>
      </c>
      <c r="Z6" s="12">
        <f>Main_!AA6</f>
        <v>292494.09999999998</v>
      </c>
      <c r="AA6" s="12">
        <f>Main_!AB6</f>
        <v>283575.3</v>
      </c>
      <c r="AB6" s="12">
        <f>Main_!AC6</f>
        <v>279562.59999999998</v>
      </c>
      <c r="AC6" s="12">
        <f>Main_!AD6</f>
        <v>187749.1</v>
      </c>
      <c r="AD6" s="12">
        <f>Main_!AE6</f>
        <v>178996</v>
      </c>
      <c r="AE6" s="12">
        <f>Main_!AF6</f>
        <v>174626.7</v>
      </c>
      <c r="AF6" s="12">
        <f>Main_!AG6</f>
        <v>168271.4</v>
      </c>
      <c r="AG6" s="12">
        <f>Main_!AH6</f>
        <v>168061.1</v>
      </c>
      <c r="AH6" s="12">
        <f>Main_!AI6</f>
        <v>139509.1</v>
      </c>
      <c r="AI6" s="12">
        <f>Main_!AJ6</f>
        <v>211953.9</v>
      </c>
    </row>
    <row r="7" spans="1:35" x14ac:dyDescent="0.35">
      <c r="A7" t="s">
        <v>142</v>
      </c>
      <c r="B7" s="12">
        <f>Main_!C7</f>
        <v>264.3</v>
      </c>
      <c r="C7" s="12">
        <f>Main_!D7</f>
        <v>526.70000000000005</v>
      </c>
      <c r="D7" s="12">
        <f>Main_!E7</f>
        <v>242.7</v>
      </c>
      <c r="E7" s="12">
        <f>Main_!F7</f>
        <v>274.8</v>
      </c>
      <c r="F7" s="12">
        <f>Main_!G7</f>
        <v>530.1</v>
      </c>
      <c r="G7" s="12">
        <f>Main_!H7</f>
        <v>6124</v>
      </c>
      <c r="H7" s="12">
        <f>Main_!I7</f>
        <v>140.69999999999999</v>
      </c>
      <c r="I7" s="12">
        <f>Main_!J7</f>
        <v>232.8</v>
      </c>
      <c r="J7" s="12">
        <f>Main_!K7</f>
        <v>228</v>
      </c>
      <c r="K7" s="12">
        <f>Main_!L7</f>
        <v>400.4</v>
      </c>
      <c r="L7" s="12">
        <f>Main_!M7</f>
        <v>5490.5</v>
      </c>
      <c r="M7" s="12">
        <f>Main_!N7</f>
        <v>6775.9</v>
      </c>
      <c r="N7" s="12">
        <f>Main_!O7</f>
        <v>395.9</v>
      </c>
      <c r="O7" s="12">
        <f>Main_!P7</f>
        <v>261.8</v>
      </c>
      <c r="P7" s="12">
        <f>Main_!Q7</f>
        <v>1187.5999999999999</v>
      </c>
      <c r="Q7" s="12">
        <f>Main_!R7</f>
        <v>1514</v>
      </c>
      <c r="R7" s="12">
        <f>Main_!S7</f>
        <v>294.8</v>
      </c>
      <c r="S7" s="12">
        <f>Main_!T7</f>
        <v>1241</v>
      </c>
      <c r="T7" s="12">
        <f>Main_!U7</f>
        <v>1650.1</v>
      </c>
      <c r="U7" s="12">
        <f>Main_!V7</f>
        <v>299.7</v>
      </c>
      <c r="V7" s="12">
        <f>Main_!W7</f>
        <v>1252</v>
      </c>
      <c r="W7" s="12">
        <f>Main_!X7</f>
        <v>1676</v>
      </c>
      <c r="X7" s="12">
        <f>Main_!Y7</f>
        <v>368.5</v>
      </c>
      <c r="Y7" s="12">
        <f>Main_!Z7</f>
        <v>1261.9000000000001</v>
      </c>
      <c r="Z7" s="12">
        <f>Main_!AA7</f>
        <v>1612.3</v>
      </c>
      <c r="AA7" s="12">
        <f>Main_!AB7</f>
        <v>410.2</v>
      </c>
      <c r="AB7" s="12">
        <f>Main_!AC7</f>
        <v>1429.9</v>
      </c>
      <c r="AC7" s="12">
        <f>Main_!AD7</f>
        <v>1630.9</v>
      </c>
      <c r="AD7" s="12">
        <f>Main_!AE7</f>
        <v>0</v>
      </c>
      <c r="AE7" s="12">
        <f>Main_!AF7</f>
        <v>1249.5999999999999</v>
      </c>
      <c r="AF7" s="12">
        <f>Main_!AG7</f>
        <v>1671.6</v>
      </c>
      <c r="AG7" s="12">
        <f>Main_!AH7</f>
        <v>397.6</v>
      </c>
      <c r="AH7" s="12">
        <f>Main_!AI7</f>
        <v>1271.3</v>
      </c>
      <c r="AI7" s="12">
        <f>Main_!AJ7</f>
        <v>2525.5</v>
      </c>
    </row>
    <row r="8" spans="1:35" x14ac:dyDescent="0.35">
      <c r="A8" t="s">
        <v>147</v>
      </c>
      <c r="B8" s="12">
        <v>528449</v>
      </c>
      <c r="C8" s="12">
        <v>528186</v>
      </c>
      <c r="D8" s="12">
        <v>650116</v>
      </c>
      <c r="E8" s="12">
        <v>649841</v>
      </c>
      <c r="F8" s="12">
        <v>649586</v>
      </c>
      <c r="G8" s="12">
        <v>649346</v>
      </c>
      <c r="H8" s="12">
        <v>648927</v>
      </c>
      <c r="I8" s="12">
        <v>648694</v>
      </c>
      <c r="J8" s="12">
        <v>648466</v>
      </c>
      <c r="K8" s="12">
        <f>SUM(Main_!L8:L23)</f>
        <v>653020</v>
      </c>
      <c r="L8" s="12">
        <f>SUM(Main_!M8:M23)</f>
        <v>655170.80000000005</v>
      </c>
      <c r="M8" s="12">
        <f>SUM(Main_!N8:N23)</f>
        <v>656580</v>
      </c>
      <c r="N8" s="12">
        <f>SUM(Main_!O8:O23)</f>
        <v>657029.30000000005</v>
      </c>
      <c r="O8" s="12">
        <f>SUM(Main_!P8:P23)</f>
        <v>657764.80000000005</v>
      </c>
      <c r="P8" s="12">
        <f>SUM(Main_!Q8:Q23)</f>
        <v>658364.9</v>
      </c>
      <c r="Q8" s="12">
        <f>SUM(Main_!R8:R23)</f>
        <v>658828.30000000005</v>
      </c>
      <c r="R8" s="12">
        <f>SUM(Main_!S8:S23)</f>
        <v>658595.69999999995</v>
      </c>
      <c r="S8" s="12">
        <f>SUM(Main_!T8:T23)</f>
        <v>658293.5</v>
      </c>
      <c r="T8" s="12">
        <f>SUM(Main_!U8:U23)</f>
        <v>657832.89999999991</v>
      </c>
      <c r="U8" s="12">
        <f>SUM(Main_!V8:V23)</f>
        <v>659635.9</v>
      </c>
      <c r="V8" s="12">
        <f>SUM(Main_!W8:W23)</f>
        <v>660216.1</v>
      </c>
      <c r="W8" s="12">
        <f>SUM(Main_!X8:X23)</f>
        <v>660688.69999999995</v>
      </c>
      <c r="X8" s="12">
        <f>SUM(Main_!Y8:Y23)</f>
        <v>689427.9</v>
      </c>
      <c r="Y8" s="12">
        <f>SUM(Main_!Z8:Z23)</f>
        <v>690022.5</v>
      </c>
      <c r="Z8" s="12">
        <f>SUM(Main_!AA8:AA23)</f>
        <v>690508.4</v>
      </c>
      <c r="AA8" s="12">
        <f>SUM(Main_!AB8:AB23)</f>
        <v>752240.9</v>
      </c>
      <c r="AB8" s="12">
        <f>SUM(Main_!AC8:AC23)</f>
        <v>751917.8</v>
      </c>
      <c r="AC8" s="12">
        <f>SUM(Main_!AD8:AD23)</f>
        <v>891319.7</v>
      </c>
      <c r="AD8" s="12">
        <f>SUM(Main_!AE8:AE23)</f>
        <v>968847.4</v>
      </c>
      <c r="AE8" s="12">
        <f>SUM(Main_!AF8:AF23)</f>
        <v>1005833.7000000001</v>
      </c>
      <c r="AF8" s="12">
        <f>SUM(Main_!AG8:AG23)</f>
        <v>1054339.1000000001</v>
      </c>
      <c r="AG8" s="12">
        <f>SUM(Main_!AH8:AH23)</f>
        <v>1055987.8999999999</v>
      </c>
      <c r="AH8" s="12">
        <f>SUM(Main_!AI8:AI23)</f>
        <v>1104103.6000000001</v>
      </c>
      <c r="AI8" s="12">
        <f>SUM(Main_!AJ8:AJ23)</f>
        <v>1104617.5</v>
      </c>
    </row>
    <row r="9" spans="1:35" x14ac:dyDescent="0.35">
      <c r="A9" t="s">
        <v>131</v>
      </c>
      <c r="B9" s="12">
        <f>Main_!C24</f>
        <v>3000</v>
      </c>
      <c r="C9" s="12">
        <f>Main_!D24</f>
        <v>3000</v>
      </c>
      <c r="D9" s="12">
        <f>Main_!E24</f>
        <v>3000</v>
      </c>
      <c r="E9" s="12">
        <f>Main_!F24</f>
        <v>3000</v>
      </c>
      <c r="F9" s="12">
        <f>Main_!G24</f>
        <v>3000</v>
      </c>
      <c r="G9" s="12">
        <f>Main_!H24</f>
        <v>3000</v>
      </c>
      <c r="H9" s="12">
        <f>Main_!I24</f>
        <v>3000</v>
      </c>
      <c r="I9" s="12">
        <f>Main_!J24</f>
        <v>3000</v>
      </c>
      <c r="J9" s="12">
        <f>Main_!K24</f>
        <v>3000</v>
      </c>
      <c r="K9" s="12">
        <f>Main_!L24</f>
        <v>3000</v>
      </c>
      <c r="L9" s="12">
        <f>Main_!M24</f>
        <v>3000</v>
      </c>
      <c r="M9" s="12">
        <f>Main_!N24</f>
        <v>3000</v>
      </c>
      <c r="N9" s="12">
        <f>Main_!O24</f>
        <v>3000</v>
      </c>
      <c r="O9" s="12">
        <f>Main_!P24</f>
        <v>3000</v>
      </c>
      <c r="P9" s="12">
        <f>Main_!Q24</f>
        <v>3000</v>
      </c>
      <c r="Q9" s="12">
        <f>Main_!R24</f>
        <v>3000</v>
      </c>
      <c r="R9" s="12">
        <f>Main_!S24</f>
        <v>3000</v>
      </c>
      <c r="S9" s="12">
        <f>Main_!T24</f>
        <v>3000</v>
      </c>
      <c r="T9" s="12">
        <f>Main_!U24</f>
        <v>3000</v>
      </c>
      <c r="U9" s="12">
        <f>Main_!V24</f>
        <v>3000</v>
      </c>
      <c r="V9" s="12">
        <f>Main_!W24</f>
        <v>3000</v>
      </c>
      <c r="W9" s="12">
        <f>Main_!X24</f>
        <v>3000</v>
      </c>
      <c r="X9" s="12">
        <f>Main_!Y24</f>
        <v>3000</v>
      </c>
      <c r="Y9" s="12">
        <f>Main_!Z24</f>
        <v>3000</v>
      </c>
      <c r="Z9" s="12">
        <f>Main_!AA24</f>
        <v>3000</v>
      </c>
      <c r="AA9" s="12">
        <f>Main_!AB24</f>
        <v>3000</v>
      </c>
      <c r="AB9" s="12">
        <f>Main_!AC24</f>
        <v>3000</v>
      </c>
      <c r="AC9" s="12">
        <f>Main_!AD24</f>
        <v>3000</v>
      </c>
      <c r="AD9" s="12">
        <f>Main_!AE24</f>
        <v>3000</v>
      </c>
      <c r="AE9" s="12">
        <f>Main_!AF24</f>
        <v>3000</v>
      </c>
      <c r="AF9" s="12">
        <f>Main_!AG24</f>
        <v>3000</v>
      </c>
      <c r="AG9" s="12">
        <f>Main_!AH24</f>
        <v>3000</v>
      </c>
      <c r="AH9" s="12">
        <f>Main_!AI24</f>
        <v>3000</v>
      </c>
      <c r="AI9" s="12">
        <f>Main_!AJ24</f>
        <v>3000</v>
      </c>
    </row>
    <row r="10" spans="1:35" x14ac:dyDescent="0.35">
      <c r="A10" t="s">
        <v>132</v>
      </c>
      <c r="B10" s="12">
        <f>Main_!C25</f>
        <v>314357.40000000002</v>
      </c>
      <c r="C10" s="12">
        <f>Main_!D25</f>
        <v>319388.7</v>
      </c>
      <c r="D10" s="12">
        <f>Main_!E25</f>
        <v>385146.2</v>
      </c>
      <c r="E10" s="12">
        <f>Main_!F25</f>
        <v>583710</v>
      </c>
      <c r="F10" s="12">
        <f>Main_!G25</f>
        <v>583710</v>
      </c>
      <c r="G10" s="12">
        <f>Main_!H25</f>
        <v>583710</v>
      </c>
      <c r="H10" s="12">
        <f>Main_!I25</f>
        <v>595596</v>
      </c>
      <c r="I10" s="12">
        <f>Main_!J25</f>
        <v>603639.1</v>
      </c>
      <c r="J10" s="12">
        <f>Main_!K25</f>
        <v>619314.4</v>
      </c>
      <c r="K10" s="12">
        <f>Main_!L25</f>
        <v>697875.5</v>
      </c>
      <c r="L10" s="12">
        <f>Main_!M25</f>
        <v>703010.4</v>
      </c>
      <c r="M10" s="12">
        <f>Main_!N25</f>
        <v>862315.2</v>
      </c>
      <c r="N10" s="12">
        <f>Main_!O25</f>
        <v>918404.2</v>
      </c>
      <c r="O10" s="12">
        <f>Main_!P25</f>
        <v>940395.4</v>
      </c>
      <c r="P10" s="12">
        <f>Main_!Q25</f>
        <v>973116.7</v>
      </c>
      <c r="Q10" s="12">
        <f>Main_!R25</f>
        <v>1157407</v>
      </c>
      <c r="R10" s="12">
        <f>Main_!S25</f>
        <v>1157407</v>
      </c>
      <c r="S10" s="12">
        <f>Main_!T25</f>
        <v>1163373</v>
      </c>
      <c r="T10" s="12">
        <f>Main_!U25</f>
        <v>1179302</v>
      </c>
      <c r="U10" s="12">
        <f>Main_!V25</f>
        <v>1182890</v>
      </c>
      <c r="V10" s="12">
        <f>Main_!W25</f>
        <v>1213962.3</v>
      </c>
      <c r="W10" s="12">
        <f>Main_!X25</f>
        <v>1231367.6000000001</v>
      </c>
      <c r="X10" s="12">
        <f>Main_!Y25</f>
        <v>1236574.6000000001</v>
      </c>
      <c r="Y10" s="12">
        <f>Main_!Z25</f>
        <v>1262976</v>
      </c>
      <c r="Z10" s="12">
        <f>Main_!AA25</f>
        <v>1270394.2</v>
      </c>
      <c r="AA10" s="12">
        <f>Main_!AB25</f>
        <v>1283924.3999999999</v>
      </c>
      <c r="AB10" s="12">
        <f>Main_!AC25</f>
        <v>1296899.4000000001</v>
      </c>
      <c r="AC10" s="12">
        <f>Main_!AD25</f>
        <v>1339327.2</v>
      </c>
      <c r="AD10" s="12">
        <f>Main_!AE25</f>
        <v>1339073.0999999999</v>
      </c>
      <c r="AE10" s="12">
        <f>Main_!AF25</f>
        <v>1338488.3</v>
      </c>
      <c r="AF10" s="12">
        <f>Main_!AG25</f>
        <v>1340916</v>
      </c>
      <c r="AG10" s="12">
        <f>Main_!AH25</f>
        <v>1340825.6000000001</v>
      </c>
      <c r="AH10" s="12">
        <f>Main_!AI25</f>
        <v>1347272.4</v>
      </c>
      <c r="AI10" s="12">
        <f>Main_!AJ25</f>
        <v>1350046.2</v>
      </c>
    </row>
    <row r="11" spans="1:35" x14ac:dyDescent="0.35">
      <c r="A11" t="s">
        <v>133</v>
      </c>
      <c r="B11" s="12">
        <f>Main_!C26</f>
        <v>2221.4</v>
      </c>
      <c r="C11" s="12">
        <f>Main_!D26</f>
        <v>2221.4</v>
      </c>
      <c r="D11" s="12">
        <f>Main_!E26</f>
        <v>2221.4</v>
      </c>
      <c r="E11" s="12">
        <f>Main_!F26</f>
        <v>2153.4</v>
      </c>
      <c r="F11" s="12">
        <f>Main_!G26</f>
        <v>2153.4</v>
      </c>
      <c r="G11" s="12">
        <f>Main_!H26</f>
        <v>2082.4</v>
      </c>
      <c r="H11" s="12">
        <f>Main_!I26</f>
        <v>2082.4</v>
      </c>
      <c r="I11" s="12">
        <f>Main_!J26</f>
        <v>2082.4</v>
      </c>
      <c r="J11" s="12">
        <f>Main_!K26</f>
        <v>2082.4</v>
      </c>
      <c r="K11" s="12">
        <f>Main_!L26</f>
        <v>2014.4</v>
      </c>
      <c r="L11" s="12">
        <f>Main_!M26</f>
        <v>2014.4</v>
      </c>
      <c r="M11" s="12">
        <f>Main_!N26</f>
        <v>1943.5</v>
      </c>
      <c r="N11" s="12">
        <f>Main_!O26</f>
        <v>1943.5</v>
      </c>
      <c r="O11" s="12">
        <f>Main_!P26</f>
        <v>1943.5</v>
      </c>
      <c r="P11" s="12">
        <f>Main_!Q26</f>
        <v>1943.5</v>
      </c>
      <c r="Q11" s="12">
        <f>Main_!R26</f>
        <v>1875.5</v>
      </c>
      <c r="R11" s="12">
        <f>Main_!S26</f>
        <v>1875.5</v>
      </c>
      <c r="S11" s="12">
        <f>Main_!T26</f>
        <v>1875.5</v>
      </c>
      <c r="T11" s="12">
        <f>Main_!U26</f>
        <v>1875.5</v>
      </c>
      <c r="U11" s="12">
        <f>Main_!V26</f>
        <v>1875.5</v>
      </c>
      <c r="V11" s="12">
        <f>Main_!W26</f>
        <v>1875.4</v>
      </c>
      <c r="W11" s="12">
        <f>Main_!X26</f>
        <v>1875.4</v>
      </c>
      <c r="X11" s="12">
        <f>Main_!Y26</f>
        <v>1875.4</v>
      </c>
      <c r="Y11" s="12">
        <f>Main_!Z26</f>
        <v>1875.4</v>
      </c>
      <c r="Z11" s="12">
        <f>Main_!AA26</f>
        <v>1875.4</v>
      </c>
      <c r="AA11" s="12">
        <f>Main_!AB26</f>
        <v>1875.4</v>
      </c>
      <c r="AB11" s="12">
        <f>Main_!AC26</f>
        <v>1875.4</v>
      </c>
      <c r="AC11" s="12">
        <f>Main_!AD26</f>
        <v>1875.4</v>
      </c>
      <c r="AD11" s="12">
        <f>Main_!AE26</f>
        <v>1875.4</v>
      </c>
      <c r="AE11" s="12">
        <f>Main_!AF26</f>
        <v>1875.4</v>
      </c>
      <c r="AF11" s="12">
        <f>Main_!AG26</f>
        <v>1875.4</v>
      </c>
      <c r="AG11" s="12">
        <f>Main_!AH26</f>
        <v>1875.4</v>
      </c>
      <c r="AH11" s="12">
        <f>Main_!AI26</f>
        <v>1875.4</v>
      </c>
      <c r="AI11" s="12">
        <f>Main_!AJ26</f>
        <v>1875.4</v>
      </c>
    </row>
    <row r="12" spans="1:35" x14ac:dyDescent="0.35">
      <c r="A12" t="s">
        <v>134</v>
      </c>
      <c r="B12" s="12">
        <f>SUM(Main_!C27:C29)</f>
        <v>328991.90000000002</v>
      </c>
      <c r="C12" s="12">
        <f>SUM(Main_!D27:D29)</f>
        <v>328991.90000000002</v>
      </c>
      <c r="D12" s="12">
        <f>SUM(Main_!E27:E29)</f>
        <v>328991.90000000002</v>
      </c>
      <c r="E12" s="12">
        <f>SUM(Main_!F27:F29)</f>
        <v>328991.90000000002</v>
      </c>
      <c r="F12" s="12">
        <f>SUM(Main_!G27:G29)</f>
        <v>328991.90000000002</v>
      </c>
      <c r="G12" s="12">
        <f>SUM(Main_!H27:H29)</f>
        <v>328991.90000000002</v>
      </c>
      <c r="H12" s="12">
        <f>SUM(Main_!I27:I29)</f>
        <v>328991.90000000002</v>
      </c>
      <c r="I12" s="12">
        <f>SUM(Main_!J27:J29)</f>
        <v>328991.90000000002</v>
      </c>
      <c r="J12" s="12">
        <f>SUM(Main_!K27:K29)</f>
        <v>328991.90000000002</v>
      </c>
      <c r="K12" s="12">
        <f>SUM(Main_!L27:L29)</f>
        <v>328991.90000000002</v>
      </c>
      <c r="L12" s="12">
        <f>SUM(Main_!M27:M29)</f>
        <v>328991.90000000002</v>
      </c>
      <c r="M12" s="12">
        <f>SUM(Main_!N27:N29)</f>
        <v>328991.90000000002</v>
      </c>
      <c r="N12" s="12">
        <f>SUM(Main_!O27:O29)</f>
        <v>328991.90000000002</v>
      </c>
      <c r="O12" s="12">
        <f>SUM(Main_!P27:P29)</f>
        <v>328991.90000000002</v>
      </c>
      <c r="P12" s="12">
        <f>SUM(Main_!Q27:Q29)</f>
        <v>328991.90000000002</v>
      </c>
      <c r="Q12" s="12">
        <f>SUM(Main_!R27:R29)</f>
        <v>328991.90000000002</v>
      </c>
      <c r="R12" s="12">
        <f>SUM(Main_!S27:S29)</f>
        <v>328991.90000000002</v>
      </c>
      <c r="S12" s="12">
        <f>SUM(Main_!T27:T29)</f>
        <v>328991.90000000002</v>
      </c>
      <c r="T12" s="12">
        <f>SUM(Main_!U27:U29)</f>
        <v>328991.90000000002</v>
      </c>
      <c r="U12" s="12">
        <f>SUM(Main_!V27:V29)</f>
        <v>328991.90000000002</v>
      </c>
      <c r="V12" s="12">
        <f>SUM(Main_!W27:W29)</f>
        <v>328991.90000000002</v>
      </c>
      <c r="W12" s="12">
        <f>SUM(Main_!X27:X29)</f>
        <v>403991.9</v>
      </c>
      <c r="X12" s="12">
        <f>SUM(Main_!Y27:Y29)</f>
        <v>403991.9</v>
      </c>
      <c r="Y12" s="12">
        <f>SUM(Main_!Z27:Z29)</f>
        <v>403991.9</v>
      </c>
      <c r="Z12" s="12">
        <f>SUM(Main_!AA27:AA29)</f>
        <v>403991.9</v>
      </c>
      <c r="AA12" s="12">
        <f>SUM(Main_!AB27:AB29)</f>
        <v>403991.9</v>
      </c>
      <c r="AB12" s="12">
        <f>SUM(Main_!AC27:AC29)</f>
        <v>403991.9</v>
      </c>
      <c r="AC12" s="12">
        <f>SUM(Main_!AD27:AD29)</f>
        <v>403991.9</v>
      </c>
      <c r="AD12" s="12">
        <f>SUM(Main_!AE27:AE29)</f>
        <v>403992</v>
      </c>
      <c r="AE12" s="12">
        <f>SUM(Main_!AF27:AF29)</f>
        <v>403992</v>
      </c>
      <c r="AF12" s="12">
        <f>SUM(Main_!AG27:AG29)</f>
        <v>403992</v>
      </c>
      <c r="AG12" s="12">
        <f>SUM(Main_!AH27:AH29)</f>
        <v>403992</v>
      </c>
      <c r="AH12" s="12">
        <f>SUM(Main_!AI27:AI29)</f>
        <v>403992</v>
      </c>
      <c r="AI12" s="12">
        <f>SUM(Main_!AJ27:AJ29)</f>
        <v>403992</v>
      </c>
    </row>
    <row r="13" spans="1:35" x14ac:dyDescent="0.35">
      <c r="A13" t="s">
        <v>240</v>
      </c>
      <c r="B13" s="12">
        <f>Main_!C31</f>
        <v>0</v>
      </c>
      <c r="C13" s="12">
        <f>Main_!D31</f>
        <v>0</v>
      </c>
      <c r="D13" s="12">
        <f>Main_!E31</f>
        <v>0</v>
      </c>
      <c r="E13" s="12">
        <f>Main_!F31</f>
        <v>0</v>
      </c>
      <c r="F13" s="12">
        <f>Main_!G31</f>
        <v>0</v>
      </c>
      <c r="G13" s="12">
        <f>Main_!H31</f>
        <v>0</v>
      </c>
      <c r="H13" s="12">
        <f>Main_!I31</f>
        <v>38433.9</v>
      </c>
      <c r="I13" s="12">
        <f>Main_!J31</f>
        <v>38433.9</v>
      </c>
      <c r="J13" s="12">
        <f>Main_!K31</f>
        <v>38433.9</v>
      </c>
      <c r="K13" s="12">
        <f>Main_!L31</f>
        <v>38433.9</v>
      </c>
      <c r="L13" s="12">
        <f>Main_!M31</f>
        <v>38433.9</v>
      </c>
      <c r="M13" s="12">
        <f>Main_!N31</f>
        <v>38433.9</v>
      </c>
      <c r="N13" s="12">
        <f>Main_!O31</f>
        <v>38433.9</v>
      </c>
      <c r="O13" s="12">
        <f>Main_!P31</f>
        <v>38433.9</v>
      </c>
      <c r="P13" s="12">
        <f>Main_!Q31</f>
        <v>38433.9</v>
      </c>
      <c r="Q13" s="12">
        <f>Main_!R31</f>
        <v>38433.9</v>
      </c>
      <c r="R13" s="12">
        <f>Main_!S31</f>
        <v>38433.9</v>
      </c>
      <c r="S13" s="12">
        <f>Main_!T31</f>
        <v>38433.9</v>
      </c>
      <c r="T13" s="12">
        <f>Main_!U31</f>
        <v>38433.9</v>
      </c>
      <c r="U13" s="12">
        <f>Main_!V31</f>
        <v>38433.9</v>
      </c>
      <c r="V13" s="12">
        <f>Main_!W31</f>
        <v>38433.9</v>
      </c>
      <c r="W13" s="12">
        <f>Main_!X31</f>
        <v>38433.9</v>
      </c>
      <c r="X13" s="12">
        <f>Main_!Y31</f>
        <v>38433.9</v>
      </c>
      <c r="Y13" s="12">
        <f>Main_!Z31</f>
        <v>38433.9</v>
      </c>
      <c r="Z13" s="12">
        <f>Main_!AA31</f>
        <v>38433.9</v>
      </c>
      <c r="AA13" s="12">
        <f>Main_!AB31</f>
        <v>38433.9</v>
      </c>
      <c r="AB13" s="12">
        <f>Main_!AC31</f>
        <v>38433.9</v>
      </c>
      <c r="AC13" s="12">
        <f>Main_!AD31</f>
        <v>38433.9</v>
      </c>
      <c r="AD13" s="12">
        <f>Main_!AE31</f>
        <v>38433.9</v>
      </c>
      <c r="AE13" s="12">
        <f>Main_!AF31</f>
        <v>38433.9</v>
      </c>
      <c r="AF13" s="12">
        <f>Main_!AG31</f>
        <v>38433.9</v>
      </c>
      <c r="AG13" s="12">
        <f>Main_!AH31</f>
        <v>38433.9</v>
      </c>
      <c r="AH13" s="12">
        <f>SUM(Main_!AI31:AI35)</f>
        <v>338433.9</v>
      </c>
      <c r="AI13" s="12">
        <f>SUM(Main_!AJ31:AJ35)</f>
        <v>338433.9</v>
      </c>
    </row>
    <row r="14" spans="1:35" x14ac:dyDescent="0.35">
      <c r="A14" t="s">
        <v>135</v>
      </c>
      <c r="B14" s="12">
        <f>SUM(Main_!C36:C40)</f>
        <v>1393665.3</v>
      </c>
      <c r="C14" s="12">
        <f>SUM(Main_!D36:D40)</f>
        <v>1601086.9</v>
      </c>
      <c r="D14" s="12">
        <f>SUM(Main_!E36:E40)</f>
        <v>1702023.3</v>
      </c>
      <c r="E14" s="12">
        <f>SUM(Main_!F36:F40)</f>
        <v>1757319.5</v>
      </c>
      <c r="F14" s="12">
        <f>SUM(Main_!G36:G40)</f>
        <v>1932491.9</v>
      </c>
      <c r="G14" s="12">
        <f>SUM(Main_!H36:H40)</f>
        <v>2095160.2</v>
      </c>
      <c r="H14" s="12">
        <f>SUM(Main_!I36:I40)</f>
        <v>2709111.9</v>
      </c>
      <c r="I14" s="12">
        <f>SUM(Main_!J36:J40)</f>
        <v>3041875.2</v>
      </c>
      <c r="J14" s="12">
        <f>SUM(Main_!K36:K40)</f>
        <v>3088748.3</v>
      </c>
      <c r="K14" s="12">
        <f>SUM(Main_!L36:L40)</f>
        <v>3128294.4</v>
      </c>
      <c r="L14" s="12">
        <f>SUM(Main_!M36:M40)</f>
        <v>3384520.6999999997</v>
      </c>
      <c r="M14" s="12">
        <f>SUM(Main_!N36:N40)</f>
        <v>3465106.2</v>
      </c>
      <c r="N14" s="12">
        <f>SUM(Main_!O36:O40)</f>
        <v>3389191.3</v>
      </c>
      <c r="O14" s="12">
        <f>SUM(Main_!P36:P40)</f>
        <v>3463670.0000000005</v>
      </c>
      <c r="P14" s="12">
        <f>SUM(Main_!Q36:Q40)</f>
        <v>3530974</v>
      </c>
      <c r="Q14" s="12">
        <f>SUM(Main_!R36:R40)</f>
        <v>3479595.8999999994</v>
      </c>
      <c r="R14" s="12">
        <f>SUM(Main_!S36:S40)</f>
        <v>3544601.3999999994</v>
      </c>
      <c r="S14" s="12">
        <f>SUM(Main_!T36:T40)</f>
        <v>3726117.6</v>
      </c>
      <c r="T14" s="12">
        <f>SUM(Main_!U36:U40)</f>
        <v>3807455.2</v>
      </c>
      <c r="U14" s="12">
        <f>SUM(Main_!V36:V40)</f>
        <v>3937682.4</v>
      </c>
      <c r="V14" s="12">
        <f>SUM(Main_!W36:W40)</f>
        <v>3995946.6</v>
      </c>
      <c r="W14" s="12">
        <f>SUM(Main_!X36:X40)</f>
        <v>4167665.7</v>
      </c>
      <c r="X14" s="12">
        <f>SUM(Main_!Y36:Y40)</f>
        <v>3710250.0999999996</v>
      </c>
      <c r="Y14" s="12">
        <f>SUM(Main_!Z36:Z40)</f>
        <v>3313410.9</v>
      </c>
      <c r="Z14" s="12">
        <f>SUM(Main_!AA36:AA40)</f>
        <v>3488466.3</v>
      </c>
      <c r="AA14" s="12">
        <f>SUM(Main_!AB36:AB40)</f>
        <v>3120030.0000000005</v>
      </c>
      <c r="AB14" s="12">
        <f>SUM(Main_!AC36:AC40)</f>
        <v>3035844.9</v>
      </c>
      <c r="AC14" s="12">
        <f>SUM(Main_!AD36:AD40)</f>
        <v>3551920.4</v>
      </c>
      <c r="AD14" s="12">
        <f>SUM(Main_!AE36:AE40)</f>
        <v>3638440</v>
      </c>
      <c r="AE14" s="12">
        <f>SUM(Main_!AF36:AF40)</f>
        <v>3939607.3000000003</v>
      </c>
      <c r="AF14" s="12">
        <f>SUM(Main_!AG36:AG40)</f>
        <v>3910964.5</v>
      </c>
      <c r="AG14" s="12">
        <f>SUM(Main_!AH36:AH40)</f>
        <v>3936226.2</v>
      </c>
      <c r="AH14" s="12">
        <f>SUM(Main_!AI36:AI40)</f>
        <v>3949833.6</v>
      </c>
      <c r="AI14" s="12">
        <f>SUM(Main_!AJ36:AJ40)</f>
        <v>4046915.9</v>
      </c>
    </row>
    <row r="15" spans="1:35" x14ac:dyDescent="0.35">
      <c r="A15" t="s">
        <v>136</v>
      </c>
      <c r="B15" s="12">
        <f>Main_!C41</f>
        <v>250000</v>
      </c>
      <c r="C15" s="12">
        <f>Main_!D41</f>
        <v>250000</v>
      </c>
      <c r="D15" s="12">
        <f>Main_!E41</f>
        <v>250000</v>
      </c>
      <c r="E15" s="12">
        <f>Main_!F41</f>
        <v>467000</v>
      </c>
      <c r="F15" s="12">
        <f>Main_!G41</f>
        <v>467000</v>
      </c>
      <c r="G15" s="12">
        <f>Main_!H41</f>
        <v>467000</v>
      </c>
      <c r="H15" s="12">
        <f>Main_!I41</f>
        <v>467000</v>
      </c>
      <c r="I15" s="12">
        <f>Main_!J41</f>
        <v>467000</v>
      </c>
      <c r="J15" s="12">
        <f>Main_!K41</f>
        <v>467000</v>
      </c>
      <c r="K15" s="12">
        <f>Main_!L41</f>
        <v>467000</v>
      </c>
      <c r="L15" s="12">
        <f>Main_!M41</f>
        <v>467000</v>
      </c>
      <c r="M15" s="12">
        <f>Main_!N41</f>
        <v>467000</v>
      </c>
      <c r="N15" s="12">
        <f>Main_!O41</f>
        <v>467000</v>
      </c>
      <c r="O15" s="12">
        <f>Main_!P41</f>
        <v>467000</v>
      </c>
      <c r="P15" s="12">
        <f>Main_!Q41</f>
        <v>467000</v>
      </c>
      <c r="Q15" s="12">
        <f>Main_!R41</f>
        <v>467000</v>
      </c>
      <c r="R15" s="12">
        <f>Main_!S41</f>
        <v>467000</v>
      </c>
      <c r="S15" s="12">
        <f>Main_!T41</f>
        <v>467000</v>
      </c>
      <c r="T15" s="12">
        <f>Main_!U41</f>
        <v>467000</v>
      </c>
      <c r="U15" s="12">
        <f>Main_!V41</f>
        <v>467000</v>
      </c>
      <c r="V15" s="12">
        <f>Main_!W41</f>
        <v>467000</v>
      </c>
      <c r="W15" s="12">
        <f>Main_!X41</f>
        <v>467000</v>
      </c>
      <c r="X15" s="12">
        <f>Main_!Y41</f>
        <v>467000</v>
      </c>
      <c r="Y15" s="12">
        <f>Main_!Z41</f>
        <v>467000</v>
      </c>
      <c r="Z15" s="12">
        <f>Main_!AA41</f>
        <v>467000</v>
      </c>
      <c r="AA15" s="12">
        <f>Main_!AB41</f>
        <v>467000</v>
      </c>
      <c r="AB15" s="12">
        <f>Main_!AC41</f>
        <v>467000</v>
      </c>
      <c r="AC15" s="12">
        <f>Main_!AD41</f>
        <v>467000</v>
      </c>
      <c r="AD15" s="12">
        <f>Main_!AE41</f>
        <v>467000</v>
      </c>
      <c r="AE15" s="12">
        <f>Main_!AF41</f>
        <v>467000</v>
      </c>
      <c r="AF15" s="12">
        <f>Main_!AG41</f>
        <v>467000</v>
      </c>
      <c r="AG15" s="12">
        <f>Main_!AH41</f>
        <v>467000</v>
      </c>
      <c r="AH15" s="12">
        <f>Main_!AI41</f>
        <v>467000</v>
      </c>
      <c r="AI15" s="12">
        <f>Main_!AJ41</f>
        <v>467000</v>
      </c>
    </row>
    <row r="16" spans="1:35" x14ac:dyDescent="0.35">
      <c r="A16" t="s">
        <v>137</v>
      </c>
      <c r="B16" s="12">
        <f>SUM(Main_!C42:C45)</f>
        <v>14150.8</v>
      </c>
      <c r="C16" s="12">
        <f>SUM(Main_!D42:D45)</f>
        <v>14150.8</v>
      </c>
      <c r="D16" s="12">
        <f>SUM(Main_!E42:E45)</f>
        <v>14150.8</v>
      </c>
      <c r="E16" s="12">
        <f>SUM(Main_!F42:F45)</f>
        <v>14150.8</v>
      </c>
      <c r="F16" s="12">
        <f>SUM(Main_!G42:G45)</f>
        <v>14150.8</v>
      </c>
      <c r="G16" s="12">
        <f>SUM(Main_!H42:H45)</f>
        <v>14150.8</v>
      </c>
      <c r="H16" s="12">
        <f>SUM(Main_!I42:I45)</f>
        <v>14150.8</v>
      </c>
      <c r="I16" s="12">
        <f>SUM(Main_!J42:J45)</f>
        <v>109098.9</v>
      </c>
      <c r="J16" s="12">
        <f>SUM(Main_!K42:K45)</f>
        <v>109098.9</v>
      </c>
      <c r="K16" s="12">
        <f>SUM(Main_!L42:L45)</f>
        <v>109098.9</v>
      </c>
      <c r="L16" s="12">
        <f>SUM(Main_!M42:M45)</f>
        <v>96722.8</v>
      </c>
      <c r="M16" s="12">
        <f>SUM(Main_!N42:N45)</f>
        <v>159313.4</v>
      </c>
      <c r="N16" s="12">
        <f>SUM(Main_!O42:O45)</f>
        <v>227543.5</v>
      </c>
      <c r="O16" s="12">
        <f>SUM(Main_!P42:P45)</f>
        <v>245719.7</v>
      </c>
      <c r="P16" s="12">
        <f>SUM(Main_!Q42:Q45)</f>
        <v>250195.1</v>
      </c>
      <c r="Q16" s="12">
        <f>SUM(Main_!R42:R48)</f>
        <v>385771.2</v>
      </c>
      <c r="R16" s="12">
        <f>SUM(Main_!S42:S48)</f>
        <v>384966.40000000002</v>
      </c>
      <c r="S16" s="12">
        <f>SUM(Main_!T42:T48)</f>
        <v>383946.4</v>
      </c>
      <c r="T16" s="12">
        <f>SUM(Main_!U42:U48)</f>
        <v>517310.5</v>
      </c>
      <c r="U16" s="12">
        <f>SUM(Main_!V42:V48)</f>
        <v>516505.8</v>
      </c>
      <c r="V16" s="12">
        <f>SUM(Main_!W42:W48)</f>
        <v>515485.7</v>
      </c>
      <c r="W16" s="12">
        <f>SUM(Main_!X42:X48)</f>
        <v>611147.5</v>
      </c>
      <c r="X16" s="12">
        <f>SUM(Main_!Y42:Y46)+Main_!Y48</f>
        <v>610342.80000000005</v>
      </c>
      <c r="Y16" s="12">
        <f>SUM(Main_!Z42:Z46)+Main_!Z48</f>
        <v>621822.69999999995</v>
      </c>
      <c r="Z16" s="12">
        <f>SUM(Main_!AA42:AA46)+Main_!AA48</f>
        <v>618736.5</v>
      </c>
      <c r="AA16" s="12">
        <f>SUM(Main_!AB42:AB46)+Main_!AB48</f>
        <v>617931.80000000005</v>
      </c>
      <c r="AB16" s="12">
        <f>SUM(Main_!AC42:AC46)+Main_!AC48</f>
        <v>638111.69999999995</v>
      </c>
      <c r="AC16" s="12">
        <f>SUM(Main_!AD42:AD46)+Main_!AD48</f>
        <v>746538.5</v>
      </c>
      <c r="AD16" s="12">
        <f>SUM(Main_!AE42:AE46)+Main_!AE48</f>
        <v>745733.8</v>
      </c>
      <c r="AE16" s="12">
        <f>SUM(Main_!AF42:AF46)+Main_!AF48</f>
        <v>744713.7</v>
      </c>
      <c r="AF16" s="12">
        <f>SUM(Main_!AG42:AG46)+Main_!AG48</f>
        <v>742047</v>
      </c>
      <c r="AG16" s="12">
        <f>SUM(Main_!AH42:AH46)+Main_!AH48</f>
        <v>741242.3</v>
      </c>
      <c r="AH16" s="12">
        <f>SUM(Main_!AI42:AI46)+Main_!AI48</f>
        <v>748922.2</v>
      </c>
      <c r="AI16" s="12">
        <f>SUM(Main_!AJ42:AJ46)+Main_!AJ48</f>
        <v>758047.2</v>
      </c>
    </row>
    <row r="17" spans="1:35" x14ac:dyDescent="0.35">
      <c r="A17" t="s">
        <v>211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f>Main_!Y47</f>
        <v>3000</v>
      </c>
      <c r="Y17" s="12">
        <f>Main_!Z47</f>
        <v>5750</v>
      </c>
      <c r="Z17" s="12">
        <f>Main_!AA47</f>
        <v>7750</v>
      </c>
      <c r="AA17" s="12">
        <f>Main_!AB47</f>
        <v>9000</v>
      </c>
      <c r="AB17" s="12">
        <f>Main_!AC47</f>
        <v>10000</v>
      </c>
      <c r="AC17" s="12">
        <f>Main_!AD47</f>
        <v>10000</v>
      </c>
      <c r="AD17" s="12">
        <f>Main_!AE47</f>
        <v>10000</v>
      </c>
      <c r="AE17" s="12">
        <f>Main_!AF47</f>
        <v>10000</v>
      </c>
      <c r="AF17" s="12">
        <f>Main_!AG47</f>
        <v>10000</v>
      </c>
      <c r="AG17" s="12">
        <f>Main_!AH47</f>
        <v>10000</v>
      </c>
      <c r="AH17" s="12">
        <f>Main_!AI47</f>
        <v>10000</v>
      </c>
      <c r="AI17" s="12">
        <f>Main_!AJ47</f>
        <v>10000</v>
      </c>
    </row>
    <row r="18" spans="1:35" x14ac:dyDescent="0.35">
      <c r="A18" t="s">
        <v>143</v>
      </c>
      <c r="B18" s="12">
        <f>Main_!C54</f>
        <v>7524361.2999999998</v>
      </c>
      <c r="C18" s="12">
        <f>Main_!D54</f>
        <v>7872548.2999999998</v>
      </c>
      <c r="D18" s="12">
        <f>Main_!E54</f>
        <v>7601763</v>
      </c>
      <c r="E18" s="12">
        <f>Main_!F54</f>
        <v>6132655.2000000002</v>
      </c>
      <c r="F18" s="12">
        <f>Main_!G54</f>
        <v>6334590.5999999996</v>
      </c>
      <c r="G18" s="12">
        <f>Main_!H54</f>
        <v>6446231</v>
      </c>
      <c r="H18" s="12">
        <f>Main_!I54</f>
        <v>6712063.4000000004</v>
      </c>
      <c r="I18" s="12">
        <f>Main_!J54</f>
        <v>6828671.4000000004</v>
      </c>
      <c r="J18" s="12">
        <f>Main_!K54</f>
        <v>6643004.4000000004</v>
      </c>
      <c r="K18" s="12">
        <f>Main_!L54</f>
        <v>6811125</v>
      </c>
      <c r="L18" s="12">
        <f>Main_!M54</f>
        <v>7183391.5</v>
      </c>
      <c r="M18" s="12">
        <f>Main_!N54</f>
        <v>7251634.9000000004</v>
      </c>
      <c r="N18" s="12">
        <f>Main_!O54</f>
        <v>7140176.0999999996</v>
      </c>
      <c r="O18" s="12">
        <f>Main_!P54</f>
        <v>6938308.7999999998</v>
      </c>
      <c r="P18" s="12">
        <f>Main_!Q54</f>
        <v>6746505.0999999996</v>
      </c>
      <c r="Q18" s="12">
        <f>Main_!R54</f>
        <v>5011778</v>
      </c>
      <c r="R18" s="12">
        <f>Main_!S54</f>
        <v>4907126.4000000004</v>
      </c>
      <c r="S18" s="12">
        <f>Main_!T54</f>
        <v>5044614.2</v>
      </c>
      <c r="T18" s="12">
        <f>Main_!U54</f>
        <v>5087766.7</v>
      </c>
      <c r="U18" s="12">
        <f>Main_!V54</f>
        <v>5172247.3</v>
      </c>
      <c r="V18" s="12">
        <f>Main_!W54</f>
        <v>5046039</v>
      </c>
      <c r="W18" s="12">
        <f>Main_!X54</f>
        <v>4603329.0999999996</v>
      </c>
      <c r="X18" s="12">
        <f>Main_!Y54</f>
        <v>4665093</v>
      </c>
      <c r="Y18" s="12">
        <f>Main_!Z54</f>
        <v>4854458.2</v>
      </c>
      <c r="Z18" s="12">
        <f>Main_!AA54</f>
        <v>5255172.0999999996</v>
      </c>
      <c r="AA18" s="12">
        <f>Main_!AB54</f>
        <v>5447193.4000000004</v>
      </c>
      <c r="AB18" s="12">
        <f>Main_!AC54</f>
        <v>5792014.7999999998</v>
      </c>
      <c r="AC18" s="12">
        <f>Main_!AD54</f>
        <v>3809866.8</v>
      </c>
      <c r="AD18" s="12">
        <f>Main_!AE54</f>
        <v>3751160.1</v>
      </c>
      <c r="AE18" s="12">
        <f>Main_!AF54</f>
        <v>3393844.7</v>
      </c>
      <c r="AF18" s="12">
        <f>Main_!AG54</f>
        <v>3268903.8</v>
      </c>
      <c r="AG18" s="12">
        <f>Main_!AH54</f>
        <v>3296830.6</v>
      </c>
      <c r="AH18" s="12">
        <f>Main_!AI54</f>
        <v>2843025</v>
      </c>
      <c r="AI18" s="12">
        <f>Main_!AJ54</f>
        <v>4127953.1</v>
      </c>
    </row>
    <row r="19" spans="1:35" x14ac:dyDescent="0.35">
      <c r="A19" t="s">
        <v>144</v>
      </c>
      <c r="B19" s="12">
        <f>Main_!C55</f>
        <v>131056.8</v>
      </c>
      <c r="C19" s="12">
        <f>Main_!D55</f>
        <v>127937.60000000001</v>
      </c>
      <c r="D19" s="12">
        <f>Main_!E55</f>
        <v>124467.7</v>
      </c>
      <c r="E19" s="12">
        <f>Main_!F55</f>
        <v>87189</v>
      </c>
      <c r="F19" s="12">
        <f>Main_!G55</f>
        <v>91023.8</v>
      </c>
      <c r="G19" s="12">
        <f>Main_!H55</f>
        <v>85457.2</v>
      </c>
      <c r="H19" s="12">
        <f>Main_!I55</f>
        <v>87072.1</v>
      </c>
      <c r="I19" s="12">
        <f>Main_!J55</f>
        <v>84818.4</v>
      </c>
      <c r="J19" s="12">
        <f>Main_!K55</f>
        <v>82330.3</v>
      </c>
      <c r="K19" s="12">
        <f>Main_!L55</f>
        <v>78258.100000000006</v>
      </c>
      <c r="L19" s="12">
        <f>Main_!M55</f>
        <v>78957.2</v>
      </c>
      <c r="M19" s="12">
        <f>Main_!N55</f>
        <v>75594.3</v>
      </c>
      <c r="N19" s="12">
        <f>Main_!O55</f>
        <v>73296.7</v>
      </c>
      <c r="O19" s="12">
        <f>Main_!P55</f>
        <v>74410.600000000006</v>
      </c>
      <c r="P19" s="12">
        <f>Main_!Q55</f>
        <v>75905.3</v>
      </c>
      <c r="Q19" s="12">
        <f>Main_!R55</f>
        <v>55880</v>
      </c>
      <c r="R19" s="12">
        <f>Main_!S55</f>
        <v>54958</v>
      </c>
      <c r="S19" s="12">
        <f>Main_!T55</f>
        <v>54910.8</v>
      </c>
      <c r="T19" s="12">
        <f>Main_!U55</f>
        <v>55082.7</v>
      </c>
      <c r="U19" s="12">
        <f>Main_!V55</f>
        <v>56355.4</v>
      </c>
      <c r="V19" s="12">
        <f>Main_!W55</f>
        <v>56200.2</v>
      </c>
      <c r="W19" s="12">
        <f>Main_!X55</f>
        <v>53684.4</v>
      </c>
      <c r="X19" s="12">
        <f>Main_!Y55</f>
        <v>54037.9</v>
      </c>
      <c r="Y19" s="12">
        <f>Main_!Z55</f>
        <v>53236.4</v>
      </c>
      <c r="Z19" s="12">
        <f>Main_!AA55</f>
        <v>56682.400000000001</v>
      </c>
      <c r="AA19" s="12">
        <f>Main_!AB55</f>
        <v>56126</v>
      </c>
      <c r="AB19" s="12">
        <f>Main_!AC55</f>
        <v>53758.7</v>
      </c>
      <c r="AC19" s="12">
        <f>Main_!AD55</f>
        <v>37469.300000000003</v>
      </c>
      <c r="AD19" s="12">
        <f>Main_!AE55</f>
        <v>38274.699999999997</v>
      </c>
      <c r="AE19" s="12">
        <f>Main_!AF55</f>
        <v>38699.800000000003</v>
      </c>
      <c r="AF19" s="12">
        <f>Main_!AG55</f>
        <v>39063.699999999997</v>
      </c>
      <c r="AG19" s="12">
        <f>Main_!AH55</f>
        <v>40421.4</v>
      </c>
      <c r="AH19" s="12">
        <f>Main_!AI55</f>
        <v>36162.9</v>
      </c>
      <c r="AI19" s="12">
        <f>Main_!AJ55</f>
        <v>52606.5</v>
      </c>
    </row>
    <row r="20" spans="1:35" x14ac:dyDescent="0.35">
      <c r="A20" t="s">
        <v>145</v>
      </c>
      <c r="B20" s="2">
        <f>Main_!C57</f>
        <v>0.6972048351213409</v>
      </c>
      <c r="C20" s="2">
        <f>Main_!D57</f>
        <v>0.69214834563487715</v>
      </c>
      <c r="D20" s="2">
        <f>Main_!E57</f>
        <v>0.66743580228906774</v>
      </c>
      <c r="E20" s="2">
        <f>Main_!F57</f>
        <v>0.58772418237386936</v>
      </c>
      <c r="F20" s="2">
        <f>Main_!G57</f>
        <v>0.58612420781234509</v>
      </c>
      <c r="G20" s="2">
        <f>Main_!H57</f>
        <v>0.58040692300221342</v>
      </c>
      <c r="H20" s="2">
        <f>Main_!I57</f>
        <v>0.56375189299396378</v>
      </c>
      <c r="I20" s="2">
        <f>Main_!J57</f>
        <v>0.54736274210545677</v>
      </c>
      <c r="J20" s="2">
        <f>Main_!K57</f>
        <v>0.53775787202023262</v>
      </c>
      <c r="K20" s="2">
        <f>Main_!L57</f>
        <v>0.53756743798178575</v>
      </c>
      <c r="L20" s="2">
        <f>Main_!M57</f>
        <v>0.53955916671507109</v>
      </c>
      <c r="M20" s="2">
        <f>Main_!N57</f>
        <v>0.52917729826219351</v>
      </c>
      <c r="N20" s="2">
        <f>Main_!O57</f>
        <v>0.5231536235194193</v>
      </c>
      <c r="O20" s="2">
        <f>Main_!P57</f>
        <v>0.512383593941514</v>
      </c>
      <c r="P20" s="2">
        <f>Main_!Q57</f>
        <v>0.5022546948271378</v>
      </c>
      <c r="Q20" s="2">
        <f>Main_!R57</f>
        <v>0.41886763318049314</v>
      </c>
      <c r="R20" s="2">
        <f>Main_!S57</f>
        <v>0.41158994383869518</v>
      </c>
      <c r="S20" s="2">
        <f>Main_!T57</f>
        <v>0.41151413411673016</v>
      </c>
      <c r="T20" s="2">
        <f>Main_!U57</f>
        <v>0.40590418684236312</v>
      </c>
      <c r="U20" s="2">
        <f>Main_!V57</f>
        <v>0.40563968683442053</v>
      </c>
      <c r="V20" s="2">
        <f>Main_!W57</f>
        <v>0.39720684013188351</v>
      </c>
      <c r="W20" s="2">
        <f>Main_!X57</f>
        <v>0.36529517554573743</v>
      </c>
      <c r="X20" s="2">
        <f>Main_!Y57</f>
        <v>0.37997060808910393</v>
      </c>
      <c r="Y20" s="2">
        <f>Main_!Z57</f>
        <v>0.39902590320943759</v>
      </c>
      <c r="Z20" s="2">
        <f>Main_!AA57</f>
        <v>0.41097342489213134</v>
      </c>
      <c r="AA20" s="2">
        <f>Main_!AB57</f>
        <v>0.42803007482099326</v>
      </c>
      <c r="AB20" s="2">
        <f>Main_!AC57</f>
        <v>0.4422491413528577</v>
      </c>
      <c r="AC20" s="2">
        <f>Main_!AD57</f>
        <v>0.32069666167967054</v>
      </c>
      <c r="AD20" s="2">
        <f>Main_!AE57</f>
        <v>0.31348987610193269</v>
      </c>
      <c r="AE20" s="2">
        <f>Main_!AF57</f>
        <v>0.28566261520677805</v>
      </c>
      <c r="AF20" s="2">
        <f>Main_!AG57</f>
        <v>0.27818709835467842</v>
      </c>
      <c r="AG20" s="2">
        <f>Main_!AH57</f>
        <v>0.27958756383360622</v>
      </c>
      <c r="AH20" s="2">
        <f>Main_!AI57</f>
        <v>0.24306928330558469</v>
      </c>
      <c r="AI20" s="2">
        <f>Main_!AJ57</f>
        <v>0.31533772633625834</v>
      </c>
    </row>
  </sheetData>
  <pageMargins left="0.7" right="0.7" top="0.75" bottom="0.75" header="0.3" footer="0.3"/>
  <pageSetup paperSize="9" orientation="portrait" r:id="rId1"/>
  <ignoredErrors>
    <ignoredError sqref="B14:O14 B12:O12 B16:O16 K8 M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I11" sqref="AI11"/>
    </sheetView>
  </sheetViews>
  <sheetFormatPr defaultRowHeight="14.5" x14ac:dyDescent="0.35"/>
  <cols>
    <col min="1" max="1" width="41" customWidth="1"/>
    <col min="2" max="2" width="12.453125" customWidth="1"/>
    <col min="3" max="4" width="11.1796875" customWidth="1"/>
    <col min="5" max="5" width="10.81640625" customWidth="1"/>
    <col min="6" max="6" width="11.08984375" customWidth="1"/>
    <col min="7" max="7" width="10.7265625" customWidth="1"/>
    <col min="8" max="8" width="10.90625" customWidth="1"/>
    <col min="9" max="9" width="10.1796875" customWidth="1"/>
    <col min="10" max="10" width="10.36328125" customWidth="1"/>
    <col min="11" max="11" width="10.54296875" customWidth="1"/>
    <col min="12" max="12" width="10.6328125" customWidth="1"/>
    <col min="13" max="13" width="9.90625" customWidth="1"/>
    <col min="14" max="14" width="10.6328125" customWidth="1"/>
    <col min="15" max="15" width="10.1796875" customWidth="1"/>
    <col min="16" max="17" width="10" customWidth="1"/>
    <col min="18" max="18" width="10.08984375" customWidth="1"/>
    <col min="19" max="20" width="9.90625" bestFit="1" customWidth="1"/>
    <col min="21" max="21" width="10.453125" customWidth="1"/>
    <col min="22" max="35" width="9.90625" bestFit="1" customWidth="1"/>
  </cols>
  <sheetData>
    <row r="1" spans="1:35" x14ac:dyDescent="0.35">
      <c r="A1" t="str">
        <f>rnwf_structure!A1</f>
        <v>Data</v>
      </c>
      <c r="B1" t="s">
        <v>61</v>
      </c>
      <c r="C1" t="s">
        <v>62</v>
      </c>
      <c r="D1" t="s">
        <v>63</v>
      </c>
      <c r="E1" t="s">
        <v>52</v>
      </c>
      <c r="F1" t="s">
        <v>0</v>
      </c>
      <c r="G1" t="s">
        <v>28</v>
      </c>
      <c r="H1" t="s">
        <v>51</v>
      </c>
      <c r="I1" t="s">
        <v>50</v>
      </c>
      <c r="J1" t="s">
        <v>49</v>
      </c>
      <c r="K1" t="s">
        <v>29</v>
      </c>
      <c r="L1" t="s">
        <v>48</v>
      </c>
      <c r="M1" t="s">
        <v>47</v>
      </c>
      <c r="N1" t="s">
        <v>46</v>
      </c>
      <c r="O1" t="s">
        <v>127</v>
      </c>
      <c r="P1" t="s">
        <v>146</v>
      </c>
      <c r="Q1" t="s">
        <v>183</v>
      </c>
      <c r="R1" t="s">
        <v>185</v>
      </c>
      <c r="S1" t="s">
        <v>186</v>
      </c>
      <c r="T1" t="s">
        <v>187</v>
      </c>
      <c r="U1" t="s">
        <v>188</v>
      </c>
      <c r="V1" t="s">
        <v>204</v>
      </c>
      <c r="W1" t="s">
        <v>205</v>
      </c>
      <c r="X1" t="s">
        <v>208</v>
      </c>
      <c r="Y1" t="s">
        <v>215</v>
      </c>
      <c r="Z1" t="s">
        <v>216</v>
      </c>
      <c r="AA1" t="s">
        <v>217</v>
      </c>
      <c r="AB1" t="s">
        <v>218</v>
      </c>
      <c r="AC1" t="s">
        <v>220</v>
      </c>
      <c r="AD1" t="s">
        <v>228</v>
      </c>
      <c r="AE1" t="s">
        <v>233</v>
      </c>
      <c r="AF1" t="s">
        <v>238</v>
      </c>
      <c r="AG1" t="s">
        <v>239</v>
      </c>
      <c r="AH1" t="s">
        <v>243</v>
      </c>
      <c r="AI1" t="s">
        <v>248</v>
      </c>
    </row>
    <row r="2" spans="1:35" x14ac:dyDescent="0.35">
      <c r="A2" t="s">
        <v>148</v>
      </c>
      <c r="B2" s="12">
        <v>57</v>
      </c>
      <c r="C2" s="12">
        <v>61</v>
      </c>
      <c r="D2" s="12">
        <v>61</v>
      </c>
      <c r="E2" s="12">
        <v>70</v>
      </c>
      <c r="F2" s="12">
        <v>69</v>
      </c>
      <c r="G2" s="12">
        <v>75</v>
      </c>
      <c r="H2" s="12">
        <v>77</v>
      </c>
      <c r="I2" s="12">
        <v>80</v>
      </c>
      <c r="J2" s="12">
        <v>81</v>
      </c>
      <c r="K2" s="12">
        <v>87</v>
      </c>
      <c r="L2" s="12">
        <v>91</v>
      </c>
      <c r="M2" s="12">
        <v>96</v>
      </c>
      <c r="N2" s="12">
        <v>97</v>
      </c>
      <c r="O2" s="12">
        <v>93</v>
      </c>
      <c r="P2" s="12">
        <v>89</v>
      </c>
      <c r="Q2" s="12">
        <v>90</v>
      </c>
      <c r="R2" s="12">
        <v>89</v>
      </c>
      <c r="S2" s="12">
        <v>92</v>
      </c>
      <c r="T2" s="12">
        <v>92</v>
      </c>
      <c r="U2" s="12">
        <v>92</v>
      </c>
      <c r="V2" s="12">
        <v>90</v>
      </c>
      <c r="W2" s="12">
        <v>86</v>
      </c>
      <c r="X2" s="12">
        <v>86</v>
      </c>
      <c r="Y2" s="12">
        <v>91</v>
      </c>
      <c r="Z2" s="12">
        <v>93</v>
      </c>
      <c r="AA2" s="12">
        <v>97</v>
      </c>
      <c r="AB2" s="12">
        <v>108</v>
      </c>
      <c r="AC2" s="12">
        <v>102</v>
      </c>
      <c r="AD2" s="12">
        <v>98</v>
      </c>
      <c r="AE2" s="12">
        <v>88</v>
      </c>
      <c r="AF2" s="12">
        <v>84</v>
      </c>
      <c r="AG2" s="12">
        <v>82</v>
      </c>
      <c r="AH2" s="12">
        <v>79</v>
      </c>
      <c r="AI2" s="12">
        <v>78</v>
      </c>
    </row>
    <row r="3" spans="1:35" x14ac:dyDescent="0.35">
      <c r="A3" t="s">
        <v>214</v>
      </c>
      <c r="B3" s="12">
        <v>8</v>
      </c>
      <c r="C3" s="12">
        <v>8</v>
      </c>
      <c r="D3" s="12">
        <v>9</v>
      </c>
      <c r="E3" s="12">
        <v>10</v>
      </c>
      <c r="F3" s="12">
        <v>10</v>
      </c>
      <c r="G3" s="12">
        <v>11</v>
      </c>
      <c r="H3" s="12">
        <v>11</v>
      </c>
      <c r="I3" s="12">
        <v>12</v>
      </c>
      <c r="J3" s="12">
        <v>11</v>
      </c>
      <c r="K3" s="12">
        <v>12</v>
      </c>
      <c r="L3" s="12">
        <v>13</v>
      </c>
      <c r="M3" s="12">
        <v>13</v>
      </c>
      <c r="N3" s="12">
        <v>13</v>
      </c>
      <c r="O3" s="12">
        <v>13</v>
      </c>
      <c r="P3" s="12">
        <v>12</v>
      </c>
      <c r="Q3" s="12">
        <v>13</v>
      </c>
      <c r="R3" s="12">
        <v>12</v>
      </c>
      <c r="S3" s="12">
        <v>13</v>
      </c>
      <c r="T3" s="12">
        <v>13</v>
      </c>
      <c r="U3" s="12">
        <v>12</v>
      </c>
      <c r="V3" s="12">
        <v>12</v>
      </c>
      <c r="W3" s="12">
        <v>12</v>
      </c>
      <c r="X3">
        <v>12</v>
      </c>
      <c r="Y3" s="12">
        <v>12</v>
      </c>
      <c r="Z3" s="12">
        <v>13</v>
      </c>
      <c r="AA3" s="12">
        <v>13</v>
      </c>
      <c r="AB3" s="12">
        <v>15</v>
      </c>
      <c r="AC3" s="12">
        <v>13</v>
      </c>
      <c r="AD3" s="12">
        <v>13</v>
      </c>
      <c r="AE3" s="12">
        <v>12</v>
      </c>
      <c r="AF3" s="12">
        <v>11</v>
      </c>
      <c r="AG3" s="12">
        <v>11</v>
      </c>
      <c r="AH3" s="12">
        <v>11</v>
      </c>
      <c r="AI3" s="12">
        <v>11</v>
      </c>
    </row>
    <row r="4" spans="1:35" x14ac:dyDescent="0.35">
      <c r="A4" t="s">
        <v>129</v>
      </c>
      <c r="B4" s="12">
        <f>rnwf_structure!B2</f>
        <v>10792185.6</v>
      </c>
      <c r="C4" s="12">
        <f>rnwf_structure!C2</f>
        <v>11374082</v>
      </c>
      <c r="D4" s="12">
        <f>rnwf_structure!D2</f>
        <v>11389507.9</v>
      </c>
      <c r="E4" s="12">
        <f>rnwf_structure!E2</f>
        <v>10434580.800000001</v>
      </c>
      <c r="F4" s="12">
        <f>rnwf_structure!F2</f>
        <v>10807595</v>
      </c>
      <c r="G4" s="12">
        <f>rnwf_structure!G2</f>
        <v>11106403.6</v>
      </c>
      <c r="H4" s="12">
        <f>rnwf_structure!H2</f>
        <v>11906061.4</v>
      </c>
      <c r="I4" s="12">
        <f>rnwf_structure!I2</f>
        <v>12475588.300000001</v>
      </c>
      <c r="J4" s="12">
        <f>rnwf_structure!J2</f>
        <v>12353145.800000001</v>
      </c>
      <c r="K4" s="12">
        <f>rnwf_structure!K2</f>
        <v>12670270.1</v>
      </c>
      <c r="L4" s="12">
        <f>rnwf_structure!L2</f>
        <v>13313450.5</v>
      </c>
      <c r="M4" s="12">
        <f>rnwf_structure!M2</f>
        <v>13703597.699999999</v>
      </c>
      <c r="N4" s="12">
        <f>rnwf_structure!N2</f>
        <v>13648337.699999999</v>
      </c>
      <c r="O4" s="12">
        <f>rnwf_structure!O2</f>
        <v>13541231.5</v>
      </c>
      <c r="P4" s="12">
        <f>rnwf_structure!P2</f>
        <v>13432971.800000001</v>
      </c>
      <c r="Q4" s="12">
        <f>rnwf_structure!Q2</f>
        <v>11965074.699999999</v>
      </c>
      <c r="R4" s="12">
        <f>rnwf_structure!R2</f>
        <v>11922371.199999999</v>
      </c>
      <c r="S4" s="12">
        <f>rnwf_structure!S2</f>
        <v>12258661.199999999</v>
      </c>
      <c r="T4" s="12">
        <f>rnwf_structure!T2</f>
        <v>12534406.300000001</v>
      </c>
      <c r="U4" s="12">
        <f>rnwf_structure!U2</f>
        <v>12750839.4</v>
      </c>
      <c r="V4" s="12">
        <f>rnwf_structure!V2</f>
        <v>12703814.5</v>
      </c>
      <c r="W4" s="12">
        <f>rnwf_structure!W2</f>
        <v>12601672.4</v>
      </c>
      <c r="X4" s="12">
        <f>rnwf_structure!X2</f>
        <v>12277510.9</v>
      </c>
      <c r="Y4" s="12">
        <f>rnwf_structure!Y2</f>
        <v>12165767</v>
      </c>
      <c r="Z4" s="12">
        <f>rnwf_structure!Z2</f>
        <v>12787132.6</v>
      </c>
      <c r="AA4" s="12">
        <f>rnwf_structure!AA2</f>
        <v>12726198.800000001</v>
      </c>
      <c r="AB4" s="12">
        <f>rnwf_structure!AB2</f>
        <v>13096719.1</v>
      </c>
      <c r="AC4" s="12">
        <f>rnwf_structure!AC2</f>
        <v>11879972.699999999</v>
      </c>
      <c r="AD4" s="12">
        <f>rnwf_structure!AD2</f>
        <v>11965801.9</v>
      </c>
      <c r="AE4" s="12">
        <f>rnwf_structure!AE2</f>
        <v>11880606.5</v>
      </c>
      <c r="AF4" s="12">
        <f>rnwf_structure!AF2</f>
        <v>11750725.5</v>
      </c>
      <c r="AG4" s="12">
        <f>rnwf_structure!AG2</f>
        <v>11791774.4</v>
      </c>
      <c r="AH4" s="12">
        <f>rnwf_structure!AH2</f>
        <v>11696343.9</v>
      </c>
      <c r="AI4" s="12">
        <f>rnwf_structure!AI2</f>
        <v>13090578.9</v>
      </c>
    </row>
    <row r="5" spans="1:35" x14ac:dyDescent="0.35">
      <c r="A5" t="s">
        <v>156</v>
      </c>
      <c r="B5" s="12">
        <f>rnwf_structure!B8</f>
        <v>528449</v>
      </c>
      <c r="C5" s="12">
        <f>rnwf_structure!C8</f>
        <v>528186</v>
      </c>
      <c r="D5" s="12">
        <f>rnwf_structure!D8</f>
        <v>650116</v>
      </c>
      <c r="E5" s="12">
        <f>rnwf_structure!E8</f>
        <v>649841</v>
      </c>
      <c r="F5" s="12">
        <f>rnwf_structure!F8</f>
        <v>649586</v>
      </c>
      <c r="G5" s="12">
        <f>rnwf_structure!G8</f>
        <v>649346</v>
      </c>
      <c r="H5" s="12">
        <f>rnwf_structure!H8</f>
        <v>648927</v>
      </c>
      <c r="I5" s="12">
        <f>rnwf_structure!I8</f>
        <v>648694</v>
      </c>
      <c r="J5" s="12">
        <f>rnwf_structure!J8</f>
        <v>648466</v>
      </c>
      <c r="K5" s="12">
        <f>rnwf_structure!K8</f>
        <v>653020</v>
      </c>
      <c r="L5" s="12">
        <f>rnwf_structure!L8</f>
        <v>655170.80000000005</v>
      </c>
      <c r="M5" s="12">
        <f>rnwf_structure!M8</f>
        <v>656580</v>
      </c>
      <c r="N5" s="12">
        <f>rnwf_structure!N8</f>
        <v>657029.30000000005</v>
      </c>
      <c r="O5" s="12">
        <f>rnwf_structure!O8</f>
        <v>657764.80000000005</v>
      </c>
      <c r="P5" s="12">
        <f>rnwf_structure!P8</f>
        <v>658364.9</v>
      </c>
      <c r="Q5" s="12">
        <f>rnwf_structure!Q8</f>
        <v>658828.30000000005</v>
      </c>
      <c r="R5" s="12">
        <f>rnwf_structure!R8</f>
        <v>658595.69999999995</v>
      </c>
      <c r="S5" s="12">
        <f>rnwf_structure!S8</f>
        <v>658293.5</v>
      </c>
      <c r="T5" s="12">
        <f>rnwf_structure!T8</f>
        <v>657832.89999999991</v>
      </c>
      <c r="U5" s="12">
        <f>rnwf_structure!U8</f>
        <v>659635.9</v>
      </c>
      <c r="V5" s="12">
        <f>rnwf_structure!V8</f>
        <v>660216.1</v>
      </c>
      <c r="W5" s="12">
        <f>rnwf_structure!W8</f>
        <v>660688.69999999995</v>
      </c>
      <c r="X5" s="12">
        <f>rnwf_structure!X8</f>
        <v>689427.9</v>
      </c>
      <c r="Y5" s="12">
        <f>rnwf_structure!Y8</f>
        <v>690022.5</v>
      </c>
      <c r="Z5" s="12">
        <f>rnwf_structure!Z8</f>
        <v>690508.4</v>
      </c>
      <c r="AA5" s="12">
        <f>rnwf_structure!AA8</f>
        <v>752240.9</v>
      </c>
      <c r="AB5" s="12">
        <f>rnwf_structure!AB8</f>
        <v>751917.8</v>
      </c>
      <c r="AC5" s="12">
        <f>rnwf_structure!AC8</f>
        <v>891319.7</v>
      </c>
      <c r="AD5" s="12">
        <f>rnwf_structure!AD8</f>
        <v>968847.4</v>
      </c>
      <c r="AE5" s="12">
        <f>rnwf_structure!AE8</f>
        <v>1005833.7000000001</v>
      </c>
      <c r="AF5" s="12">
        <f>rnwf_structure!AF8</f>
        <v>1054339.1000000001</v>
      </c>
      <c r="AG5" s="12">
        <f>rnwf_structure!AG8</f>
        <v>1055987.8999999999</v>
      </c>
      <c r="AH5" s="12">
        <f>rnwf_structure!AH8</f>
        <v>1104103.6000000001</v>
      </c>
      <c r="AI5" s="12">
        <f>rnwf_structure!AI8</f>
        <v>1104617.5</v>
      </c>
    </row>
    <row r="6" spans="1:35" x14ac:dyDescent="0.35">
      <c r="A6" t="s">
        <v>155</v>
      </c>
      <c r="B6" s="12">
        <f>rnwf_structure!B9*B2</f>
        <v>171000</v>
      </c>
      <c r="C6" s="12">
        <f>rnwf_structure!C9*C2</f>
        <v>183000</v>
      </c>
      <c r="D6" s="12">
        <f>rnwf_structure!D9*D2</f>
        <v>183000</v>
      </c>
      <c r="E6" s="12">
        <f>rnwf_structure!E9*E2</f>
        <v>210000</v>
      </c>
      <c r="F6" s="12">
        <f>rnwf_structure!F9*F2</f>
        <v>207000</v>
      </c>
      <c r="G6" s="12">
        <f>rnwf_structure!G9*G2</f>
        <v>225000</v>
      </c>
      <c r="H6" s="12">
        <f>rnwf_structure!H9*H2</f>
        <v>231000</v>
      </c>
      <c r="I6" s="12">
        <f>rnwf_structure!I9*I2</f>
        <v>240000</v>
      </c>
      <c r="J6" s="12">
        <f>rnwf_structure!J9*J2</f>
        <v>243000</v>
      </c>
      <c r="K6" s="12">
        <f>rnwf_structure!K9*K2</f>
        <v>261000</v>
      </c>
      <c r="L6" s="12">
        <f>rnwf_structure!L9*L2</f>
        <v>273000</v>
      </c>
      <c r="M6" s="12">
        <f>rnwf_structure!M9*M2</f>
        <v>288000</v>
      </c>
      <c r="N6" s="12">
        <f>rnwf_structure!N9*N2</f>
        <v>291000</v>
      </c>
      <c r="O6" s="12">
        <f>rnwf_structure!O9*O2</f>
        <v>279000</v>
      </c>
      <c r="P6" s="12">
        <f>rnwf_structure!P9*P2</f>
        <v>267000</v>
      </c>
      <c r="Q6" s="12">
        <f>rnwf_structure!Q9*Q2</f>
        <v>270000</v>
      </c>
      <c r="R6" s="12">
        <f>rnwf_structure!R9*R2</f>
        <v>267000</v>
      </c>
      <c r="S6" s="12">
        <f>rnwf_structure!S9*S2</f>
        <v>276000</v>
      </c>
      <c r="T6" s="12">
        <f>rnwf_structure!T9*T2</f>
        <v>276000</v>
      </c>
      <c r="U6" s="12">
        <f>rnwf_structure!U9*U2</f>
        <v>276000</v>
      </c>
      <c r="V6" s="12">
        <f>rnwf_structure!V9*V2</f>
        <v>270000</v>
      </c>
      <c r="W6" s="12">
        <f>rnwf_structure!W9*W2</f>
        <v>258000</v>
      </c>
      <c r="X6" s="12">
        <f>rnwf_structure!X9*X2</f>
        <v>258000</v>
      </c>
      <c r="Y6" s="12">
        <f>rnwf_structure!Y9*Y2</f>
        <v>273000</v>
      </c>
      <c r="Z6" s="12">
        <f>rnwf_structure!Z9*Z2</f>
        <v>279000</v>
      </c>
      <c r="AA6" s="12">
        <f>rnwf_structure!AA9*AA2</f>
        <v>291000</v>
      </c>
      <c r="AB6" s="12">
        <f>rnwf_structure!AB9*AB2</f>
        <v>324000</v>
      </c>
      <c r="AC6" s="12">
        <f>rnwf_structure!AC9*AC2</f>
        <v>306000</v>
      </c>
      <c r="AD6" s="12">
        <f>rnwf_structure!AD9*AD2</f>
        <v>294000</v>
      </c>
      <c r="AE6" s="12">
        <f>rnwf_structure!AE9*AE2</f>
        <v>264000</v>
      </c>
      <c r="AF6" s="12">
        <f>rnwf_structure!AF9*AF2</f>
        <v>252000</v>
      </c>
      <c r="AG6" s="12">
        <f>rnwf_structure!AG9*AG2</f>
        <v>246000</v>
      </c>
      <c r="AH6" s="12">
        <f>rnwf_structure!AH9*AH2</f>
        <v>237000</v>
      </c>
      <c r="AI6" s="12">
        <f>rnwf_structure!AI9*AI2</f>
        <v>234000</v>
      </c>
    </row>
    <row r="7" spans="1:35" x14ac:dyDescent="0.35">
      <c r="A7" t="s">
        <v>154</v>
      </c>
      <c r="B7" s="13">
        <f>(rnwf_structure!B10+(rnwf_structure!B11*B2))</f>
        <v>440977.2</v>
      </c>
      <c r="C7" s="13">
        <f>(rnwf_structure!C10+(rnwf_structure!C11*C2))</f>
        <v>454894.1</v>
      </c>
      <c r="D7" s="13">
        <f>(rnwf_structure!D10+(rnwf_structure!D11*D2))</f>
        <v>520651.6</v>
      </c>
      <c r="E7" s="13">
        <f>(rnwf_structure!E10+(rnwf_structure!E11*E2))</f>
        <v>734448</v>
      </c>
      <c r="F7" s="13">
        <f>(rnwf_structure!F10+(rnwf_structure!F11*F2))</f>
        <v>732294.6</v>
      </c>
      <c r="G7" s="13">
        <f>(rnwf_structure!G10+(rnwf_structure!G11*G2))</f>
        <v>739890</v>
      </c>
      <c r="H7" s="13">
        <f>(rnwf_structure!H10+(rnwf_structure!H11*H2))</f>
        <v>755940.8</v>
      </c>
      <c r="I7" s="13">
        <f>(rnwf_structure!I10+(rnwf_structure!I11*I2))</f>
        <v>770231.1</v>
      </c>
      <c r="J7" s="13">
        <f>(rnwf_structure!J10+(rnwf_structure!J11*J2))</f>
        <v>787988.8</v>
      </c>
      <c r="K7" s="13">
        <f>(rnwf_structure!K10+(rnwf_structure!K11*K2))</f>
        <v>873128.3</v>
      </c>
      <c r="L7" s="13">
        <f>(rnwf_structure!L10+(rnwf_structure!L11*L2))</f>
        <v>886320.8</v>
      </c>
      <c r="M7" s="13">
        <f>(rnwf_structure!M10+(rnwf_structure!M11*M2))</f>
        <v>1048891.2</v>
      </c>
      <c r="N7" s="13">
        <f>(rnwf_structure!N10+(rnwf_structure!N11*N2))</f>
        <v>1106923.7</v>
      </c>
      <c r="O7" s="13">
        <f>(rnwf_structure!O10+(rnwf_structure!O11*O2))</f>
        <v>1121140.8999999999</v>
      </c>
      <c r="P7" s="13">
        <f>(rnwf_structure!P10+(rnwf_structure!P11*P2))</f>
        <v>1146088.2</v>
      </c>
      <c r="Q7" s="13">
        <f>(rnwf_structure!Q10+(rnwf_structure!Q11*Q2))</f>
        <v>1326202</v>
      </c>
      <c r="R7" s="13">
        <f>(rnwf_structure!R10+(rnwf_structure!R11*R2))</f>
        <v>1324326.5</v>
      </c>
      <c r="S7" s="13">
        <f>(rnwf_structure!S10+(rnwf_structure!S11*S2))</f>
        <v>1335919</v>
      </c>
      <c r="T7" s="13">
        <f>(rnwf_structure!T10+(rnwf_structure!T11*T2))</f>
        <v>1351848</v>
      </c>
      <c r="U7" s="13">
        <f>(rnwf_structure!U10+(rnwf_structure!U11*U2))</f>
        <v>1355436</v>
      </c>
      <c r="V7" s="13">
        <f>(rnwf_structure!V10+(rnwf_structure!V11*V2))</f>
        <v>1382748.3</v>
      </c>
      <c r="W7" s="13">
        <f>(rnwf_structure!W10+(rnwf_structure!W11*W2))</f>
        <v>1392652</v>
      </c>
      <c r="X7" s="13">
        <f>(rnwf_structure!X10+(rnwf_structure!X11*X2))</f>
        <v>1397859</v>
      </c>
      <c r="Y7" s="13">
        <f>(rnwf_structure!Y10+(rnwf_structure!Y11*Y2))</f>
        <v>1433637.4</v>
      </c>
      <c r="Z7" s="13">
        <f>(rnwf_structure!Z10+(rnwf_structure!Z11*Z2))</f>
        <v>1444806.4</v>
      </c>
      <c r="AA7" s="13">
        <f>(rnwf_structure!AA10+(rnwf_structure!AA11*AA2))</f>
        <v>1465838.2</v>
      </c>
      <c r="AB7" s="13">
        <f>(rnwf_structure!AB10+(rnwf_structure!AB11*AB2))</f>
        <v>1499442.6</v>
      </c>
      <c r="AC7" s="13">
        <f>(rnwf_structure!AC10+(rnwf_structure!AC11*AC2))</f>
        <v>1530618</v>
      </c>
      <c r="AD7" s="13">
        <f>(rnwf_structure!AD10+(rnwf_structure!AD11*AD2))</f>
        <v>1522862.2999999998</v>
      </c>
      <c r="AE7" s="13">
        <f>(rnwf_structure!AE10+(rnwf_structure!AE11*AE2))</f>
        <v>1503523.5</v>
      </c>
      <c r="AF7" s="13">
        <f>(rnwf_structure!AF10+(rnwf_structure!AF11*AF2))</f>
        <v>1498449.6</v>
      </c>
      <c r="AG7" s="13">
        <f>(rnwf_structure!AG10+(rnwf_structure!AG11*AG2))</f>
        <v>1494608.4000000001</v>
      </c>
      <c r="AH7" s="13">
        <f>(rnwf_structure!AH10+(rnwf_structure!AH11*AH2))</f>
        <v>1495429</v>
      </c>
      <c r="AI7" s="13">
        <f>(rnwf_structure!AI10+(rnwf_structure!AI11*AI2))</f>
        <v>1496327.4</v>
      </c>
    </row>
    <row r="8" spans="1:35" s="6" customFormat="1" x14ac:dyDescent="0.35">
      <c r="A8" s="6" t="s">
        <v>149</v>
      </c>
      <c r="B8" s="13">
        <f>(rnwf_structure!B12+rnwf_structure!B13)</f>
        <v>328991.90000000002</v>
      </c>
      <c r="C8" s="13">
        <f>(rnwf_structure!C12+rnwf_structure!C13)</f>
        <v>328991.90000000002</v>
      </c>
      <c r="D8" s="13">
        <f>(rnwf_structure!D12+rnwf_structure!D13)</f>
        <v>328991.90000000002</v>
      </c>
      <c r="E8" s="13">
        <f>(rnwf_structure!E12+rnwf_structure!E13)</f>
        <v>328991.90000000002</v>
      </c>
      <c r="F8" s="13">
        <f>(rnwf_structure!F12+rnwf_structure!F13)</f>
        <v>328991.90000000002</v>
      </c>
      <c r="G8" s="13">
        <f>(rnwf_structure!G12+rnwf_structure!G13)</f>
        <v>328991.90000000002</v>
      </c>
      <c r="H8" s="13">
        <f>(rnwf_structure!H12+rnwf_structure!H13)</f>
        <v>367425.80000000005</v>
      </c>
      <c r="I8" s="13">
        <f>(rnwf_structure!I12+rnwf_structure!I13)</f>
        <v>367425.80000000005</v>
      </c>
      <c r="J8" s="13">
        <f>(rnwf_structure!J12+rnwf_structure!J13)</f>
        <v>367425.80000000005</v>
      </c>
      <c r="K8" s="13">
        <f>(rnwf_structure!K12+rnwf_structure!K13)</f>
        <v>367425.80000000005</v>
      </c>
      <c r="L8" s="13">
        <f>(rnwf_structure!L12+rnwf_structure!L13)</f>
        <v>367425.80000000005</v>
      </c>
      <c r="M8" s="13">
        <f>(rnwf_structure!M12+rnwf_structure!M13)</f>
        <v>367425.80000000005</v>
      </c>
      <c r="N8" s="13">
        <f>(rnwf_structure!N12+rnwf_structure!N13)</f>
        <v>367425.80000000005</v>
      </c>
      <c r="O8" s="13">
        <f>(rnwf_structure!O12+rnwf_structure!O13)</f>
        <v>367425.80000000005</v>
      </c>
      <c r="P8" s="13">
        <f>(rnwf_structure!P12+rnwf_structure!P13)</f>
        <v>367425.80000000005</v>
      </c>
      <c r="Q8" s="13">
        <f>(rnwf_structure!Q12+rnwf_structure!Q13)</f>
        <v>367425.80000000005</v>
      </c>
      <c r="R8" s="13">
        <f>(rnwf_structure!R12+rnwf_structure!R13)</f>
        <v>367425.80000000005</v>
      </c>
      <c r="S8" s="13">
        <f>(rnwf_structure!S12+rnwf_structure!S13)</f>
        <v>367425.80000000005</v>
      </c>
      <c r="T8" s="13">
        <f>(rnwf_structure!T12+rnwf_structure!T13)</f>
        <v>367425.80000000005</v>
      </c>
      <c r="U8" s="13">
        <f>(rnwf_structure!U12+rnwf_structure!U13)</f>
        <v>367425.80000000005</v>
      </c>
      <c r="V8" s="13">
        <f>(rnwf_structure!V12+rnwf_structure!V13)</f>
        <v>367425.80000000005</v>
      </c>
      <c r="W8" s="13">
        <f>(rnwf_structure!W12+rnwf_structure!W13)</f>
        <v>442425.80000000005</v>
      </c>
      <c r="X8" s="13">
        <f>(rnwf_structure!X12+rnwf_structure!X13)</f>
        <v>442425.80000000005</v>
      </c>
      <c r="Y8" s="13">
        <f>(rnwf_structure!Y12+rnwf_structure!Y13)</f>
        <v>442425.80000000005</v>
      </c>
      <c r="Z8" s="13">
        <f>(rnwf_structure!Z12+rnwf_structure!Z13)</f>
        <v>442425.80000000005</v>
      </c>
      <c r="AA8" s="13">
        <f>(rnwf_structure!AA12+rnwf_structure!AA13)</f>
        <v>442425.80000000005</v>
      </c>
      <c r="AB8" s="13">
        <f>(rnwf_structure!AB12+rnwf_structure!AB13)</f>
        <v>442425.80000000005</v>
      </c>
      <c r="AC8" s="13">
        <f>(rnwf_structure!AC12+rnwf_structure!AC13)</f>
        <v>442425.80000000005</v>
      </c>
      <c r="AD8" s="13">
        <f>(rnwf_structure!AD12+rnwf_structure!AD13)</f>
        <v>442425.9</v>
      </c>
      <c r="AE8" s="13">
        <f>(rnwf_structure!AE12+rnwf_structure!AE13)</f>
        <v>442425.9</v>
      </c>
      <c r="AF8" s="13">
        <f>(rnwf_structure!AF12+rnwf_structure!AF13)</f>
        <v>442425.9</v>
      </c>
      <c r="AG8" s="13">
        <f>(rnwf_structure!AG12+rnwf_structure!AG13)</f>
        <v>442425.9</v>
      </c>
      <c r="AH8" s="13">
        <f>(rnwf_structure!AH12+rnwf_structure!AH13)</f>
        <v>742425.9</v>
      </c>
      <c r="AI8" s="13">
        <f>(rnwf_structure!AI12+rnwf_structure!AI13)</f>
        <v>742425.9</v>
      </c>
    </row>
    <row r="9" spans="1:35" x14ac:dyDescent="0.35">
      <c r="A9" t="s">
        <v>153</v>
      </c>
      <c r="B9" s="12">
        <f>rnwf_structure!B14</f>
        <v>1393665.3</v>
      </c>
      <c r="C9" s="12">
        <f>rnwf_structure!C14</f>
        <v>1601086.9</v>
      </c>
      <c r="D9" s="12">
        <f>rnwf_structure!D14</f>
        <v>1702023.3</v>
      </c>
      <c r="E9" s="12">
        <f>rnwf_structure!E14</f>
        <v>1757319.5</v>
      </c>
      <c r="F9" s="12">
        <f>rnwf_structure!F14</f>
        <v>1932491.9</v>
      </c>
      <c r="G9" s="12">
        <f>rnwf_structure!G14</f>
        <v>2095160.2</v>
      </c>
      <c r="H9" s="12">
        <f>rnwf_structure!H14</f>
        <v>2709111.9</v>
      </c>
      <c r="I9" s="12">
        <f>rnwf_structure!I14</f>
        <v>3041875.2</v>
      </c>
      <c r="J9" s="12">
        <f>rnwf_structure!J14</f>
        <v>3088748.3</v>
      </c>
      <c r="K9" s="12">
        <f>rnwf_structure!K14</f>
        <v>3128294.4</v>
      </c>
      <c r="L9" s="12">
        <f>rnwf_structure!L14</f>
        <v>3384520.6999999997</v>
      </c>
      <c r="M9" s="12">
        <f>rnwf_structure!M14</f>
        <v>3465106.2</v>
      </c>
      <c r="N9" s="12">
        <f>rnwf_structure!N14</f>
        <v>3389191.3</v>
      </c>
      <c r="O9" s="12">
        <f>rnwf_structure!O14</f>
        <v>3463670.0000000005</v>
      </c>
      <c r="P9" s="12">
        <f>rnwf_structure!P14</f>
        <v>3530974</v>
      </c>
      <c r="Q9" s="12">
        <f>rnwf_structure!Q14</f>
        <v>3479595.8999999994</v>
      </c>
      <c r="R9" s="12">
        <f>rnwf_structure!R14</f>
        <v>3544601.3999999994</v>
      </c>
      <c r="S9" s="12">
        <f>rnwf_structure!S14</f>
        <v>3726117.6</v>
      </c>
      <c r="T9" s="12">
        <f>rnwf_structure!T14</f>
        <v>3807455.2</v>
      </c>
      <c r="U9" s="12">
        <f>rnwf_structure!U14</f>
        <v>3937682.4</v>
      </c>
      <c r="V9" s="12">
        <f>rnwf_structure!V14</f>
        <v>3995946.6</v>
      </c>
      <c r="W9" s="12">
        <f>rnwf_structure!W14</f>
        <v>4167665.7</v>
      </c>
      <c r="X9" s="12">
        <f>rnwf_structure!X14</f>
        <v>3710250.0999999996</v>
      </c>
      <c r="Y9" s="12">
        <f>rnwf_structure!Y14</f>
        <v>3313410.9</v>
      </c>
      <c r="Z9" s="12">
        <f>rnwf_structure!Z14</f>
        <v>3488466.3</v>
      </c>
      <c r="AA9" s="12">
        <f>rnwf_structure!AA14</f>
        <v>3120030.0000000005</v>
      </c>
      <c r="AB9" s="12">
        <f>rnwf_structure!AB14</f>
        <v>3035844.9</v>
      </c>
      <c r="AC9" s="12">
        <f>rnwf_structure!AC14</f>
        <v>3551920.4</v>
      </c>
      <c r="AD9" s="12">
        <f>rnwf_structure!AD14</f>
        <v>3638440</v>
      </c>
      <c r="AE9" s="12">
        <f>rnwf_structure!AE14</f>
        <v>3939607.3000000003</v>
      </c>
      <c r="AF9" s="12">
        <f>rnwf_structure!AF14</f>
        <v>3910964.5</v>
      </c>
      <c r="AG9" s="12">
        <f>rnwf_structure!AG14</f>
        <v>3936226.2</v>
      </c>
      <c r="AH9" s="12">
        <f>rnwf_structure!AH14</f>
        <v>3949833.6</v>
      </c>
      <c r="AI9" s="12">
        <f>rnwf_structure!AI14</f>
        <v>4046915.9</v>
      </c>
    </row>
    <row r="10" spans="1:35" x14ac:dyDescent="0.35">
      <c r="A10" t="s">
        <v>152</v>
      </c>
      <c r="B10" s="12">
        <f>rnwf_structure!B15</f>
        <v>250000</v>
      </c>
      <c r="C10" s="12">
        <f>rnwf_structure!C15</f>
        <v>250000</v>
      </c>
      <c r="D10" s="12">
        <f>rnwf_structure!D15</f>
        <v>250000</v>
      </c>
      <c r="E10" s="12">
        <f>rnwf_structure!E15</f>
        <v>467000</v>
      </c>
      <c r="F10" s="12">
        <f>rnwf_structure!F15</f>
        <v>467000</v>
      </c>
      <c r="G10" s="12">
        <f>rnwf_structure!G15</f>
        <v>467000</v>
      </c>
      <c r="H10" s="12">
        <f>rnwf_structure!H15</f>
        <v>467000</v>
      </c>
      <c r="I10" s="12">
        <f>rnwf_structure!I15</f>
        <v>467000</v>
      </c>
      <c r="J10" s="12">
        <f>rnwf_structure!J15</f>
        <v>467000</v>
      </c>
      <c r="K10" s="12">
        <f>rnwf_structure!K15</f>
        <v>467000</v>
      </c>
      <c r="L10" s="12">
        <f>rnwf_structure!L15</f>
        <v>467000</v>
      </c>
      <c r="M10" s="12">
        <f>rnwf_structure!M15</f>
        <v>467000</v>
      </c>
      <c r="N10" s="12">
        <f>rnwf_structure!N15</f>
        <v>467000</v>
      </c>
      <c r="O10" s="12">
        <f>rnwf_structure!O15</f>
        <v>467000</v>
      </c>
      <c r="P10" s="12">
        <f>rnwf_structure!P15</f>
        <v>467000</v>
      </c>
      <c r="Q10" s="12">
        <f>rnwf_structure!Q15</f>
        <v>467000</v>
      </c>
      <c r="R10" s="12">
        <f>rnwf_structure!R15</f>
        <v>467000</v>
      </c>
      <c r="S10" s="12">
        <f>rnwf_structure!S15</f>
        <v>467000</v>
      </c>
      <c r="T10" s="12">
        <f>rnwf_structure!T15</f>
        <v>467000</v>
      </c>
      <c r="U10" s="12">
        <f>rnwf_structure!U15</f>
        <v>467000</v>
      </c>
      <c r="V10" s="12">
        <f>rnwf_structure!V15</f>
        <v>467000</v>
      </c>
      <c r="W10" s="12">
        <f>rnwf_structure!W15</f>
        <v>467000</v>
      </c>
      <c r="X10" s="12">
        <f>rnwf_structure!X15</f>
        <v>467000</v>
      </c>
      <c r="Y10" s="12">
        <f>rnwf_structure!Y15</f>
        <v>467000</v>
      </c>
      <c r="Z10" s="12">
        <f>rnwf_structure!Z15</f>
        <v>467000</v>
      </c>
      <c r="AA10" s="12">
        <f>rnwf_structure!AA15</f>
        <v>467000</v>
      </c>
      <c r="AB10" s="12">
        <f>rnwf_structure!AB15</f>
        <v>467000</v>
      </c>
      <c r="AC10" s="12">
        <f>rnwf_structure!AC15</f>
        <v>467000</v>
      </c>
      <c r="AD10" s="12">
        <f>rnwf_structure!AD15</f>
        <v>467000</v>
      </c>
      <c r="AE10" s="12">
        <f>rnwf_structure!AE15</f>
        <v>467000</v>
      </c>
      <c r="AF10" s="12">
        <f>rnwf_structure!AF15</f>
        <v>467000</v>
      </c>
      <c r="AG10" s="12">
        <f>rnwf_structure!AG15</f>
        <v>467000</v>
      </c>
      <c r="AH10" s="12">
        <f>rnwf_structure!AH15</f>
        <v>467000</v>
      </c>
      <c r="AI10" s="12">
        <f>rnwf_structure!AI15</f>
        <v>467000</v>
      </c>
    </row>
    <row r="11" spans="1:35" x14ac:dyDescent="0.35">
      <c r="A11" t="s">
        <v>151</v>
      </c>
      <c r="B11" s="12">
        <f>rnwf_structure!B16</f>
        <v>14150.8</v>
      </c>
      <c r="C11" s="12">
        <f>rnwf_structure!C16</f>
        <v>14150.8</v>
      </c>
      <c r="D11" s="12">
        <f>rnwf_structure!D16</f>
        <v>14150.8</v>
      </c>
      <c r="E11" s="12">
        <f>rnwf_structure!E16</f>
        <v>14150.8</v>
      </c>
      <c r="F11" s="12">
        <f>rnwf_structure!F16</f>
        <v>14150.8</v>
      </c>
      <c r="G11" s="12">
        <f>rnwf_structure!G16</f>
        <v>14150.8</v>
      </c>
      <c r="H11" s="12">
        <f>rnwf_structure!H16</f>
        <v>14150.8</v>
      </c>
      <c r="I11" s="12">
        <f>rnwf_structure!I16</f>
        <v>109098.9</v>
      </c>
      <c r="J11" s="12">
        <f>rnwf_structure!J16</f>
        <v>109098.9</v>
      </c>
      <c r="K11" s="12">
        <f>rnwf_structure!K16</f>
        <v>109098.9</v>
      </c>
      <c r="L11" s="12">
        <f>rnwf_structure!L16</f>
        <v>96722.8</v>
      </c>
      <c r="M11" s="12">
        <f>rnwf_structure!M16</f>
        <v>159313.4</v>
      </c>
      <c r="N11" s="12">
        <f>rnwf_structure!N16</f>
        <v>227543.5</v>
      </c>
      <c r="O11" s="12">
        <f>rnwf_structure!O16</f>
        <v>245719.7</v>
      </c>
      <c r="P11" s="12">
        <f>rnwf_structure!P16</f>
        <v>250195.1</v>
      </c>
      <c r="Q11" s="12">
        <f>rnwf_structure!Q16</f>
        <v>385771.2</v>
      </c>
      <c r="R11" s="12">
        <f>rnwf_structure!R16</f>
        <v>384966.40000000002</v>
      </c>
      <c r="S11" s="12">
        <f>rnwf_structure!S16</f>
        <v>383946.4</v>
      </c>
      <c r="T11" s="12">
        <f>rnwf_structure!T16</f>
        <v>517310.5</v>
      </c>
      <c r="U11" s="12">
        <f>rnwf_structure!U16</f>
        <v>516505.8</v>
      </c>
      <c r="V11" s="12">
        <f>rnwf_structure!V16</f>
        <v>515485.7</v>
      </c>
      <c r="W11" s="12">
        <f>rnwf_structure!W16</f>
        <v>611147.5</v>
      </c>
      <c r="X11" s="12">
        <f>rnwf_structure!X16+rnwf_structure!X17*X3</f>
        <v>646342.80000000005</v>
      </c>
      <c r="Y11" s="12">
        <f>rnwf_structure!Y16+rnwf_structure!Y17*Y3</f>
        <v>690822.7</v>
      </c>
      <c r="Z11" s="12">
        <f>rnwf_structure!Z16+rnwf_structure!Z17*Z3</f>
        <v>719486.5</v>
      </c>
      <c r="AA11" s="12">
        <f>rnwf_structure!AA16+rnwf_structure!AA17*AA3</f>
        <v>734931.8</v>
      </c>
      <c r="AB11" s="12">
        <f>rnwf_structure!AB16+rnwf_structure!AB17*AB3</f>
        <v>788111.7</v>
      </c>
      <c r="AC11" s="12">
        <f>rnwf_structure!AC16+rnwf_structure!AC17*AC3</f>
        <v>876538.5</v>
      </c>
      <c r="AD11" s="12">
        <f>rnwf_structure!AD16+rnwf_structure!AD17*AD3</f>
        <v>875733.8</v>
      </c>
      <c r="AE11" s="12">
        <f>rnwf_structure!AE16+rnwf_structure!AE17*AE3</f>
        <v>864713.7</v>
      </c>
      <c r="AF11" s="12">
        <f>rnwf_structure!AF16+rnwf_structure!AF17*AF3</f>
        <v>852047</v>
      </c>
      <c r="AG11" s="12">
        <f>rnwf_structure!AG16+rnwf_structure!AG17*AG3</f>
        <v>851242.3</v>
      </c>
      <c r="AH11" s="12">
        <f>rnwf_structure!AH16+rnwf_structure!AH17*AH3</f>
        <v>858922.2</v>
      </c>
      <c r="AI11" s="12">
        <f>rnwf_structure!AI16+rnwf_structure!AI17*AI3</f>
        <v>868047.2</v>
      </c>
    </row>
    <row r="12" spans="1:35" x14ac:dyDescent="0.35">
      <c r="A12" t="s">
        <v>150</v>
      </c>
      <c r="B12" s="12">
        <f>rnwf_structure!B18</f>
        <v>7524361.2999999998</v>
      </c>
      <c r="C12" s="12">
        <f>rnwf_structure!C18</f>
        <v>7872548.2999999998</v>
      </c>
      <c r="D12" s="12">
        <f>rnwf_structure!D18</f>
        <v>7601763</v>
      </c>
      <c r="E12" s="12">
        <f>rnwf_structure!E18</f>
        <v>6132655.2000000002</v>
      </c>
      <c r="F12" s="12">
        <f>rnwf_structure!F18</f>
        <v>6334590.5999999996</v>
      </c>
      <c r="G12" s="12">
        <f>rnwf_structure!G18</f>
        <v>6446231</v>
      </c>
      <c r="H12" s="12">
        <f>rnwf_structure!H18</f>
        <v>6712063.4000000004</v>
      </c>
      <c r="I12" s="12">
        <f>rnwf_structure!I18</f>
        <v>6828671.4000000004</v>
      </c>
      <c r="J12" s="12">
        <f>rnwf_structure!J18</f>
        <v>6643004.4000000004</v>
      </c>
      <c r="K12" s="12">
        <f>rnwf_structure!K18</f>
        <v>6811125</v>
      </c>
      <c r="L12" s="12">
        <f>rnwf_structure!L18</f>
        <v>7183391.5</v>
      </c>
      <c r="M12" s="12">
        <f>rnwf_structure!M18</f>
        <v>7251634.9000000004</v>
      </c>
      <c r="N12" s="12">
        <f>rnwf_structure!N18</f>
        <v>7140176.0999999996</v>
      </c>
      <c r="O12" s="12">
        <f>rnwf_structure!O18</f>
        <v>6938308.7999999998</v>
      </c>
      <c r="P12" s="12">
        <f>rnwf_structure!P18</f>
        <v>6746505.0999999996</v>
      </c>
      <c r="Q12" s="12">
        <f>rnwf_structure!Q18</f>
        <v>5011778</v>
      </c>
      <c r="R12" s="12">
        <f>rnwf_structure!R18</f>
        <v>4907126.4000000004</v>
      </c>
      <c r="S12" s="12">
        <f>rnwf_structure!S18</f>
        <v>5044614.2</v>
      </c>
      <c r="T12" s="12">
        <f>rnwf_structure!T18</f>
        <v>5087766.7</v>
      </c>
      <c r="U12" s="12">
        <f>rnwf_structure!U18</f>
        <v>5172247.3</v>
      </c>
      <c r="V12" s="12">
        <f>rnwf_structure!V18</f>
        <v>5046039</v>
      </c>
      <c r="W12" s="12">
        <f>rnwf_structure!W18</f>
        <v>4603329.0999999996</v>
      </c>
      <c r="X12" s="12">
        <f>rnwf_structure!X18</f>
        <v>4665093</v>
      </c>
      <c r="Y12" s="12">
        <f>rnwf_structure!Y18</f>
        <v>4854458.2</v>
      </c>
      <c r="Z12" s="12">
        <f>rnwf_structure!Z18</f>
        <v>5255172.0999999996</v>
      </c>
      <c r="AA12" s="12">
        <f>rnwf_structure!AA18</f>
        <v>5447193.4000000004</v>
      </c>
      <c r="AB12" s="12">
        <f>rnwf_structure!AB18</f>
        <v>5792014.7999999998</v>
      </c>
      <c r="AC12" s="12">
        <f>rnwf_structure!AC18</f>
        <v>3809866.8</v>
      </c>
      <c r="AD12" s="12">
        <f>rnwf_structure!AD18</f>
        <v>3751160.1</v>
      </c>
      <c r="AE12" s="12">
        <f>rnwf_structure!AE18</f>
        <v>3393844.7</v>
      </c>
      <c r="AF12" s="12">
        <f>rnwf_structure!AF18</f>
        <v>3268903.8</v>
      </c>
      <c r="AG12" s="12">
        <f>rnwf_structure!AG18</f>
        <v>3296830.6</v>
      </c>
      <c r="AH12" s="12">
        <f>rnwf_structure!AH18</f>
        <v>2843025</v>
      </c>
      <c r="AI12" s="12">
        <f>rnwf_structure!AI18</f>
        <v>4127953.1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C6" sqref="C6"/>
    </sheetView>
  </sheetViews>
  <sheetFormatPr defaultRowHeight="14.5" x14ac:dyDescent="0.35"/>
  <cols>
    <col min="1" max="1" width="21.54296875" customWidth="1"/>
    <col min="2" max="2" width="10.7265625" customWidth="1"/>
  </cols>
  <sheetData>
    <row r="1" spans="1:2" x14ac:dyDescent="0.35">
      <c r="A1" t="s">
        <v>157</v>
      </c>
      <c r="B1" t="s">
        <v>158</v>
      </c>
    </row>
    <row r="2" spans="1:2" x14ac:dyDescent="0.35">
      <c r="A2" t="s">
        <v>159</v>
      </c>
      <c r="B2" s="13">
        <f>Main_!AJ36+Main_!AJ32</f>
        <v>3664067.1</v>
      </c>
    </row>
    <row r="3" spans="1:2" x14ac:dyDescent="0.35">
      <c r="A3" t="s">
        <v>161</v>
      </c>
      <c r="B3" s="13">
        <f>SUM(Main_!AJ8:AJ23)</f>
        <v>1104617.5</v>
      </c>
    </row>
    <row r="4" spans="1:2" x14ac:dyDescent="0.35">
      <c r="A4" t="s">
        <v>160</v>
      </c>
      <c r="B4" s="13">
        <f>Main_!AJ41+GETPIVOTDATA("Сумма, млн. руб",infra_invest!$N$20,"Получатель","ОАО «РЖД»")</f>
        <v>722141.3</v>
      </c>
    </row>
    <row r="5" spans="1:2" x14ac:dyDescent="0.35">
      <c r="A5" t="s">
        <v>167</v>
      </c>
      <c r="B5" s="13">
        <f>GETPIVOTDATA("Сумма, млн. руб",infra_invest!$N$20,"Получатель","ГК «Российские автомобильные дороги»")</f>
        <v>527164.89999999991</v>
      </c>
    </row>
    <row r="6" spans="1:2" x14ac:dyDescent="0.35">
      <c r="A6" t="s">
        <v>168</v>
      </c>
      <c r="B6" s="13">
        <f>Main_!AJ27+Main_!AJ40+Main_!AJ33</f>
        <v>431760</v>
      </c>
    </row>
    <row r="7" spans="1:2" x14ac:dyDescent="0.35">
      <c r="A7" t="s">
        <v>184</v>
      </c>
      <c r="B7" s="13">
        <f>Main_!AJ48</f>
        <v>370209.9</v>
      </c>
    </row>
    <row r="8" spans="1:2" x14ac:dyDescent="0.35">
      <c r="A8" t="s">
        <v>182</v>
      </c>
      <c r="B8" s="13">
        <f>Main_!AJ31+Main_!AJ29+Main_!AJ34</f>
        <v>286442.90000000002</v>
      </c>
    </row>
    <row r="9" spans="1:2" x14ac:dyDescent="0.35">
      <c r="A9" t="s">
        <v>170</v>
      </c>
      <c r="B9" s="13">
        <f>Main_!AJ44</f>
        <v>269437.3</v>
      </c>
    </row>
    <row r="10" spans="1:2" x14ac:dyDescent="0.35">
      <c r="A10" t="s">
        <v>173</v>
      </c>
      <c r="B10" s="13">
        <f>GETPIVOTDATA("Сумма, млн. руб",infra_invest!$N$20,"Получатель","АО «ГТЛК»")+Main_!AJ39</f>
        <v>244100.40000000005</v>
      </c>
    </row>
    <row r="11" spans="1:2" x14ac:dyDescent="0.35">
      <c r="A11" t="s">
        <v>169</v>
      </c>
      <c r="B11" s="13">
        <f>structure!AI6</f>
        <v>234000</v>
      </c>
    </row>
    <row r="12" spans="1:2" x14ac:dyDescent="0.35">
      <c r="A12" t="s">
        <v>174</v>
      </c>
      <c r="B12" s="13">
        <f>GETPIVOTDATA("Сумма, млн. руб",infra_invest!$N$20,"Получатель","ООО «Авиакапитал-Сервис»")</f>
        <v>175389.3</v>
      </c>
    </row>
    <row r="13" spans="1:2" x14ac:dyDescent="0.35">
      <c r="A13" t="s">
        <v>177</v>
      </c>
      <c r="B13" s="13">
        <f>Main_!AJ37</f>
        <v>157172.79999999999</v>
      </c>
    </row>
    <row r="14" spans="1:2" x14ac:dyDescent="0.35">
      <c r="A14" t="s">
        <v>172</v>
      </c>
      <c r="B14" s="13">
        <f>Main_!AJ26*structure!AI2</f>
        <v>146281.20000000001</v>
      </c>
    </row>
    <row r="15" spans="1:2" x14ac:dyDescent="0.35">
      <c r="A15" t="s">
        <v>176</v>
      </c>
      <c r="B15" s="13">
        <f>GETPIVOTDATA("Сумма, млн. руб",infra_invest!$N$20,"Получатель","ППК «Фонд развития территорий»")+GETPIVOTDATA("Сумма, млн. руб",infra_invest!$N$20,"Получатель","ГК Фонд содействия реформированию жилищно-коммунального хозяйства")</f>
        <v>145034.29999999999</v>
      </c>
    </row>
    <row r="16" spans="1:2" x14ac:dyDescent="0.35">
      <c r="A16" t="s">
        <v>175</v>
      </c>
      <c r="B16" s="13">
        <f>Main_!AJ38</f>
        <v>137000</v>
      </c>
    </row>
    <row r="17" spans="1:2" x14ac:dyDescent="0.35">
      <c r="A17" t="s">
        <v>190</v>
      </c>
      <c r="B17" s="13">
        <f>rnwf_structure!AI17*structure!AI3</f>
        <v>110000</v>
      </c>
    </row>
    <row r="18" spans="1:2" x14ac:dyDescent="0.35">
      <c r="A18" t="s">
        <v>178</v>
      </c>
      <c r="B18" s="13">
        <f>Main_!AJ45</f>
        <v>60000</v>
      </c>
    </row>
    <row r="19" spans="1:2" x14ac:dyDescent="0.35">
      <c r="A19" t="s">
        <v>224</v>
      </c>
      <c r="B19" s="12">
        <f>Main_!AJ46</f>
        <v>58400</v>
      </c>
    </row>
    <row r="20" spans="1:2" x14ac:dyDescent="0.35">
      <c r="A20" t="s">
        <v>179</v>
      </c>
      <c r="B20" s="13">
        <f>GETPIVOTDATA("Сумма, млн. руб",infra_invest!$N$20,"Получатель","АО «Атомэнергопром»")</f>
        <v>57500</v>
      </c>
    </row>
    <row r="21" spans="1:2" x14ac:dyDescent="0.35">
      <c r="A21" t="s">
        <v>247</v>
      </c>
      <c r="B21" s="12">
        <f>Main_!AJ35</f>
        <v>29565</v>
      </c>
    </row>
    <row r="22" spans="1:2" x14ac:dyDescent="0.35">
      <c r="A22" t="s">
        <v>180</v>
      </c>
      <c r="B22" s="13">
        <f>Main_!AJ28</f>
        <v>25000</v>
      </c>
    </row>
    <row r="23" spans="1:2" x14ac:dyDescent="0.35">
      <c r="A23" t="s">
        <v>181</v>
      </c>
      <c r="B23" s="13">
        <f>GETPIVOTDATA("Сумма, млн. руб",infra_invest!$N$20,"Получатель","ООО «Инфраструктурные инвестиции - 4»")</f>
        <v>4050</v>
      </c>
    </row>
  </sheetData>
  <autoFilter ref="A1:B1">
    <sortState ref="A2:B23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6"/>
  <sheetViews>
    <sheetView topLeftCell="A20" workbookViewId="0">
      <selection activeCell="K32" activeCellId="1" sqref="K25 K32"/>
    </sheetView>
  </sheetViews>
  <sheetFormatPr defaultRowHeight="13" x14ac:dyDescent="0.3"/>
  <cols>
    <col min="1" max="1" width="8.7265625" style="9"/>
    <col min="2" max="2" width="10.1796875" style="9" customWidth="1"/>
    <col min="3" max="3" width="13.54296875" style="9" bestFit="1" customWidth="1"/>
    <col min="4" max="4" width="10.08984375" style="9" bestFit="1" customWidth="1"/>
    <col min="5" max="5" width="9.6328125" style="9" bestFit="1" customWidth="1"/>
    <col min="6" max="6" width="20.6328125" style="9" customWidth="1"/>
    <col min="7" max="9" width="8.7265625" style="9"/>
    <col min="10" max="10" width="67.36328125" style="9" customWidth="1"/>
    <col min="11" max="11" width="20.08984375" style="9" customWidth="1"/>
    <col min="12" max="12" width="24.90625" style="9" bestFit="1" customWidth="1"/>
    <col min="13" max="13" width="6.81640625" style="9" customWidth="1"/>
    <col min="14" max="14" width="11.1796875" style="9" customWidth="1"/>
    <col min="15" max="16384" width="8.7265625" style="9"/>
  </cols>
  <sheetData>
    <row r="1" spans="1:11" ht="14.5" x14ac:dyDescent="0.35">
      <c r="A1" s="9" t="s">
        <v>71</v>
      </c>
      <c r="B1" s="9" t="s">
        <v>72</v>
      </c>
      <c r="C1" s="9" t="s">
        <v>79</v>
      </c>
      <c r="D1" s="9" t="s">
        <v>73</v>
      </c>
      <c r="E1" s="9" t="s">
        <v>74</v>
      </c>
      <c r="F1" s="9" t="s">
        <v>75</v>
      </c>
      <c r="G1" s="9" t="s">
        <v>76</v>
      </c>
      <c r="J1"/>
      <c r="K1"/>
    </row>
    <row r="2" spans="1:11" ht="14.5" x14ac:dyDescent="0.35">
      <c r="A2" s="9">
        <v>2025</v>
      </c>
      <c r="B2" s="9" t="s">
        <v>96</v>
      </c>
      <c r="C2" s="9">
        <v>-1.2</v>
      </c>
      <c r="D2" s="9" t="s">
        <v>65</v>
      </c>
      <c r="F2" s="9" t="s">
        <v>81</v>
      </c>
      <c r="G2" s="9" t="s">
        <v>105</v>
      </c>
      <c r="H2" s="9" t="s">
        <v>166</v>
      </c>
      <c r="J2"/>
      <c r="K2"/>
    </row>
    <row r="3" spans="1:11" ht="14.5" x14ac:dyDescent="0.35">
      <c r="A3" s="9">
        <v>2025</v>
      </c>
      <c r="B3" s="9" t="s">
        <v>96</v>
      </c>
      <c r="C3" s="9">
        <v>-15.8</v>
      </c>
      <c r="D3" s="9" t="s">
        <v>65</v>
      </c>
      <c r="F3" s="9" t="s">
        <v>69</v>
      </c>
      <c r="G3" s="9" t="s">
        <v>78</v>
      </c>
      <c r="H3" s="9" t="s">
        <v>166</v>
      </c>
      <c r="J3"/>
      <c r="K3"/>
    </row>
    <row r="4" spans="1:11" ht="14.5" x14ac:dyDescent="0.35">
      <c r="A4" s="9">
        <v>2025</v>
      </c>
      <c r="B4" s="9" t="s">
        <v>96</v>
      </c>
      <c r="C4" s="9">
        <v>-76.2</v>
      </c>
      <c r="D4" s="9" t="s">
        <v>65</v>
      </c>
      <c r="F4" s="9" t="s">
        <v>69</v>
      </c>
      <c r="G4" s="9" t="s">
        <v>70</v>
      </c>
      <c r="H4" s="9" t="s">
        <v>166</v>
      </c>
      <c r="J4"/>
      <c r="K4"/>
    </row>
    <row r="5" spans="1:11" ht="14.5" x14ac:dyDescent="0.35">
      <c r="A5" s="9">
        <v>2025</v>
      </c>
      <c r="B5" s="9" t="s">
        <v>96</v>
      </c>
      <c r="C5" s="9">
        <v>-178.4</v>
      </c>
      <c r="D5" s="9" t="s">
        <v>65</v>
      </c>
      <c r="F5" s="9" t="s">
        <v>69</v>
      </c>
      <c r="G5" s="9" t="s">
        <v>84</v>
      </c>
      <c r="H5" s="9" t="s">
        <v>166</v>
      </c>
      <c r="J5"/>
      <c r="K5"/>
    </row>
    <row r="6" spans="1:11" ht="14.5" x14ac:dyDescent="0.35">
      <c r="A6" s="9">
        <v>2025</v>
      </c>
      <c r="B6" s="9" t="s">
        <v>96</v>
      </c>
      <c r="C6" s="9">
        <v>-326.3</v>
      </c>
      <c r="D6" s="9" t="s">
        <v>65</v>
      </c>
      <c r="F6" s="9" t="s">
        <v>69</v>
      </c>
      <c r="G6" s="9" t="s">
        <v>91</v>
      </c>
      <c r="H6" s="9" t="s">
        <v>166</v>
      </c>
      <c r="J6"/>
      <c r="K6"/>
    </row>
    <row r="7" spans="1:11" ht="14.5" x14ac:dyDescent="0.35">
      <c r="A7" s="9">
        <v>2025</v>
      </c>
      <c r="B7" s="9" t="s">
        <v>96</v>
      </c>
      <c r="C7" s="9">
        <v>-2666.7</v>
      </c>
      <c r="D7" s="9" t="s">
        <v>65</v>
      </c>
      <c r="F7" s="10" t="s">
        <v>92</v>
      </c>
      <c r="J7"/>
      <c r="K7"/>
    </row>
    <row r="8" spans="1:11" ht="14.5" x14ac:dyDescent="0.35">
      <c r="A8" s="9">
        <v>2025</v>
      </c>
      <c r="B8" s="9" t="s">
        <v>96</v>
      </c>
      <c r="C8" s="9">
        <v>3371.7</v>
      </c>
      <c r="D8" s="9" t="s">
        <v>65</v>
      </c>
      <c r="F8" s="9" t="s">
        <v>69</v>
      </c>
      <c r="G8" s="9" t="s">
        <v>78</v>
      </c>
      <c r="H8" s="9" t="s">
        <v>166</v>
      </c>
      <c r="J8"/>
      <c r="K8"/>
    </row>
    <row r="9" spans="1:11" ht="14.5" x14ac:dyDescent="0.35">
      <c r="A9" s="9">
        <v>2025</v>
      </c>
      <c r="B9" s="9" t="s">
        <v>97</v>
      </c>
      <c r="C9" s="9">
        <v>-0.4</v>
      </c>
      <c r="D9" s="9" t="s">
        <v>65</v>
      </c>
      <c r="F9" s="9" t="s">
        <v>81</v>
      </c>
      <c r="G9" s="9" t="s">
        <v>105</v>
      </c>
      <c r="H9" s="9" t="s">
        <v>166</v>
      </c>
      <c r="J9"/>
      <c r="K9"/>
    </row>
    <row r="10" spans="1:11" ht="14.5" x14ac:dyDescent="0.35">
      <c r="A10" s="9">
        <v>2025</v>
      </c>
      <c r="B10" s="9" t="s">
        <v>97</v>
      </c>
      <c r="C10" s="9">
        <v>-180.1</v>
      </c>
      <c r="D10" s="9" t="s">
        <v>65</v>
      </c>
      <c r="F10" s="9" t="s">
        <v>69</v>
      </c>
      <c r="G10" s="9" t="s">
        <v>84</v>
      </c>
      <c r="H10" s="9" t="s">
        <v>166</v>
      </c>
      <c r="J10"/>
      <c r="K10"/>
    </row>
    <row r="11" spans="1:11" ht="14.5" x14ac:dyDescent="0.35">
      <c r="A11" s="9">
        <v>2025</v>
      </c>
      <c r="B11" s="9" t="s">
        <v>97</v>
      </c>
      <c r="C11" s="9">
        <v>-612.1</v>
      </c>
      <c r="D11" s="9" t="s">
        <v>65</v>
      </c>
      <c r="F11" s="9" t="s">
        <v>69</v>
      </c>
      <c r="G11" s="9" t="s">
        <v>91</v>
      </c>
      <c r="H11" s="9" t="s">
        <v>166</v>
      </c>
      <c r="J11"/>
      <c r="K11"/>
    </row>
    <row r="12" spans="1:11" ht="14.5" x14ac:dyDescent="0.35">
      <c r="A12" s="9">
        <v>2025</v>
      </c>
      <c r="B12" s="9" t="s">
        <v>97</v>
      </c>
      <c r="C12" s="9">
        <v>-1020.1</v>
      </c>
      <c r="D12" s="9" t="s">
        <v>65</v>
      </c>
      <c r="F12" s="10" t="s">
        <v>92</v>
      </c>
      <c r="J12"/>
      <c r="K12"/>
    </row>
    <row r="13" spans="1:11" ht="14.5" x14ac:dyDescent="0.35">
      <c r="A13" s="9">
        <v>2025</v>
      </c>
      <c r="B13" s="9" t="s">
        <v>97</v>
      </c>
      <c r="C13" s="9">
        <v>660.2</v>
      </c>
      <c r="D13" s="9" t="s">
        <v>65</v>
      </c>
      <c r="F13" s="9" t="s">
        <v>66</v>
      </c>
      <c r="G13" s="9" t="s">
        <v>223</v>
      </c>
      <c r="H13" s="9" t="s">
        <v>166</v>
      </c>
      <c r="J13"/>
      <c r="K13"/>
    </row>
    <row r="14" spans="1:11" ht="14.5" x14ac:dyDescent="0.35">
      <c r="A14" s="9">
        <v>2025</v>
      </c>
      <c r="B14" s="9" t="s">
        <v>97</v>
      </c>
      <c r="C14" s="9">
        <v>6579.2</v>
      </c>
      <c r="D14" s="9" t="s">
        <v>65</v>
      </c>
      <c r="F14" s="9" t="s">
        <v>69</v>
      </c>
      <c r="G14" s="9" t="s">
        <v>70</v>
      </c>
      <c r="H14" s="9" t="s">
        <v>166</v>
      </c>
      <c r="J14"/>
      <c r="K14"/>
    </row>
    <row r="15" spans="1:11" ht="14.5" x14ac:dyDescent="0.35">
      <c r="A15" s="9">
        <v>2025</v>
      </c>
      <c r="B15" s="9" t="s">
        <v>101</v>
      </c>
      <c r="C15" s="9">
        <v>-464.4</v>
      </c>
      <c r="D15" s="9" t="s">
        <v>65</v>
      </c>
      <c r="F15" s="9" t="s">
        <v>69</v>
      </c>
      <c r="G15" s="9" t="s">
        <v>91</v>
      </c>
      <c r="H15" s="9" t="s">
        <v>166</v>
      </c>
      <c r="J15"/>
      <c r="K15"/>
    </row>
    <row r="16" spans="1:11" ht="14.5" x14ac:dyDescent="0.35">
      <c r="A16" s="9">
        <v>2025</v>
      </c>
      <c r="B16" s="9" t="s">
        <v>101</v>
      </c>
      <c r="C16" s="9">
        <v>-804.7</v>
      </c>
      <c r="D16" s="9" t="s">
        <v>65</v>
      </c>
      <c r="F16" s="10" t="s">
        <v>92</v>
      </c>
      <c r="J16"/>
      <c r="K16"/>
    </row>
    <row r="17" spans="1:14" ht="14.5" x14ac:dyDescent="0.35">
      <c r="A17" s="9">
        <v>2025</v>
      </c>
      <c r="B17" s="9" t="s">
        <v>101</v>
      </c>
      <c r="C17" s="9">
        <v>374</v>
      </c>
      <c r="D17" s="9" t="s">
        <v>65</v>
      </c>
      <c r="F17" s="9" t="s">
        <v>66</v>
      </c>
      <c r="G17" s="9" t="s">
        <v>223</v>
      </c>
      <c r="H17" s="9" t="s">
        <v>166</v>
      </c>
      <c r="J17"/>
      <c r="K17"/>
    </row>
    <row r="18" spans="1:14" ht="14.5" x14ac:dyDescent="0.35">
      <c r="A18" s="9">
        <v>2025</v>
      </c>
      <c r="B18" s="9" t="s">
        <v>102</v>
      </c>
      <c r="C18" s="9">
        <v>-1.2</v>
      </c>
      <c r="D18" s="9" t="s">
        <v>65</v>
      </c>
      <c r="F18" s="9" t="s">
        <v>81</v>
      </c>
      <c r="G18" s="9" t="s">
        <v>105</v>
      </c>
      <c r="H18" s="9" t="s">
        <v>166</v>
      </c>
      <c r="J18"/>
      <c r="K18"/>
    </row>
    <row r="19" spans="1:14" ht="14.5" x14ac:dyDescent="0.35">
      <c r="A19" s="9">
        <v>2025</v>
      </c>
      <c r="B19" s="9" t="s">
        <v>102</v>
      </c>
      <c r="C19" s="9">
        <v>-5.9</v>
      </c>
      <c r="D19" s="9" t="s">
        <v>65</v>
      </c>
      <c r="F19" s="9" t="s">
        <v>69</v>
      </c>
      <c r="G19" s="9" t="s">
        <v>78</v>
      </c>
      <c r="H19" s="9" t="s">
        <v>166</v>
      </c>
      <c r="J19"/>
      <c r="K19"/>
    </row>
    <row r="20" spans="1:14" ht="14.5" x14ac:dyDescent="0.35">
      <c r="A20" s="9">
        <v>2025</v>
      </c>
      <c r="B20" s="9" t="s">
        <v>102</v>
      </c>
      <c r="C20" s="9">
        <v>-128.19999999999999</v>
      </c>
      <c r="D20" s="9" t="s">
        <v>65</v>
      </c>
      <c r="F20" s="9" t="s">
        <v>69</v>
      </c>
      <c r="G20" s="9" t="s">
        <v>91</v>
      </c>
      <c r="H20" s="9" t="s">
        <v>166</v>
      </c>
      <c r="J20" s="6" t="s">
        <v>162</v>
      </c>
      <c r="K20" s="14" t="s">
        <v>171</v>
      </c>
      <c r="L20"/>
      <c r="M20"/>
      <c r="N20"/>
    </row>
    <row r="21" spans="1:14" ht="14.5" x14ac:dyDescent="0.35">
      <c r="A21" s="9">
        <v>2025</v>
      </c>
      <c r="B21" s="9" t="s">
        <v>102</v>
      </c>
      <c r="C21" s="9">
        <v>-2666.7</v>
      </c>
      <c r="D21" s="9" t="s">
        <v>65</v>
      </c>
      <c r="F21" s="10" t="s">
        <v>92</v>
      </c>
      <c r="H21" s="9" t="s">
        <v>166</v>
      </c>
      <c r="J21" s="6" t="s">
        <v>163</v>
      </c>
      <c r="K21" t="s">
        <v>65</v>
      </c>
      <c r="L21" t="s">
        <v>98</v>
      </c>
      <c r="M21" t="s">
        <v>165</v>
      </c>
      <c r="N21" t="s">
        <v>164</v>
      </c>
    </row>
    <row r="22" spans="1:14" ht="14.5" x14ac:dyDescent="0.35">
      <c r="A22" s="9">
        <v>2025</v>
      </c>
      <c r="B22" s="9" t="s">
        <v>102</v>
      </c>
      <c r="C22" s="9">
        <v>2563</v>
      </c>
      <c r="D22" s="9" t="s">
        <v>65</v>
      </c>
      <c r="F22" s="9" t="s">
        <v>69</v>
      </c>
      <c r="G22" s="9" t="s">
        <v>78</v>
      </c>
      <c r="H22" s="9" t="s">
        <v>166</v>
      </c>
      <c r="J22" s="33" t="s">
        <v>123</v>
      </c>
      <c r="K22" s="15"/>
      <c r="L22" s="15">
        <v>57500</v>
      </c>
      <c r="M22" s="15"/>
      <c r="N22" s="15">
        <v>57500</v>
      </c>
    </row>
    <row r="23" spans="1:14" ht="14.5" x14ac:dyDescent="0.35">
      <c r="A23" s="9">
        <v>2025</v>
      </c>
      <c r="B23" s="9" t="s">
        <v>103</v>
      </c>
      <c r="C23" s="9">
        <v>-0.4</v>
      </c>
      <c r="D23" s="9" t="s">
        <v>65</v>
      </c>
      <c r="F23" s="9" t="s">
        <v>81</v>
      </c>
      <c r="G23" s="9" t="s">
        <v>105</v>
      </c>
      <c r="H23" s="9" t="s">
        <v>166</v>
      </c>
      <c r="J23" s="33" t="s">
        <v>69</v>
      </c>
      <c r="K23" s="15">
        <v>185766.40000000005</v>
      </c>
      <c r="L23" s="15"/>
      <c r="M23" s="15"/>
      <c r="N23" s="15">
        <v>185766.40000000005</v>
      </c>
    </row>
    <row r="24" spans="1:14" ht="14.5" x14ac:dyDescent="0.35">
      <c r="A24" s="9">
        <v>2025</v>
      </c>
      <c r="B24" s="9" t="s">
        <v>103</v>
      </c>
      <c r="C24" s="9">
        <v>-179.9</v>
      </c>
      <c r="D24" s="9" t="s">
        <v>65</v>
      </c>
      <c r="F24" s="9" t="s">
        <v>69</v>
      </c>
      <c r="G24" s="9" t="s">
        <v>84</v>
      </c>
      <c r="H24" s="9" t="s">
        <v>166</v>
      </c>
      <c r="J24" s="33" t="s">
        <v>81</v>
      </c>
      <c r="K24" s="15">
        <v>527164.89999999991</v>
      </c>
      <c r="L24" s="15"/>
      <c r="M24" s="15"/>
      <c r="N24" s="15">
        <v>527164.89999999991</v>
      </c>
    </row>
    <row r="25" spans="1:14" ht="14.5" x14ac:dyDescent="0.35">
      <c r="A25" s="9">
        <v>2025</v>
      </c>
      <c r="B25" s="9" t="s">
        <v>103</v>
      </c>
      <c r="C25" s="9">
        <v>-404.5</v>
      </c>
      <c r="D25" s="9" t="s">
        <v>65</v>
      </c>
      <c r="F25" s="9" t="s">
        <v>69</v>
      </c>
      <c r="G25" s="9" t="s">
        <v>91</v>
      </c>
      <c r="H25" s="9" t="s">
        <v>166</v>
      </c>
      <c r="J25" s="18" t="s">
        <v>110</v>
      </c>
      <c r="K25" s="15">
        <v>36999.899999999994</v>
      </c>
      <c r="L25" s="15"/>
      <c r="M25" s="15"/>
      <c r="N25" s="15">
        <v>36999.899999999994</v>
      </c>
    </row>
    <row r="26" spans="1:14" ht="14.5" x14ac:dyDescent="0.35">
      <c r="A26" s="9">
        <v>2025</v>
      </c>
      <c r="B26" s="9" t="s">
        <v>103</v>
      </c>
      <c r="C26" s="9">
        <v>-1020.1</v>
      </c>
      <c r="D26" s="9" t="s">
        <v>65</v>
      </c>
      <c r="F26" s="10" t="s">
        <v>92</v>
      </c>
      <c r="J26" s="33" t="s">
        <v>99</v>
      </c>
      <c r="K26" s="15"/>
      <c r="L26" s="15">
        <v>255141.3</v>
      </c>
      <c r="M26" s="15"/>
      <c r="N26" s="15">
        <v>255141.3</v>
      </c>
    </row>
    <row r="27" spans="1:14" ht="14.5" x14ac:dyDescent="0.35">
      <c r="A27" s="9">
        <v>2025</v>
      </c>
      <c r="B27" s="9" t="s">
        <v>121</v>
      </c>
      <c r="C27" s="9">
        <v>-254.1</v>
      </c>
      <c r="D27" s="9" t="s">
        <v>65</v>
      </c>
      <c r="F27" s="9" t="s">
        <v>69</v>
      </c>
      <c r="G27" s="9" t="s">
        <v>91</v>
      </c>
      <c r="H27" s="9" t="s">
        <v>166</v>
      </c>
      <c r="J27" s="18" t="s">
        <v>85</v>
      </c>
      <c r="K27" s="15">
        <v>117247.90000000001</v>
      </c>
      <c r="L27" s="15"/>
      <c r="M27" s="15"/>
      <c r="N27" s="15">
        <v>117247.90000000001</v>
      </c>
    </row>
    <row r="28" spans="1:14" ht="14.5" x14ac:dyDescent="0.35">
      <c r="A28" s="9">
        <v>2025</v>
      </c>
      <c r="B28" s="9" t="s">
        <v>121</v>
      </c>
      <c r="C28" s="9">
        <v>-804.7</v>
      </c>
      <c r="D28" s="9" t="s">
        <v>65</v>
      </c>
      <c r="F28" s="10" t="s">
        <v>92</v>
      </c>
      <c r="J28" s="33" t="s">
        <v>82</v>
      </c>
      <c r="K28" s="15">
        <v>175389.3</v>
      </c>
      <c r="L28" s="15"/>
      <c r="M28" s="15"/>
      <c r="N28" s="15">
        <v>175389.3</v>
      </c>
    </row>
    <row r="29" spans="1:14" ht="14.5" x14ac:dyDescent="0.35">
      <c r="A29" s="9">
        <v>2024</v>
      </c>
      <c r="B29" s="9" t="s">
        <v>104</v>
      </c>
      <c r="C29" s="9">
        <v>-5.4</v>
      </c>
      <c r="D29" s="9" t="s">
        <v>65</v>
      </c>
      <c r="F29" s="9" t="s">
        <v>69</v>
      </c>
      <c r="G29" s="9" t="s">
        <v>78</v>
      </c>
      <c r="H29" s="9" t="s">
        <v>166</v>
      </c>
      <c r="J29" s="18" t="s">
        <v>113</v>
      </c>
      <c r="K29" s="15">
        <v>-23202</v>
      </c>
      <c r="L29" s="15"/>
      <c r="M29" s="15"/>
      <c r="N29" s="15">
        <v>-23202</v>
      </c>
    </row>
    <row r="30" spans="1:14" ht="14.5" x14ac:dyDescent="0.35">
      <c r="A30" s="9">
        <v>2024</v>
      </c>
      <c r="B30" s="9" t="s">
        <v>104</v>
      </c>
      <c r="C30" s="9">
        <v>-126.8</v>
      </c>
      <c r="D30" s="9" t="s">
        <v>65</v>
      </c>
      <c r="F30" s="9" t="s">
        <v>69</v>
      </c>
      <c r="G30" s="9" t="s">
        <v>91</v>
      </c>
      <c r="H30" s="9" t="s">
        <v>166</v>
      </c>
      <c r="J30" s="18" t="s">
        <v>107</v>
      </c>
      <c r="K30" s="15">
        <v>0</v>
      </c>
      <c r="L30" s="15"/>
      <c r="M30" s="15"/>
      <c r="N30" s="15">
        <v>0</v>
      </c>
    </row>
    <row r="31" spans="1:14" ht="14.5" x14ac:dyDescent="0.35">
      <c r="A31" s="9">
        <v>2024</v>
      </c>
      <c r="B31" s="9" t="s">
        <v>104</v>
      </c>
      <c r="C31" s="9">
        <v>-2666.7</v>
      </c>
      <c r="D31" s="9" t="s">
        <v>65</v>
      </c>
      <c r="F31" s="10" t="s">
        <v>92</v>
      </c>
      <c r="H31" s="9" t="s">
        <v>166</v>
      </c>
      <c r="J31" s="33" t="s">
        <v>125</v>
      </c>
      <c r="K31" s="15">
        <v>4050</v>
      </c>
      <c r="L31" s="15"/>
      <c r="M31" s="15"/>
      <c r="N31" s="15">
        <v>4050</v>
      </c>
    </row>
    <row r="32" spans="1:14" ht="14.5" x14ac:dyDescent="0.35">
      <c r="A32" s="9">
        <v>2024</v>
      </c>
      <c r="B32" s="9" t="s">
        <v>104</v>
      </c>
      <c r="C32" s="9">
        <v>347.4</v>
      </c>
      <c r="D32" s="9" t="s">
        <v>65</v>
      </c>
      <c r="E32" s="9">
        <v>347398</v>
      </c>
      <c r="F32" s="9" t="s">
        <v>69</v>
      </c>
      <c r="G32" s="9" t="s">
        <v>78</v>
      </c>
      <c r="H32" s="9" t="s">
        <v>166</v>
      </c>
      <c r="J32" s="18" t="s">
        <v>66</v>
      </c>
      <c r="K32" s="15">
        <v>108034.40000000001</v>
      </c>
      <c r="L32" s="15"/>
      <c r="M32" s="15"/>
      <c r="N32" s="15">
        <v>108034.40000000001</v>
      </c>
    </row>
    <row r="33" spans="1:14" ht="14.5" x14ac:dyDescent="0.35">
      <c r="A33" s="9">
        <v>2024</v>
      </c>
      <c r="B33" s="9" t="s">
        <v>104</v>
      </c>
      <c r="C33" s="9">
        <v>564.4</v>
      </c>
      <c r="D33" s="9" t="s">
        <v>65</v>
      </c>
      <c r="E33" s="9">
        <v>564369</v>
      </c>
      <c r="F33" s="9" t="s">
        <v>66</v>
      </c>
      <c r="G33" s="9" t="s">
        <v>223</v>
      </c>
      <c r="H33" s="9" t="s">
        <v>166</v>
      </c>
      <c r="J33" s="18" t="s">
        <v>165</v>
      </c>
      <c r="K33" s="15"/>
      <c r="L33" s="15"/>
      <c r="M33" s="15"/>
      <c r="N33" s="15"/>
    </row>
    <row r="34" spans="1:14" ht="14.5" x14ac:dyDescent="0.35">
      <c r="A34" s="9">
        <v>2024</v>
      </c>
      <c r="B34" s="9" t="s">
        <v>104</v>
      </c>
      <c r="C34" s="9">
        <v>2519.9</v>
      </c>
      <c r="D34" s="9" t="s">
        <v>65</v>
      </c>
      <c r="E34" s="9">
        <v>2519900</v>
      </c>
      <c r="F34" s="9" t="s">
        <v>81</v>
      </c>
      <c r="G34" s="9" t="s">
        <v>64</v>
      </c>
      <c r="H34" s="9" t="s">
        <v>166</v>
      </c>
      <c r="J34" s="18" t="s">
        <v>92</v>
      </c>
      <c r="K34" s="15">
        <v>-23127.300000000003</v>
      </c>
      <c r="L34" s="15"/>
      <c r="M34" s="15"/>
      <c r="N34" s="15">
        <v>-23127.300000000003</v>
      </c>
    </row>
    <row r="35" spans="1:14" ht="14.5" x14ac:dyDescent="0.35">
      <c r="A35" s="9">
        <v>2024</v>
      </c>
      <c r="B35" s="9" t="s">
        <v>104</v>
      </c>
      <c r="C35" s="9">
        <v>6286.5</v>
      </c>
      <c r="D35" s="9" t="s">
        <v>65</v>
      </c>
      <c r="E35" s="9">
        <v>6286533</v>
      </c>
      <c r="F35" s="9" t="s">
        <v>69</v>
      </c>
      <c r="G35" s="9" t="s">
        <v>91</v>
      </c>
      <c r="H35" s="9" t="s">
        <v>166</v>
      </c>
      <c r="J35" s="18" t="s">
        <v>86</v>
      </c>
      <c r="K35" s="15">
        <v>-2298.9</v>
      </c>
      <c r="L35" s="15"/>
      <c r="M35" s="15"/>
      <c r="N35" s="15">
        <v>-2298.9</v>
      </c>
    </row>
    <row r="36" spans="1:14" ht="14.5" x14ac:dyDescent="0.35">
      <c r="A36" s="9">
        <v>2024</v>
      </c>
      <c r="B36" s="9" t="s">
        <v>104</v>
      </c>
      <c r="C36" s="9">
        <v>32841.800000000003</v>
      </c>
      <c r="D36" s="9" t="s">
        <v>65</v>
      </c>
      <c r="E36" s="9">
        <v>32841792</v>
      </c>
      <c r="F36" s="9" t="s">
        <v>81</v>
      </c>
      <c r="G36" s="9" t="s">
        <v>68</v>
      </c>
      <c r="H36" s="9" t="s">
        <v>166</v>
      </c>
      <c r="J36" s="18" t="s">
        <v>94</v>
      </c>
      <c r="K36" s="15">
        <v>-11851.9</v>
      </c>
      <c r="L36" s="15"/>
      <c r="M36" s="15"/>
      <c r="N36" s="15">
        <v>-11851.9</v>
      </c>
    </row>
    <row r="37" spans="1:14" ht="14.5" x14ac:dyDescent="0.35">
      <c r="A37" s="9">
        <v>2024</v>
      </c>
      <c r="B37" s="9" t="s">
        <v>104</v>
      </c>
      <c r="C37" s="9">
        <v>111093.5</v>
      </c>
      <c r="D37" s="9" t="s">
        <v>65</v>
      </c>
      <c r="E37" s="9">
        <v>111093512</v>
      </c>
      <c r="F37" s="9" t="s">
        <v>221</v>
      </c>
      <c r="G37" s="9" t="s">
        <v>222</v>
      </c>
      <c r="H37" s="9" t="s">
        <v>166</v>
      </c>
      <c r="J37" s="18" t="s">
        <v>221</v>
      </c>
      <c r="K37" s="15">
        <v>111093.5</v>
      </c>
      <c r="L37" s="15"/>
      <c r="M37" s="15"/>
      <c r="N37" s="15">
        <v>111093.5</v>
      </c>
    </row>
    <row r="38" spans="1:14" ht="14.5" x14ac:dyDescent="0.35">
      <c r="A38" s="9">
        <v>2024</v>
      </c>
      <c r="B38" s="9" t="s">
        <v>109</v>
      </c>
      <c r="C38" s="9">
        <v>-78.900000000000006</v>
      </c>
      <c r="D38" s="9" t="s">
        <v>65</v>
      </c>
      <c r="F38" s="9" t="s">
        <v>69</v>
      </c>
      <c r="G38" s="9" t="s">
        <v>84</v>
      </c>
      <c r="H38" s="9" t="s">
        <v>166</v>
      </c>
      <c r="J38" s="16" t="s">
        <v>164</v>
      </c>
      <c r="K38" s="15">
        <v>1205266.2</v>
      </c>
      <c r="L38" s="15">
        <v>312641.3</v>
      </c>
      <c r="M38" s="15"/>
      <c r="N38" s="15">
        <v>1517907.5</v>
      </c>
    </row>
    <row r="39" spans="1:14" x14ac:dyDescent="0.3">
      <c r="A39" s="9">
        <v>2024</v>
      </c>
      <c r="B39" s="9" t="s">
        <v>109</v>
      </c>
      <c r="C39" s="9">
        <v>-218.5</v>
      </c>
      <c r="D39" s="9" t="s">
        <v>65</v>
      </c>
      <c r="F39" s="9" t="s">
        <v>69</v>
      </c>
      <c r="G39" s="9" t="s">
        <v>91</v>
      </c>
      <c r="H39" s="9" t="s">
        <v>166</v>
      </c>
    </row>
    <row r="40" spans="1:14" x14ac:dyDescent="0.3">
      <c r="A40" s="9">
        <v>2024</v>
      </c>
      <c r="B40" s="9" t="s">
        <v>109</v>
      </c>
      <c r="C40" s="9">
        <v>-1020.1</v>
      </c>
      <c r="D40" s="9" t="s">
        <v>65</v>
      </c>
      <c r="F40" s="10" t="s">
        <v>92</v>
      </c>
      <c r="H40" s="9" t="s">
        <v>166</v>
      </c>
    </row>
    <row r="41" spans="1:14" x14ac:dyDescent="0.3">
      <c r="A41" s="9">
        <v>2024</v>
      </c>
      <c r="B41" s="9" t="s">
        <v>109</v>
      </c>
      <c r="C41" s="9">
        <v>2093.4</v>
      </c>
      <c r="D41" s="9" t="s">
        <v>65</v>
      </c>
      <c r="E41" s="9">
        <v>2093362</v>
      </c>
      <c r="F41" s="9" t="s">
        <v>66</v>
      </c>
      <c r="G41" s="9" t="s">
        <v>206</v>
      </c>
      <c r="H41" s="9" t="s">
        <v>166</v>
      </c>
    </row>
    <row r="42" spans="1:14" x14ac:dyDescent="0.3">
      <c r="A42" s="9">
        <v>2024</v>
      </c>
      <c r="B42" s="9" t="s">
        <v>109</v>
      </c>
      <c r="C42" s="9">
        <v>4779</v>
      </c>
      <c r="D42" s="9" t="s">
        <v>65</v>
      </c>
      <c r="E42" s="9">
        <v>4778963</v>
      </c>
      <c r="F42" s="9" t="s">
        <v>69</v>
      </c>
      <c r="G42" s="9" t="s">
        <v>78</v>
      </c>
      <c r="H42" s="9" t="s">
        <v>166</v>
      </c>
    </row>
    <row r="43" spans="1:14" x14ac:dyDescent="0.3">
      <c r="A43" s="9">
        <v>2024</v>
      </c>
      <c r="B43" s="9" t="s">
        <v>109</v>
      </c>
      <c r="C43" s="9">
        <v>6400</v>
      </c>
      <c r="D43" s="9" t="s">
        <v>65</v>
      </c>
      <c r="E43" s="9">
        <v>6400000</v>
      </c>
      <c r="F43" s="9" t="s">
        <v>69</v>
      </c>
      <c r="G43" s="9" t="s">
        <v>91</v>
      </c>
      <c r="H43" s="9" t="s">
        <v>166</v>
      </c>
    </row>
    <row r="44" spans="1:14" x14ac:dyDescent="0.3">
      <c r="A44" s="9">
        <v>2024</v>
      </c>
      <c r="B44" s="9" t="s">
        <v>111</v>
      </c>
      <c r="C44" s="9">
        <v>-131.69999999999999</v>
      </c>
      <c r="D44" s="9" t="s">
        <v>65</v>
      </c>
      <c r="F44" s="9" t="s">
        <v>69</v>
      </c>
      <c r="H44" s="9" t="s">
        <v>166</v>
      </c>
    </row>
    <row r="45" spans="1:14" x14ac:dyDescent="0.3">
      <c r="A45" s="9">
        <v>2024</v>
      </c>
      <c r="B45" s="9" t="s">
        <v>111</v>
      </c>
      <c r="C45" s="9">
        <v>-804.7</v>
      </c>
      <c r="D45" s="9" t="s">
        <v>65</v>
      </c>
      <c r="F45" s="10" t="s">
        <v>92</v>
      </c>
      <c r="H45" s="9" t="s">
        <v>166</v>
      </c>
    </row>
    <row r="46" spans="1:14" x14ac:dyDescent="0.3">
      <c r="A46" s="9">
        <v>2024</v>
      </c>
      <c r="B46" s="9" t="s">
        <v>111</v>
      </c>
      <c r="C46" s="9">
        <v>6613</v>
      </c>
      <c r="D46" s="9" t="s">
        <v>65</v>
      </c>
      <c r="E46" s="9">
        <v>6613007</v>
      </c>
      <c r="F46" s="9" t="s">
        <v>69</v>
      </c>
      <c r="G46" s="9" t="s">
        <v>91</v>
      </c>
      <c r="H46" s="9" t="s">
        <v>166</v>
      </c>
    </row>
    <row r="47" spans="1:14" x14ac:dyDescent="0.3">
      <c r="A47" s="9">
        <v>2024</v>
      </c>
      <c r="B47" s="9" t="s">
        <v>111</v>
      </c>
      <c r="C47" s="9">
        <v>7048.9</v>
      </c>
      <c r="D47" s="9" t="s">
        <v>65</v>
      </c>
      <c r="E47" s="9">
        <v>7048930</v>
      </c>
      <c r="F47" s="9" t="s">
        <v>66</v>
      </c>
      <c r="G47" s="9" t="s">
        <v>206</v>
      </c>
      <c r="H47" s="9" t="s">
        <v>166</v>
      </c>
    </row>
    <row r="48" spans="1:14" x14ac:dyDescent="0.3">
      <c r="A48" s="9">
        <v>2024</v>
      </c>
      <c r="B48" s="9" t="s">
        <v>77</v>
      </c>
      <c r="C48" s="9">
        <v>-123.9</v>
      </c>
      <c r="D48" s="9" t="s">
        <v>65</v>
      </c>
      <c r="F48" s="9" t="s">
        <v>69</v>
      </c>
      <c r="H48" s="9" t="s">
        <v>166</v>
      </c>
    </row>
    <row r="49" spans="1:11" x14ac:dyDescent="0.3">
      <c r="A49" s="9">
        <v>2024</v>
      </c>
      <c r="B49" s="9" t="s">
        <v>77</v>
      </c>
      <c r="C49" s="9">
        <v>-3086.3</v>
      </c>
      <c r="D49" s="9" t="s">
        <v>65</v>
      </c>
      <c r="F49" s="10" t="s">
        <v>92</v>
      </c>
    </row>
    <row r="50" spans="1:11" x14ac:dyDescent="0.3">
      <c r="A50" s="9">
        <v>2024</v>
      </c>
      <c r="B50" s="9" t="s">
        <v>77</v>
      </c>
      <c r="C50" s="9">
        <v>400</v>
      </c>
      <c r="D50" s="9" t="s">
        <v>65</v>
      </c>
      <c r="E50" s="9">
        <v>400000</v>
      </c>
      <c r="F50" s="9" t="s">
        <v>81</v>
      </c>
      <c r="G50" s="9" t="s">
        <v>64</v>
      </c>
      <c r="H50" s="9" t="s">
        <v>166</v>
      </c>
    </row>
    <row r="51" spans="1:11" x14ac:dyDescent="0.3">
      <c r="A51" s="9">
        <v>2024</v>
      </c>
      <c r="B51" s="9" t="s">
        <v>77</v>
      </c>
      <c r="C51" s="9">
        <v>810.7</v>
      </c>
      <c r="D51" s="9" t="s">
        <v>65</v>
      </c>
      <c r="E51" s="9">
        <v>810724</v>
      </c>
      <c r="F51" s="9" t="s">
        <v>66</v>
      </c>
      <c r="G51" s="9" t="s">
        <v>206</v>
      </c>
      <c r="H51" s="9" t="s">
        <v>166</v>
      </c>
    </row>
    <row r="52" spans="1:11" x14ac:dyDescent="0.3">
      <c r="A52" s="9">
        <v>2024</v>
      </c>
      <c r="B52" s="9" t="s">
        <v>77</v>
      </c>
      <c r="C52" s="9">
        <v>2651</v>
      </c>
      <c r="D52" s="9" t="s">
        <v>65</v>
      </c>
      <c r="E52" s="9">
        <v>2650967</v>
      </c>
      <c r="F52" s="9" t="s">
        <v>81</v>
      </c>
      <c r="G52" s="9" t="s">
        <v>68</v>
      </c>
      <c r="H52" s="9" t="s">
        <v>166</v>
      </c>
    </row>
    <row r="53" spans="1:11" x14ac:dyDescent="0.3">
      <c r="A53" s="9">
        <v>2024</v>
      </c>
      <c r="B53" s="9" t="s">
        <v>77</v>
      </c>
      <c r="C53" s="9">
        <v>3680.4</v>
      </c>
      <c r="D53" s="9" t="s">
        <v>65</v>
      </c>
      <c r="E53" s="9">
        <v>3680356</v>
      </c>
      <c r="F53" s="9" t="s">
        <v>69</v>
      </c>
      <c r="G53" s="9" t="s">
        <v>78</v>
      </c>
      <c r="H53" s="9" t="s">
        <v>166</v>
      </c>
    </row>
    <row r="54" spans="1:11" x14ac:dyDescent="0.3">
      <c r="A54" s="9">
        <v>2024</v>
      </c>
      <c r="B54" s="9" t="s">
        <v>80</v>
      </c>
      <c r="C54" s="9">
        <v>-49.1</v>
      </c>
      <c r="D54" s="9" t="s">
        <v>65</v>
      </c>
      <c r="F54" s="9" t="s">
        <v>69</v>
      </c>
      <c r="G54" s="9" t="s">
        <v>91</v>
      </c>
      <c r="H54" s="9" t="s">
        <v>166</v>
      </c>
    </row>
    <row r="55" spans="1:11" x14ac:dyDescent="0.3">
      <c r="A55" s="9">
        <v>2024</v>
      </c>
      <c r="B55" s="9" t="s">
        <v>80</v>
      </c>
      <c r="C55" s="9">
        <v>-1020.1</v>
      </c>
      <c r="D55" s="9" t="s">
        <v>65</v>
      </c>
      <c r="F55" s="10" t="s">
        <v>92</v>
      </c>
    </row>
    <row r="56" spans="1:11" x14ac:dyDescent="0.3">
      <c r="A56" s="9">
        <v>2024</v>
      </c>
      <c r="B56" s="9" t="s">
        <v>80</v>
      </c>
      <c r="C56" s="9">
        <v>1066.8</v>
      </c>
      <c r="D56" s="9" t="s">
        <v>65</v>
      </c>
      <c r="E56" s="9">
        <v>1066780</v>
      </c>
      <c r="F56" s="9" t="s">
        <v>66</v>
      </c>
      <c r="G56" s="9" t="s">
        <v>206</v>
      </c>
      <c r="H56" s="9" t="s">
        <v>166</v>
      </c>
    </row>
    <row r="57" spans="1:11" x14ac:dyDescent="0.3">
      <c r="A57" s="9">
        <v>2024</v>
      </c>
      <c r="B57" s="9" t="s">
        <v>80</v>
      </c>
      <c r="C57" s="9">
        <v>5883.7</v>
      </c>
      <c r="D57" s="9" t="s">
        <v>65</v>
      </c>
      <c r="E57" s="9">
        <v>5883653</v>
      </c>
      <c r="F57" s="9" t="s">
        <v>69</v>
      </c>
      <c r="G57" s="9" t="s">
        <v>91</v>
      </c>
      <c r="H57" s="9" t="s">
        <v>166</v>
      </c>
    </row>
    <row r="58" spans="1:11" x14ac:dyDescent="0.3">
      <c r="A58" s="9">
        <v>2024</v>
      </c>
      <c r="B58" s="9" t="s">
        <v>80</v>
      </c>
      <c r="C58" s="9">
        <v>19500</v>
      </c>
      <c r="D58" s="9" t="s">
        <v>65</v>
      </c>
      <c r="E58" s="9">
        <v>19500000</v>
      </c>
      <c r="F58" s="9" t="s">
        <v>81</v>
      </c>
      <c r="G58" s="9" t="s">
        <v>68</v>
      </c>
      <c r="H58" s="9" t="s">
        <v>166</v>
      </c>
    </row>
    <row r="59" spans="1:11" x14ac:dyDescent="0.3">
      <c r="A59" s="9">
        <v>2024</v>
      </c>
      <c r="B59" s="9" t="s">
        <v>90</v>
      </c>
      <c r="C59" s="9">
        <v>-80.8</v>
      </c>
      <c r="D59" s="9" t="s">
        <v>65</v>
      </c>
      <c r="F59" s="9" t="s">
        <v>69</v>
      </c>
      <c r="G59" s="9" t="s">
        <v>91</v>
      </c>
      <c r="H59" s="9" t="s">
        <v>166</v>
      </c>
    </row>
    <row r="60" spans="1:11" x14ac:dyDescent="0.3">
      <c r="A60" s="9">
        <v>2024</v>
      </c>
      <c r="B60" s="9" t="s">
        <v>90</v>
      </c>
      <c r="C60" s="9">
        <v>-804.7</v>
      </c>
      <c r="D60" s="9" t="s">
        <v>65</v>
      </c>
      <c r="F60" s="10" t="s">
        <v>92</v>
      </c>
      <c r="H60" s="9" t="s">
        <v>166</v>
      </c>
    </row>
    <row r="61" spans="1:11" x14ac:dyDescent="0.3">
      <c r="A61" s="9">
        <v>2024</v>
      </c>
      <c r="B61" s="9" t="s">
        <v>90</v>
      </c>
      <c r="C61" s="9">
        <v>500</v>
      </c>
      <c r="D61" s="9" t="s">
        <v>65</v>
      </c>
      <c r="E61" s="9">
        <v>500000</v>
      </c>
      <c r="F61" s="9" t="s">
        <v>81</v>
      </c>
      <c r="G61" s="9" t="s">
        <v>64</v>
      </c>
      <c r="H61" s="9" t="s">
        <v>166</v>
      </c>
    </row>
    <row r="62" spans="1:11" x14ac:dyDescent="0.3">
      <c r="A62" s="9">
        <v>2024</v>
      </c>
      <c r="B62" s="9" t="s">
        <v>90</v>
      </c>
      <c r="C62" s="9">
        <v>914.2</v>
      </c>
      <c r="D62" s="9" t="s">
        <v>65</v>
      </c>
      <c r="E62" s="9">
        <v>914206</v>
      </c>
      <c r="F62" s="9" t="s">
        <v>69</v>
      </c>
      <c r="G62" s="9" t="s">
        <v>78</v>
      </c>
      <c r="H62" s="9" t="s">
        <v>166</v>
      </c>
    </row>
    <row r="63" spans="1:11" ht="14.5" x14ac:dyDescent="0.35">
      <c r="A63" s="9">
        <v>2024</v>
      </c>
      <c r="B63" s="9" t="s">
        <v>90</v>
      </c>
      <c r="C63" s="9">
        <v>3873.6</v>
      </c>
      <c r="D63" s="9" t="s">
        <v>65</v>
      </c>
      <c r="E63" s="9">
        <v>3873626</v>
      </c>
      <c r="F63" s="9" t="s">
        <v>69</v>
      </c>
      <c r="G63" s="9" t="s">
        <v>91</v>
      </c>
      <c r="H63" s="9" t="s">
        <v>166</v>
      </c>
      <c r="J63"/>
      <c r="K63"/>
    </row>
    <row r="64" spans="1:11" ht="14.5" x14ac:dyDescent="0.35">
      <c r="A64" s="9">
        <v>2024</v>
      </c>
      <c r="B64" s="9" t="s">
        <v>96</v>
      </c>
      <c r="C64" s="9">
        <v>-122.3</v>
      </c>
      <c r="D64" s="9" t="s">
        <v>65</v>
      </c>
      <c r="F64" s="9" t="s">
        <v>69</v>
      </c>
      <c r="G64" s="9" t="s">
        <v>91</v>
      </c>
      <c r="H64" s="9" t="s">
        <v>166</v>
      </c>
      <c r="J64"/>
      <c r="K64"/>
    </row>
    <row r="65" spans="1:11" ht="14.5" x14ac:dyDescent="0.35">
      <c r="A65" s="9">
        <v>2024</v>
      </c>
      <c r="B65" s="9" t="s">
        <v>96</v>
      </c>
      <c r="C65" s="9">
        <v>-2673.2</v>
      </c>
      <c r="D65" s="9" t="s">
        <v>65</v>
      </c>
      <c r="F65" s="10" t="s">
        <v>92</v>
      </c>
      <c r="G65" s="9" t="s">
        <v>93</v>
      </c>
      <c r="H65" s="9" t="s">
        <v>166</v>
      </c>
      <c r="J65"/>
      <c r="K65"/>
    </row>
    <row r="66" spans="1:11" ht="14.5" x14ac:dyDescent="0.35">
      <c r="A66" s="9">
        <v>2024</v>
      </c>
      <c r="B66" s="9" t="s">
        <v>96</v>
      </c>
      <c r="C66" s="9">
        <v>494.7</v>
      </c>
      <c r="D66" s="9" t="s">
        <v>65</v>
      </c>
      <c r="E66" s="9">
        <v>494731</v>
      </c>
      <c r="F66" s="9" t="s">
        <v>69</v>
      </c>
      <c r="G66" s="9" t="s">
        <v>78</v>
      </c>
      <c r="H66" s="9" t="s">
        <v>166</v>
      </c>
      <c r="J66"/>
      <c r="K66"/>
    </row>
    <row r="67" spans="1:11" ht="14.5" x14ac:dyDescent="0.35">
      <c r="A67" s="9">
        <v>2024</v>
      </c>
      <c r="B67" s="9" t="s">
        <v>96</v>
      </c>
      <c r="C67" s="9">
        <v>500</v>
      </c>
      <c r="D67" s="9" t="s">
        <v>65</v>
      </c>
      <c r="E67" s="9">
        <v>500000</v>
      </c>
      <c r="F67" s="10" t="s">
        <v>81</v>
      </c>
      <c r="G67" s="9" t="s">
        <v>64</v>
      </c>
      <c r="H67" s="9" t="s">
        <v>166</v>
      </c>
      <c r="J67"/>
      <c r="K67"/>
    </row>
    <row r="68" spans="1:11" ht="14.5" x14ac:dyDescent="0.35">
      <c r="A68" s="9">
        <v>2024</v>
      </c>
      <c r="B68" s="9" t="s">
        <v>96</v>
      </c>
      <c r="C68" s="9">
        <v>6948.3</v>
      </c>
      <c r="D68" s="9" t="s">
        <v>65</v>
      </c>
      <c r="E68" s="9">
        <v>6948286</v>
      </c>
      <c r="F68" s="9" t="s">
        <v>66</v>
      </c>
      <c r="G68" s="9" t="s">
        <v>206</v>
      </c>
      <c r="H68" s="9" t="s">
        <v>166</v>
      </c>
      <c r="J68"/>
      <c r="K68"/>
    </row>
    <row r="69" spans="1:11" ht="14.5" x14ac:dyDescent="0.35">
      <c r="A69" s="9">
        <v>2024</v>
      </c>
      <c r="B69" s="9" t="s">
        <v>96</v>
      </c>
      <c r="C69" s="9">
        <v>9584.6</v>
      </c>
      <c r="D69" s="9" t="s">
        <v>65</v>
      </c>
      <c r="E69" s="9">
        <v>9584568</v>
      </c>
      <c r="F69" s="10" t="s">
        <v>81</v>
      </c>
      <c r="G69" s="9" t="s">
        <v>68</v>
      </c>
      <c r="H69" s="9" t="s">
        <v>166</v>
      </c>
      <c r="J69"/>
      <c r="K69"/>
    </row>
    <row r="70" spans="1:11" ht="14.5" x14ac:dyDescent="0.35">
      <c r="A70" s="9">
        <v>2024</v>
      </c>
      <c r="B70" s="9" t="s">
        <v>97</v>
      </c>
      <c r="C70" s="9">
        <v>-111.4</v>
      </c>
      <c r="D70" s="9" t="s">
        <v>65</v>
      </c>
      <c r="F70" s="9" t="s">
        <v>69</v>
      </c>
      <c r="G70" s="9" t="s">
        <v>91</v>
      </c>
      <c r="H70" s="9" t="s">
        <v>166</v>
      </c>
      <c r="J70"/>
      <c r="K70"/>
    </row>
    <row r="71" spans="1:11" ht="14.5" x14ac:dyDescent="0.35">
      <c r="A71" s="9">
        <v>2024</v>
      </c>
      <c r="B71" s="9" t="s">
        <v>97</v>
      </c>
      <c r="C71" s="9">
        <v>-1020.1</v>
      </c>
      <c r="D71" s="9" t="s">
        <v>65</v>
      </c>
      <c r="E71" s="11">
        <f>34948091*0.015</f>
        <v>524221.36499999999</v>
      </c>
      <c r="F71" s="10" t="s">
        <v>92</v>
      </c>
      <c r="G71" s="9" t="s">
        <v>93</v>
      </c>
      <c r="H71" s="9" t="s">
        <v>166</v>
      </c>
      <c r="J71"/>
      <c r="K71"/>
    </row>
    <row r="72" spans="1:11" ht="14.5" x14ac:dyDescent="0.35">
      <c r="A72" s="9">
        <v>2024</v>
      </c>
      <c r="B72" s="9" t="s">
        <v>97</v>
      </c>
      <c r="C72" s="9">
        <v>798.8</v>
      </c>
      <c r="D72" s="9" t="s">
        <v>65</v>
      </c>
      <c r="E72" s="9">
        <v>798819</v>
      </c>
      <c r="F72" s="9" t="s">
        <v>69</v>
      </c>
      <c r="G72" s="9" t="s">
        <v>78</v>
      </c>
      <c r="H72" s="9" t="s">
        <v>166</v>
      </c>
      <c r="J72"/>
      <c r="K72"/>
    </row>
    <row r="73" spans="1:11" ht="14.5" x14ac:dyDescent="0.35">
      <c r="A73" s="9">
        <v>2024</v>
      </c>
      <c r="B73" s="9" t="s">
        <v>97</v>
      </c>
      <c r="C73" s="9">
        <v>5408.4</v>
      </c>
      <c r="D73" s="9" t="s">
        <v>65</v>
      </c>
      <c r="E73" s="9">
        <v>5408378</v>
      </c>
      <c r="F73" s="9" t="s">
        <v>69</v>
      </c>
      <c r="G73" s="9" t="s">
        <v>91</v>
      </c>
      <c r="H73" s="9" t="s">
        <v>166</v>
      </c>
      <c r="J73"/>
      <c r="K73"/>
    </row>
    <row r="74" spans="1:11" ht="14.5" x14ac:dyDescent="0.35">
      <c r="A74" s="9">
        <v>2024</v>
      </c>
      <c r="B74" s="9" t="s">
        <v>97</v>
      </c>
      <c r="C74" s="9">
        <v>8686.1</v>
      </c>
      <c r="D74" s="9" t="s">
        <v>65</v>
      </c>
      <c r="E74" s="9">
        <v>8686092</v>
      </c>
      <c r="F74" s="9" t="s">
        <v>69</v>
      </c>
      <c r="G74" s="9" t="s">
        <v>70</v>
      </c>
      <c r="H74" s="9" t="s">
        <v>166</v>
      </c>
      <c r="J74"/>
      <c r="K74"/>
    </row>
    <row r="75" spans="1:11" ht="14.5" x14ac:dyDescent="0.35">
      <c r="A75" s="9">
        <v>2024</v>
      </c>
      <c r="B75" s="9" t="s">
        <v>97</v>
      </c>
      <c r="C75" s="9">
        <v>16290</v>
      </c>
      <c r="D75" s="9" t="s">
        <v>65</v>
      </c>
      <c r="E75" s="9">
        <v>16290000</v>
      </c>
      <c r="F75" s="9" t="s">
        <v>69</v>
      </c>
      <c r="G75" s="9" t="s">
        <v>84</v>
      </c>
      <c r="H75" s="9" t="s">
        <v>166</v>
      </c>
      <c r="J75"/>
      <c r="K75"/>
    </row>
    <row r="76" spans="1:11" ht="14.5" x14ac:dyDescent="0.35">
      <c r="A76" s="9">
        <v>2024</v>
      </c>
      <c r="B76" s="9" t="s">
        <v>101</v>
      </c>
      <c r="C76" s="9">
        <v>-15.5</v>
      </c>
      <c r="D76" s="9" t="s">
        <v>65</v>
      </c>
      <c r="F76" s="9" t="s">
        <v>69</v>
      </c>
      <c r="G76" s="9" t="s">
        <v>91</v>
      </c>
      <c r="H76" s="9" t="s">
        <v>166</v>
      </c>
      <c r="J76"/>
      <c r="K76"/>
    </row>
    <row r="77" spans="1:11" ht="14.5" x14ac:dyDescent="0.35">
      <c r="A77" s="9">
        <v>2024</v>
      </c>
      <c r="B77" s="9" t="s">
        <v>101</v>
      </c>
      <c r="C77" s="9">
        <v>1609.9</v>
      </c>
      <c r="D77" s="9" t="s">
        <v>65</v>
      </c>
      <c r="E77" s="9">
        <v>1609865</v>
      </c>
      <c r="F77" s="9" t="s">
        <v>69</v>
      </c>
      <c r="G77" s="9" t="s">
        <v>91</v>
      </c>
      <c r="H77" s="9" t="s">
        <v>166</v>
      </c>
      <c r="J77"/>
      <c r="K77"/>
    </row>
    <row r="78" spans="1:11" x14ac:dyDescent="0.3">
      <c r="A78" s="9">
        <v>2024</v>
      </c>
      <c r="B78" s="9" t="s">
        <v>101</v>
      </c>
      <c r="C78" s="9">
        <v>1994.2</v>
      </c>
      <c r="D78" s="9" t="s">
        <v>65</v>
      </c>
      <c r="E78" s="9">
        <v>1994162</v>
      </c>
      <c r="F78" s="9" t="s">
        <v>66</v>
      </c>
      <c r="G78" s="9" t="s">
        <v>67</v>
      </c>
      <c r="H78" s="9" t="s">
        <v>166</v>
      </c>
    </row>
    <row r="79" spans="1:11" x14ac:dyDescent="0.3">
      <c r="A79" s="9">
        <v>2024</v>
      </c>
      <c r="B79" s="9" t="s">
        <v>102</v>
      </c>
      <c r="C79" s="9">
        <v>-49.9</v>
      </c>
      <c r="D79" s="9" t="s">
        <v>65</v>
      </c>
      <c r="F79" s="9" t="s">
        <v>69</v>
      </c>
      <c r="G79" s="9" t="s">
        <v>91</v>
      </c>
      <c r="H79" s="9" t="s">
        <v>166</v>
      </c>
    </row>
    <row r="80" spans="1:11" x14ac:dyDescent="0.3">
      <c r="A80" s="9">
        <v>2024</v>
      </c>
      <c r="B80" s="9" t="s">
        <v>102</v>
      </c>
      <c r="C80" s="9">
        <v>1226.9000000000001</v>
      </c>
      <c r="D80" s="9" t="s">
        <v>65</v>
      </c>
      <c r="E80" s="9">
        <v>1226864</v>
      </c>
      <c r="F80" s="9" t="s">
        <v>69</v>
      </c>
      <c r="G80" s="9" t="s">
        <v>78</v>
      </c>
      <c r="H80" s="9" t="s">
        <v>166</v>
      </c>
    </row>
    <row r="81" spans="1:8" x14ac:dyDescent="0.3">
      <c r="A81" s="9">
        <v>2024</v>
      </c>
      <c r="B81" s="9" t="s">
        <v>102</v>
      </c>
      <c r="C81" s="9">
        <v>1893</v>
      </c>
      <c r="D81" s="9" t="s">
        <v>65</v>
      </c>
      <c r="E81" s="9">
        <v>1893011</v>
      </c>
      <c r="F81" s="9" t="s">
        <v>66</v>
      </c>
      <c r="G81" s="9" t="s">
        <v>67</v>
      </c>
      <c r="H81" s="9" t="s">
        <v>166</v>
      </c>
    </row>
    <row r="82" spans="1:8" x14ac:dyDescent="0.3">
      <c r="A82" s="9">
        <v>2024</v>
      </c>
      <c r="B82" s="9" t="s">
        <v>102</v>
      </c>
      <c r="C82" s="9">
        <v>12859.2</v>
      </c>
      <c r="D82" s="9" t="s">
        <v>65</v>
      </c>
      <c r="E82" s="9">
        <v>12859247</v>
      </c>
      <c r="F82" s="10" t="s">
        <v>81</v>
      </c>
      <c r="G82" s="9" t="s">
        <v>68</v>
      </c>
      <c r="H82" s="9" t="s">
        <v>166</v>
      </c>
    </row>
    <row r="83" spans="1:8" x14ac:dyDescent="0.3">
      <c r="A83" s="9">
        <v>2024</v>
      </c>
      <c r="B83" s="9" t="s">
        <v>103</v>
      </c>
      <c r="C83" s="9">
        <v>1580.4</v>
      </c>
      <c r="D83" s="9" t="s">
        <v>65</v>
      </c>
      <c r="E83" s="9">
        <v>1580376</v>
      </c>
      <c r="F83" s="9" t="s">
        <v>66</v>
      </c>
      <c r="G83" s="9" t="s">
        <v>67</v>
      </c>
      <c r="H83" s="9" t="s">
        <v>166</v>
      </c>
    </row>
    <row r="84" spans="1:8" x14ac:dyDescent="0.3">
      <c r="A84" s="9">
        <v>2024</v>
      </c>
      <c r="B84" s="9" t="s">
        <v>103</v>
      </c>
      <c r="C84" s="9">
        <v>4447.1000000000004</v>
      </c>
      <c r="D84" s="9" t="s">
        <v>65</v>
      </c>
      <c r="E84" s="9">
        <v>4447120</v>
      </c>
      <c r="F84" s="9" t="s">
        <v>69</v>
      </c>
      <c r="G84" s="9" t="s">
        <v>78</v>
      </c>
      <c r="H84" s="9" t="s">
        <v>166</v>
      </c>
    </row>
    <row r="85" spans="1:8" x14ac:dyDescent="0.3">
      <c r="A85" s="9">
        <v>2023</v>
      </c>
      <c r="B85" s="9" t="s">
        <v>104</v>
      </c>
      <c r="C85" s="9">
        <v>76841.3</v>
      </c>
      <c r="D85" s="9" t="s">
        <v>98</v>
      </c>
      <c r="E85" s="9">
        <v>76841289</v>
      </c>
      <c r="F85" s="9" t="s">
        <v>99</v>
      </c>
      <c r="G85" s="9" t="s">
        <v>100</v>
      </c>
      <c r="H85" s="9" t="s">
        <v>166</v>
      </c>
    </row>
    <row r="86" spans="1:8" x14ac:dyDescent="0.3">
      <c r="A86" s="9">
        <v>2023</v>
      </c>
      <c r="B86" s="9" t="s">
        <v>104</v>
      </c>
      <c r="C86" s="9">
        <v>7896.7</v>
      </c>
      <c r="D86" s="9" t="s">
        <v>65</v>
      </c>
      <c r="E86" s="9">
        <v>7896728</v>
      </c>
      <c r="F86" s="10" t="s">
        <v>81</v>
      </c>
      <c r="G86" s="9" t="s">
        <v>106</v>
      </c>
      <c r="H86" s="9" t="s">
        <v>166</v>
      </c>
    </row>
    <row r="87" spans="1:8" x14ac:dyDescent="0.3">
      <c r="A87" s="9">
        <v>2023</v>
      </c>
      <c r="B87" s="9" t="s">
        <v>104</v>
      </c>
      <c r="C87" s="9">
        <v>34497.5</v>
      </c>
      <c r="D87" s="9" t="s">
        <v>65</v>
      </c>
      <c r="E87" s="9">
        <v>34497540</v>
      </c>
      <c r="F87" s="9" t="s">
        <v>82</v>
      </c>
      <c r="G87" s="9" t="s">
        <v>83</v>
      </c>
      <c r="H87" s="9" t="s">
        <v>166</v>
      </c>
    </row>
    <row r="88" spans="1:8" x14ac:dyDescent="0.3">
      <c r="A88" s="9">
        <v>2023</v>
      </c>
      <c r="B88" s="9" t="s">
        <v>104</v>
      </c>
      <c r="C88" s="9">
        <v>2286.6999999999998</v>
      </c>
      <c r="D88" s="9" t="s">
        <v>65</v>
      </c>
      <c r="E88" s="9">
        <v>2286725</v>
      </c>
      <c r="F88" s="9" t="s">
        <v>69</v>
      </c>
      <c r="G88" s="9" t="s">
        <v>91</v>
      </c>
      <c r="H88" s="9" t="s">
        <v>166</v>
      </c>
    </row>
    <row r="89" spans="1:8" x14ac:dyDescent="0.3">
      <c r="A89" s="9">
        <v>2023</v>
      </c>
      <c r="B89" s="9" t="s">
        <v>104</v>
      </c>
      <c r="C89" s="9">
        <v>2926.5</v>
      </c>
      <c r="D89" s="9" t="s">
        <v>65</v>
      </c>
      <c r="E89" s="9">
        <v>2926533</v>
      </c>
      <c r="F89" s="9" t="s">
        <v>66</v>
      </c>
      <c r="G89" s="9" t="s">
        <v>67</v>
      </c>
      <c r="H89" s="9" t="s">
        <v>166</v>
      </c>
    </row>
    <row r="90" spans="1:8" x14ac:dyDescent="0.3">
      <c r="A90" s="9">
        <v>2023</v>
      </c>
      <c r="B90" s="9" t="s">
        <v>104</v>
      </c>
      <c r="C90" s="9">
        <v>49570</v>
      </c>
      <c r="D90" s="9" t="s">
        <v>65</v>
      </c>
      <c r="E90" s="9">
        <v>49569991</v>
      </c>
      <c r="F90" s="10" t="s">
        <v>81</v>
      </c>
      <c r="G90" s="9" t="s">
        <v>68</v>
      </c>
      <c r="H90" s="9" t="s">
        <v>166</v>
      </c>
    </row>
    <row r="91" spans="1:8" x14ac:dyDescent="0.3">
      <c r="A91" s="9">
        <v>2023</v>
      </c>
      <c r="B91" s="9" t="s">
        <v>104</v>
      </c>
      <c r="C91" s="9">
        <v>1600</v>
      </c>
      <c r="D91" s="9" t="s">
        <v>65</v>
      </c>
      <c r="E91" s="9">
        <v>1600000</v>
      </c>
      <c r="F91" s="10" t="s">
        <v>81</v>
      </c>
      <c r="G91" s="9" t="s">
        <v>64</v>
      </c>
      <c r="H91" s="9" t="s">
        <v>166</v>
      </c>
    </row>
    <row r="92" spans="1:8" x14ac:dyDescent="0.3">
      <c r="A92" s="9">
        <v>2023</v>
      </c>
      <c r="B92" s="9" t="s">
        <v>104</v>
      </c>
      <c r="C92" s="9">
        <v>8720.7000000000007</v>
      </c>
      <c r="D92" s="9" t="s">
        <v>65</v>
      </c>
      <c r="E92" s="9">
        <v>8720735</v>
      </c>
      <c r="F92" s="9" t="s">
        <v>69</v>
      </c>
      <c r="G92" s="9" t="s">
        <v>78</v>
      </c>
      <c r="H92" s="9" t="s">
        <v>166</v>
      </c>
    </row>
    <row r="93" spans="1:8" x14ac:dyDescent="0.3">
      <c r="A93" s="9">
        <v>2024</v>
      </c>
      <c r="B93" s="9" t="s">
        <v>121</v>
      </c>
      <c r="C93" s="9">
        <v>-62.1</v>
      </c>
      <c r="D93" s="9" t="s">
        <v>65</v>
      </c>
      <c r="F93" s="9" t="s">
        <v>69</v>
      </c>
      <c r="G93" s="9" t="s">
        <v>91</v>
      </c>
    </row>
    <row r="94" spans="1:8" x14ac:dyDescent="0.3">
      <c r="A94" s="9">
        <v>2023</v>
      </c>
      <c r="B94" s="9" t="s">
        <v>104</v>
      </c>
      <c r="C94" s="9">
        <f>445811.6-453055.5</f>
        <v>-7243.9000000000233</v>
      </c>
      <c r="D94" s="9" t="s">
        <v>65</v>
      </c>
      <c r="F94" s="10" t="s">
        <v>81</v>
      </c>
      <c r="H94" s="9" t="s">
        <v>166</v>
      </c>
    </row>
    <row r="95" spans="1:8" x14ac:dyDescent="0.3">
      <c r="A95" s="9">
        <v>2023</v>
      </c>
      <c r="B95" s="9" t="s">
        <v>104</v>
      </c>
      <c r="C95" s="9">
        <f>99515-99563.6652</f>
        <v>-48.665200000003097</v>
      </c>
      <c r="D95" s="9" t="s">
        <v>65</v>
      </c>
      <c r="F95" s="9" t="s">
        <v>69</v>
      </c>
      <c r="H95" s="9" t="s">
        <v>166</v>
      </c>
    </row>
    <row r="96" spans="1:8" x14ac:dyDescent="0.3">
      <c r="A96" s="9">
        <v>2023</v>
      </c>
      <c r="B96" s="9" t="s">
        <v>109</v>
      </c>
      <c r="C96" s="9">
        <v>10797.1</v>
      </c>
      <c r="D96" s="10" t="s">
        <v>65</v>
      </c>
      <c r="E96" s="9">
        <v>10797144</v>
      </c>
      <c r="F96" s="9" t="s">
        <v>69</v>
      </c>
      <c r="G96" s="10" t="s">
        <v>70</v>
      </c>
      <c r="H96" s="9" t="s">
        <v>166</v>
      </c>
    </row>
    <row r="97" spans="1:8" x14ac:dyDescent="0.3">
      <c r="A97" s="9">
        <v>2023</v>
      </c>
      <c r="B97" s="9" t="s">
        <v>109</v>
      </c>
      <c r="C97" s="9">
        <v>1551.5</v>
      </c>
      <c r="D97" s="10" t="s">
        <v>65</v>
      </c>
      <c r="E97" s="9">
        <v>1551604</v>
      </c>
      <c r="F97" s="9" t="s">
        <v>69</v>
      </c>
      <c r="G97" s="9" t="s">
        <v>91</v>
      </c>
      <c r="H97" s="9" t="s">
        <v>166</v>
      </c>
    </row>
    <row r="98" spans="1:8" x14ac:dyDescent="0.3">
      <c r="A98" s="9">
        <v>2023</v>
      </c>
      <c r="B98" s="9" t="s">
        <v>109</v>
      </c>
      <c r="C98" s="9">
        <v>12000</v>
      </c>
      <c r="D98" s="10" t="s">
        <v>65</v>
      </c>
      <c r="E98" s="9">
        <v>12000000</v>
      </c>
      <c r="F98" s="10" t="s">
        <v>81</v>
      </c>
      <c r="G98" s="9" t="s">
        <v>68</v>
      </c>
      <c r="H98" s="9" t="s">
        <v>166</v>
      </c>
    </row>
    <row r="99" spans="1:8" x14ac:dyDescent="0.3">
      <c r="A99" s="9">
        <v>2023</v>
      </c>
      <c r="B99" s="9" t="s">
        <v>109</v>
      </c>
      <c r="C99" s="9">
        <v>6572.5</v>
      </c>
      <c r="D99" s="10" t="s">
        <v>65</v>
      </c>
      <c r="E99" s="9">
        <v>6572481</v>
      </c>
      <c r="F99" s="9" t="s">
        <v>66</v>
      </c>
      <c r="G99" s="9" t="s">
        <v>67</v>
      </c>
      <c r="H99" s="9" t="s">
        <v>166</v>
      </c>
    </row>
    <row r="100" spans="1:8" x14ac:dyDescent="0.3">
      <c r="A100" s="9">
        <v>2023</v>
      </c>
      <c r="B100" s="9" t="s">
        <v>109</v>
      </c>
      <c r="C100" s="9">
        <v>1800</v>
      </c>
      <c r="D100" s="10" t="s">
        <v>65</v>
      </c>
      <c r="E100" s="9">
        <v>1800000</v>
      </c>
      <c r="F100" s="10" t="s">
        <v>81</v>
      </c>
      <c r="G100" s="10" t="s">
        <v>64</v>
      </c>
      <c r="H100" s="9" t="s">
        <v>166</v>
      </c>
    </row>
    <row r="101" spans="1:8" x14ac:dyDescent="0.3">
      <c r="A101" s="9">
        <v>2023</v>
      </c>
      <c r="B101" s="9" t="s">
        <v>111</v>
      </c>
      <c r="C101" s="9">
        <v>500</v>
      </c>
      <c r="D101" s="10" t="s">
        <v>65</v>
      </c>
      <c r="E101" s="9">
        <v>500000</v>
      </c>
      <c r="F101" s="9" t="s">
        <v>69</v>
      </c>
      <c r="G101" s="9" t="s">
        <v>91</v>
      </c>
      <c r="H101" s="9" t="s">
        <v>166</v>
      </c>
    </row>
    <row r="102" spans="1:8" x14ac:dyDescent="0.3">
      <c r="A102" s="9">
        <v>2023</v>
      </c>
      <c r="B102" s="9" t="s">
        <v>111</v>
      </c>
      <c r="C102" s="9">
        <v>21091.3</v>
      </c>
      <c r="D102" s="10" t="s">
        <v>65</v>
      </c>
      <c r="E102" s="9">
        <v>21091262</v>
      </c>
      <c r="F102" s="9" t="s">
        <v>66</v>
      </c>
      <c r="G102" s="9" t="s">
        <v>67</v>
      </c>
      <c r="H102" s="9" t="s">
        <v>166</v>
      </c>
    </row>
    <row r="103" spans="1:8" x14ac:dyDescent="0.3">
      <c r="A103" s="9">
        <v>2023</v>
      </c>
      <c r="B103" s="9" t="s">
        <v>111</v>
      </c>
      <c r="C103" s="9">
        <v>400</v>
      </c>
      <c r="D103" s="10" t="s">
        <v>65</v>
      </c>
      <c r="E103" s="9">
        <v>400000</v>
      </c>
      <c r="F103" s="10" t="s">
        <v>81</v>
      </c>
      <c r="G103" s="9" t="s">
        <v>64</v>
      </c>
      <c r="H103" s="9" t="s">
        <v>166</v>
      </c>
    </row>
    <row r="104" spans="1:8" x14ac:dyDescent="0.3">
      <c r="A104" s="9">
        <v>2023</v>
      </c>
      <c r="B104" s="9" t="s">
        <v>77</v>
      </c>
      <c r="C104" s="9">
        <v>1100</v>
      </c>
      <c r="D104" s="10" t="s">
        <v>65</v>
      </c>
      <c r="E104" s="10">
        <v>1100000</v>
      </c>
      <c r="F104" s="10" t="s">
        <v>81</v>
      </c>
      <c r="G104" s="10" t="s">
        <v>64</v>
      </c>
      <c r="H104" s="9" t="s">
        <v>166</v>
      </c>
    </row>
    <row r="105" spans="1:8" x14ac:dyDescent="0.3">
      <c r="A105" s="9">
        <v>2023</v>
      </c>
      <c r="B105" s="9" t="s">
        <v>77</v>
      </c>
      <c r="C105" s="9">
        <v>13767</v>
      </c>
      <c r="D105" s="10" t="s">
        <v>65</v>
      </c>
      <c r="E105" s="10">
        <v>13766983</v>
      </c>
      <c r="F105" s="9" t="s">
        <v>66</v>
      </c>
      <c r="G105" s="10" t="s">
        <v>67</v>
      </c>
      <c r="H105" s="9" t="s">
        <v>166</v>
      </c>
    </row>
    <row r="106" spans="1:8" x14ac:dyDescent="0.3">
      <c r="A106" s="9">
        <v>2023</v>
      </c>
      <c r="B106" s="9" t="s">
        <v>77</v>
      </c>
      <c r="C106" s="9">
        <v>19984.900000000001</v>
      </c>
      <c r="D106" s="10" t="s">
        <v>65</v>
      </c>
      <c r="E106" s="10">
        <v>19984872</v>
      </c>
      <c r="F106" s="10" t="s">
        <v>81</v>
      </c>
      <c r="G106" s="10" t="s">
        <v>68</v>
      </c>
      <c r="H106" s="9" t="s">
        <v>166</v>
      </c>
    </row>
    <row r="107" spans="1:8" x14ac:dyDescent="0.3">
      <c r="A107" s="9">
        <v>2023</v>
      </c>
      <c r="B107" s="9" t="s">
        <v>77</v>
      </c>
      <c r="C107" s="9">
        <v>1E-3</v>
      </c>
      <c r="D107" s="10" t="s">
        <v>65</v>
      </c>
      <c r="E107" s="10">
        <v>1</v>
      </c>
      <c r="F107" s="9" t="s">
        <v>69</v>
      </c>
      <c r="G107" s="10" t="s">
        <v>70</v>
      </c>
      <c r="H107" s="9" t="s">
        <v>166</v>
      </c>
    </row>
    <row r="108" spans="1:8" x14ac:dyDescent="0.3">
      <c r="A108" s="9">
        <v>2023</v>
      </c>
      <c r="B108" s="9" t="s">
        <v>77</v>
      </c>
      <c r="C108" s="9">
        <v>21237.1</v>
      </c>
      <c r="D108" s="10" t="s">
        <v>65</v>
      </c>
      <c r="E108" s="9">
        <v>21237134</v>
      </c>
      <c r="F108" s="9" t="s">
        <v>69</v>
      </c>
      <c r="G108" s="9" t="s">
        <v>78</v>
      </c>
      <c r="H108" s="9" t="s">
        <v>166</v>
      </c>
    </row>
    <row r="109" spans="1:8" x14ac:dyDescent="0.3">
      <c r="A109" s="9">
        <v>2023</v>
      </c>
      <c r="B109" s="9" t="s">
        <v>80</v>
      </c>
      <c r="C109" s="9">
        <v>2241.6</v>
      </c>
      <c r="D109" s="10" t="s">
        <v>65</v>
      </c>
      <c r="E109" s="9">
        <v>2241607</v>
      </c>
      <c r="F109" s="9" t="s">
        <v>66</v>
      </c>
      <c r="G109" s="9" t="s">
        <v>67</v>
      </c>
      <c r="H109" s="9" t="s">
        <v>166</v>
      </c>
    </row>
    <row r="110" spans="1:8" x14ac:dyDescent="0.3">
      <c r="A110" s="9">
        <v>2023</v>
      </c>
      <c r="B110" s="9" t="s">
        <v>80</v>
      </c>
      <c r="C110" s="9">
        <v>4600</v>
      </c>
      <c r="D110" s="10" t="s">
        <v>65</v>
      </c>
      <c r="E110" s="9">
        <v>4600000</v>
      </c>
      <c r="F110" s="10" t="s">
        <v>81</v>
      </c>
      <c r="G110" s="9" t="s">
        <v>68</v>
      </c>
      <c r="H110" s="9" t="s">
        <v>166</v>
      </c>
    </row>
    <row r="111" spans="1:8" x14ac:dyDescent="0.3">
      <c r="A111" s="9">
        <v>2023</v>
      </c>
      <c r="B111" s="9" t="s">
        <v>80</v>
      </c>
      <c r="C111" s="9">
        <v>123643</v>
      </c>
      <c r="D111" s="10" t="s">
        <v>65</v>
      </c>
      <c r="E111" s="9">
        <v>123643009</v>
      </c>
      <c r="F111" s="9" t="s">
        <v>82</v>
      </c>
      <c r="G111" s="9" t="s">
        <v>83</v>
      </c>
      <c r="H111" s="9" t="s">
        <v>166</v>
      </c>
    </row>
    <row r="112" spans="1:8" x14ac:dyDescent="0.3">
      <c r="A112" s="9">
        <v>2023</v>
      </c>
      <c r="B112" s="9" t="s">
        <v>80</v>
      </c>
      <c r="C112" s="9">
        <v>12766</v>
      </c>
      <c r="D112" s="10" t="s">
        <v>65</v>
      </c>
      <c r="E112" s="9">
        <v>12766000</v>
      </c>
      <c r="F112" s="9" t="s">
        <v>69</v>
      </c>
      <c r="G112" s="9" t="s">
        <v>84</v>
      </c>
      <c r="H112" s="9" t="s">
        <v>166</v>
      </c>
    </row>
    <row r="113" spans="1:8" x14ac:dyDescent="0.3">
      <c r="A113" s="9">
        <v>2023</v>
      </c>
      <c r="B113" s="9" t="s">
        <v>80</v>
      </c>
      <c r="C113" s="9">
        <v>16054.2</v>
      </c>
      <c r="D113" s="10" t="s">
        <v>65</v>
      </c>
      <c r="E113" s="9">
        <v>16054214</v>
      </c>
      <c r="F113" s="9" t="s">
        <v>69</v>
      </c>
      <c r="G113" s="9" t="s">
        <v>70</v>
      </c>
      <c r="H113" s="9" t="s">
        <v>166</v>
      </c>
    </row>
    <row r="114" spans="1:8" x14ac:dyDescent="0.3">
      <c r="A114" s="9">
        <v>2023</v>
      </c>
      <c r="B114" s="9" t="s">
        <v>90</v>
      </c>
      <c r="C114" s="9">
        <v>3134.9</v>
      </c>
      <c r="D114" s="10" t="s">
        <v>65</v>
      </c>
      <c r="E114" s="9">
        <v>3134869</v>
      </c>
      <c r="F114" s="9" t="s">
        <v>66</v>
      </c>
      <c r="G114" s="9" t="s">
        <v>67</v>
      </c>
      <c r="H114" s="9" t="s">
        <v>166</v>
      </c>
    </row>
    <row r="115" spans="1:8" x14ac:dyDescent="0.3">
      <c r="A115" s="9">
        <v>2023</v>
      </c>
      <c r="B115" s="9" t="s">
        <v>90</v>
      </c>
      <c r="C115" s="9">
        <v>2000</v>
      </c>
      <c r="D115" s="10" t="s">
        <v>65</v>
      </c>
      <c r="E115" s="9">
        <v>2000000</v>
      </c>
      <c r="F115" s="9" t="s">
        <v>69</v>
      </c>
      <c r="G115" s="9" t="s">
        <v>91</v>
      </c>
      <c r="H115" s="9" t="s">
        <v>166</v>
      </c>
    </row>
    <row r="116" spans="1:8" x14ac:dyDescent="0.3">
      <c r="A116" s="9">
        <v>2023</v>
      </c>
      <c r="B116" s="9" t="s">
        <v>96</v>
      </c>
      <c r="C116" s="9">
        <v>9361.9</v>
      </c>
      <c r="D116" s="10" t="s">
        <v>65</v>
      </c>
      <c r="E116" s="11">
        <v>9361922</v>
      </c>
      <c r="F116" s="9" t="s">
        <v>66</v>
      </c>
      <c r="G116" s="9" t="s">
        <v>67</v>
      </c>
      <c r="H116" s="9" t="s">
        <v>166</v>
      </c>
    </row>
    <row r="117" spans="1:8" x14ac:dyDescent="0.3">
      <c r="A117" s="9">
        <v>2023</v>
      </c>
      <c r="B117" s="9" t="s">
        <v>96</v>
      </c>
      <c r="C117" s="9">
        <v>28300</v>
      </c>
      <c r="D117" s="10" t="s">
        <v>65</v>
      </c>
      <c r="E117" s="9">
        <v>28300000</v>
      </c>
      <c r="F117" s="10" t="s">
        <v>81</v>
      </c>
      <c r="G117" s="9" t="s">
        <v>68</v>
      </c>
      <c r="H117" s="9" t="s">
        <v>166</v>
      </c>
    </row>
    <row r="118" spans="1:8" x14ac:dyDescent="0.3">
      <c r="A118" s="9">
        <v>2023</v>
      </c>
      <c r="B118" s="9" t="s">
        <v>96</v>
      </c>
      <c r="C118" s="9">
        <v>17248.8</v>
      </c>
      <c r="D118" s="10" t="s">
        <v>65</v>
      </c>
      <c r="E118" s="9">
        <v>17248770</v>
      </c>
      <c r="F118" s="9" t="s">
        <v>82</v>
      </c>
      <c r="G118" s="9" t="s">
        <v>83</v>
      </c>
      <c r="H118" s="9" t="s">
        <v>166</v>
      </c>
    </row>
    <row r="119" spans="1:8" x14ac:dyDescent="0.3">
      <c r="A119" s="9">
        <v>2023</v>
      </c>
      <c r="B119" s="9" t="s">
        <v>96</v>
      </c>
      <c r="C119" s="9">
        <v>1578.2</v>
      </c>
      <c r="D119" s="10" t="s">
        <v>65</v>
      </c>
      <c r="E119" s="9">
        <v>1578243</v>
      </c>
      <c r="F119" s="9" t="s">
        <v>69</v>
      </c>
      <c r="G119" s="9" t="s">
        <v>91</v>
      </c>
      <c r="H119" s="9" t="s">
        <v>166</v>
      </c>
    </row>
    <row r="120" spans="1:8" x14ac:dyDescent="0.3">
      <c r="A120" s="9">
        <v>2023</v>
      </c>
      <c r="B120" s="9" t="s">
        <v>96</v>
      </c>
      <c r="C120" s="9">
        <v>15450</v>
      </c>
      <c r="D120" s="10" t="s">
        <v>65</v>
      </c>
      <c r="E120" s="9">
        <v>15450000</v>
      </c>
      <c r="F120" s="9" t="s">
        <v>69</v>
      </c>
      <c r="G120" s="9" t="s">
        <v>84</v>
      </c>
      <c r="H120" s="9" t="s">
        <v>166</v>
      </c>
    </row>
    <row r="121" spans="1:8" x14ac:dyDescent="0.3">
      <c r="A121" s="9">
        <v>2023</v>
      </c>
      <c r="B121" s="9" t="s">
        <v>96</v>
      </c>
      <c r="C121" s="9">
        <v>6622.2</v>
      </c>
      <c r="D121" s="10" t="s">
        <v>65</v>
      </c>
      <c r="E121" s="9">
        <v>6622214</v>
      </c>
      <c r="F121" s="9" t="s">
        <v>69</v>
      </c>
      <c r="G121" s="9" t="s">
        <v>70</v>
      </c>
      <c r="H121" s="9" t="s">
        <v>166</v>
      </c>
    </row>
    <row r="122" spans="1:8" x14ac:dyDescent="0.3">
      <c r="A122" s="9">
        <v>2023</v>
      </c>
      <c r="B122" s="9" t="s">
        <v>97</v>
      </c>
      <c r="C122" s="9">
        <v>5675.3</v>
      </c>
      <c r="D122" s="10" t="s">
        <v>65</v>
      </c>
      <c r="E122" s="9">
        <v>5675261</v>
      </c>
      <c r="F122" s="9" t="s">
        <v>66</v>
      </c>
      <c r="G122" s="9" t="s">
        <v>67</v>
      </c>
      <c r="H122" s="9" t="s">
        <v>166</v>
      </c>
    </row>
    <row r="123" spans="1:8" x14ac:dyDescent="0.3">
      <c r="A123" s="9">
        <v>2023</v>
      </c>
      <c r="B123" s="9" t="s">
        <v>97</v>
      </c>
      <c r="C123" s="9">
        <v>10000</v>
      </c>
      <c r="D123" s="9" t="s">
        <v>98</v>
      </c>
      <c r="E123" s="9">
        <v>10000000</v>
      </c>
      <c r="F123" s="9" t="s">
        <v>99</v>
      </c>
      <c r="G123" s="9" t="s">
        <v>100</v>
      </c>
      <c r="H123" s="9" t="s">
        <v>166</v>
      </c>
    </row>
    <row r="124" spans="1:8" x14ac:dyDescent="0.3">
      <c r="A124" s="9">
        <v>2023</v>
      </c>
      <c r="B124" s="9" t="s">
        <v>101</v>
      </c>
      <c r="C124" s="9">
        <v>6343.1</v>
      </c>
      <c r="D124" s="10" t="s">
        <v>65</v>
      </c>
      <c r="E124" s="9">
        <v>6343082</v>
      </c>
      <c r="F124" s="9" t="s">
        <v>66</v>
      </c>
      <c r="G124" s="9" t="s">
        <v>67</v>
      </c>
      <c r="H124" s="9" t="s">
        <v>166</v>
      </c>
    </row>
    <row r="125" spans="1:8" x14ac:dyDescent="0.3">
      <c r="A125" s="9">
        <v>2023</v>
      </c>
      <c r="B125" s="9" t="s">
        <v>101</v>
      </c>
      <c r="C125" s="9">
        <v>1700</v>
      </c>
      <c r="D125" s="10" t="s">
        <v>65</v>
      </c>
      <c r="E125" s="9">
        <v>1700000</v>
      </c>
      <c r="F125" s="9" t="s">
        <v>81</v>
      </c>
      <c r="G125" s="9" t="s">
        <v>68</v>
      </c>
      <c r="H125" s="9" t="s">
        <v>166</v>
      </c>
    </row>
    <row r="126" spans="1:8" x14ac:dyDescent="0.3">
      <c r="A126" s="9">
        <v>2023</v>
      </c>
      <c r="B126" s="9" t="s">
        <v>102</v>
      </c>
      <c r="C126" s="9">
        <v>11886</v>
      </c>
      <c r="D126" s="10" t="s">
        <v>65</v>
      </c>
      <c r="E126" s="9">
        <v>11886000</v>
      </c>
      <c r="F126" s="9" t="s">
        <v>66</v>
      </c>
      <c r="G126" s="9" t="s">
        <v>67</v>
      </c>
      <c r="H126" s="9" t="s">
        <v>166</v>
      </c>
    </row>
    <row r="127" spans="1:8" x14ac:dyDescent="0.3">
      <c r="A127" s="9">
        <v>2022</v>
      </c>
      <c r="B127" s="9" t="s">
        <v>104</v>
      </c>
      <c r="C127" s="9">
        <v>115000</v>
      </c>
      <c r="D127" s="10" t="s">
        <v>65</v>
      </c>
      <c r="E127" s="9">
        <v>115000000</v>
      </c>
      <c r="F127" s="9" t="s">
        <v>81</v>
      </c>
      <c r="G127" s="9" t="s">
        <v>105</v>
      </c>
      <c r="H127" s="9" t="s">
        <v>166</v>
      </c>
    </row>
    <row r="128" spans="1:8" x14ac:dyDescent="0.3">
      <c r="A128" s="9">
        <v>2022</v>
      </c>
      <c r="B128" s="9" t="s">
        <v>104</v>
      </c>
      <c r="C128" s="9">
        <v>66940.600000000006</v>
      </c>
      <c r="D128" s="10" t="s">
        <v>65</v>
      </c>
      <c r="E128" s="9">
        <v>66940563</v>
      </c>
      <c r="F128" s="9" t="s">
        <v>81</v>
      </c>
      <c r="G128" s="9" t="s">
        <v>68</v>
      </c>
      <c r="H128" s="9" t="s">
        <v>166</v>
      </c>
    </row>
    <row r="129" spans="1:8" x14ac:dyDescent="0.3">
      <c r="A129" s="9">
        <v>2022</v>
      </c>
      <c r="B129" s="9" t="s">
        <v>104</v>
      </c>
      <c r="C129" s="9">
        <v>17703.3</v>
      </c>
      <c r="D129" s="10" t="s">
        <v>65</v>
      </c>
      <c r="E129" s="9">
        <v>17703272</v>
      </c>
      <c r="F129" s="9" t="s">
        <v>81</v>
      </c>
      <c r="G129" s="9" t="s">
        <v>106</v>
      </c>
      <c r="H129" s="9" t="s">
        <v>166</v>
      </c>
    </row>
    <row r="130" spans="1:8" x14ac:dyDescent="0.3">
      <c r="A130" s="9">
        <v>2022</v>
      </c>
      <c r="B130" s="9" t="s">
        <v>109</v>
      </c>
      <c r="C130" s="9">
        <v>35000</v>
      </c>
      <c r="D130" s="10" t="s">
        <v>65</v>
      </c>
      <c r="E130" s="9">
        <v>35000000</v>
      </c>
      <c r="F130" s="9" t="s">
        <v>81</v>
      </c>
      <c r="G130" s="9" t="s">
        <v>105</v>
      </c>
      <c r="H130" s="9" t="s">
        <v>166</v>
      </c>
    </row>
    <row r="131" spans="1:8" x14ac:dyDescent="0.3">
      <c r="A131" s="9">
        <v>2022</v>
      </c>
      <c r="B131" s="9" t="s">
        <v>109</v>
      </c>
      <c r="C131" s="9">
        <v>18300</v>
      </c>
      <c r="D131" s="9" t="s">
        <v>98</v>
      </c>
      <c r="E131" s="9">
        <v>18300000</v>
      </c>
      <c r="F131" s="9" t="s">
        <v>99</v>
      </c>
      <c r="G131" s="9" t="s">
        <v>100</v>
      </c>
      <c r="H131" s="9" t="s">
        <v>166</v>
      </c>
    </row>
    <row r="132" spans="1:8" x14ac:dyDescent="0.3">
      <c r="A132" s="9">
        <v>2022</v>
      </c>
      <c r="B132" s="9" t="s">
        <v>109</v>
      </c>
      <c r="C132" s="9">
        <v>12457.5</v>
      </c>
      <c r="D132" s="10" t="s">
        <v>65</v>
      </c>
      <c r="E132" s="9">
        <v>12457517</v>
      </c>
      <c r="F132" s="9" t="s">
        <v>110</v>
      </c>
      <c r="G132" s="9" t="s">
        <v>67</v>
      </c>
      <c r="H132" s="9" t="s">
        <v>166</v>
      </c>
    </row>
    <row r="133" spans="1:8" x14ac:dyDescent="0.3">
      <c r="A133" s="9">
        <v>2022</v>
      </c>
      <c r="B133" s="9" t="s">
        <v>111</v>
      </c>
      <c r="C133" s="9">
        <v>5031.2</v>
      </c>
      <c r="D133" s="10" t="s">
        <v>65</v>
      </c>
      <c r="E133" s="9">
        <v>5031235</v>
      </c>
      <c r="F133" s="9" t="s">
        <v>110</v>
      </c>
      <c r="G133" s="9" t="s">
        <v>67</v>
      </c>
      <c r="H133" s="9" t="s">
        <v>166</v>
      </c>
    </row>
    <row r="134" spans="1:8" x14ac:dyDescent="0.3">
      <c r="A134" s="9">
        <v>2022</v>
      </c>
      <c r="B134" s="9" t="s">
        <v>77</v>
      </c>
      <c r="C134" s="9">
        <v>4607.3</v>
      </c>
      <c r="D134" s="10" t="s">
        <v>65</v>
      </c>
      <c r="E134" s="9">
        <v>4607263</v>
      </c>
      <c r="F134" s="9" t="s">
        <v>110</v>
      </c>
      <c r="G134" s="9" t="s">
        <v>67</v>
      </c>
      <c r="H134" s="9" t="s">
        <v>166</v>
      </c>
    </row>
    <row r="135" spans="1:8" x14ac:dyDescent="0.3">
      <c r="A135" s="9">
        <v>2022</v>
      </c>
      <c r="B135" s="9" t="s">
        <v>80</v>
      </c>
      <c r="C135" s="9">
        <v>2078.6</v>
      </c>
      <c r="D135" s="10" t="s">
        <v>65</v>
      </c>
      <c r="E135" s="9">
        <v>2078621</v>
      </c>
      <c r="F135" s="9" t="s">
        <v>110</v>
      </c>
      <c r="G135" s="9" t="s">
        <v>67</v>
      </c>
      <c r="H135" s="9" t="s">
        <v>166</v>
      </c>
    </row>
    <row r="136" spans="1:8" x14ac:dyDescent="0.3">
      <c r="A136" s="9">
        <v>2022</v>
      </c>
      <c r="B136" s="9" t="s">
        <v>90</v>
      </c>
      <c r="C136" s="9">
        <v>1569.6</v>
      </c>
      <c r="D136" s="10" t="s">
        <v>65</v>
      </c>
      <c r="E136" s="9">
        <v>1569640</v>
      </c>
      <c r="F136" s="9" t="s">
        <v>110</v>
      </c>
      <c r="G136" s="9" t="s">
        <v>67</v>
      </c>
      <c r="H136" s="9" t="s">
        <v>166</v>
      </c>
    </row>
    <row r="137" spans="1:8" x14ac:dyDescent="0.3">
      <c r="A137" s="9">
        <v>2022</v>
      </c>
      <c r="B137" s="9" t="s">
        <v>96</v>
      </c>
      <c r="C137" s="9">
        <v>4203.7</v>
      </c>
      <c r="D137" s="10" t="s">
        <v>65</v>
      </c>
      <c r="E137" s="9">
        <v>4203745</v>
      </c>
      <c r="F137" s="9" t="s">
        <v>110</v>
      </c>
      <c r="G137" s="9" t="s">
        <v>67</v>
      </c>
      <c r="H137" s="9" t="s">
        <v>166</v>
      </c>
    </row>
    <row r="138" spans="1:8" x14ac:dyDescent="0.3">
      <c r="A138" s="9">
        <v>2022</v>
      </c>
      <c r="B138" s="9" t="s">
        <v>97</v>
      </c>
      <c r="C138" s="9">
        <v>3038</v>
      </c>
      <c r="D138" s="10" t="s">
        <v>65</v>
      </c>
      <c r="E138" s="9">
        <v>3037979</v>
      </c>
      <c r="F138" s="9" t="s">
        <v>110</v>
      </c>
      <c r="G138" s="9" t="s">
        <v>67</v>
      </c>
      <c r="H138" s="9" t="s">
        <v>166</v>
      </c>
    </row>
    <row r="139" spans="1:8" x14ac:dyDescent="0.3">
      <c r="A139" s="9">
        <v>2022</v>
      </c>
      <c r="B139" s="9" t="s">
        <v>101</v>
      </c>
      <c r="C139" s="9">
        <v>4014</v>
      </c>
      <c r="D139" s="10" t="s">
        <v>65</v>
      </c>
      <c r="E139" s="9">
        <v>4014000</v>
      </c>
      <c r="F139" s="9" t="s">
        <v>110</v>
      </c>
      <c r="G139" s="9" t="s">
        <v>67</v>
      </c>
      <c r="H139" s="9" t="s">
        <v>166</v>
      </c>
    </row>
    <row r="140" spans="1:8" x14ac:dyDescent="0.3">
      <c r="A140" s="9">
        <v>2021</v>
      </c>
      <c r="B140" s="9" t="s">
        <v>96</v>
      </c>
      <c r="C140" s="9">
        <v>13830</v>
      </c>
      <c r="D140" s="9" t="s">
        <v>98</v>
      </c>
      <c r="E140" s="9">
        <v>13830000</v>
      </c>
      <c r="F140" s="9" t="s">
        <v>99</v>
      </c>
      <c r="G140" s="9" t="s">
        <v>115</v>
      </c>
      <c r="H140" s="9" t="s">
        <v>166</v>
      </c>
    </row>
    <row r="141" spans="1:8" x14ac:dyDescent="0.3">
      <c r="A141" s="9">
        <v>2021</v>
      </c>
      <c r="B141" s="9" t="s">
        <v>97</v>
      </c>
      <c r="C141" s="9">
        <v>1670</v>
      </c>
      <c r="D141" s="9" t="s">
        <v>98</v>
      </c>
      <c r="E141" s="9">
        <v>1670000</v>
      </c>
      <c r="F141" s="9" t="s">
        <v>99</v>
      </c>
      <c r="G141" s="9" t="s">
        <v>115</v>
      </c>
      <c r="H141" s="9" t="s">
        <v>166</v>
      </c>
    </row>
    <row r="142" spans="1:8" x14ac:dyDescent="0.3">
      <c r="A142" s="9">
        <v>2020</v>
      </c>
      <c r="B142" s="9" t="s">
        <v>104</v>
      </c>
      <c r="C142" s="9">
        <v>24500</v>
      </c>
      <c r="D142" s="9" t="s">
        <v>98</v>
      </c>
      <c r="E142" s="9">
        <v>24500000</v>
      </c>
      <c r="F142" s="9" t="s">
        <v>99</v>
      </c>
      <c r="G142" s="9" t="s">
        <v>115</v>
      </c>
      <c r="H142" s="9" t="s">
        <v>166</v>
      </c>
    </row>
    <row r="143" spans="1:8" x14ac:dyDescent="0.3">
      <c r="A143" s="9">
        <v>2020</v>
      </c>
      <c r="B143" s="9" t="s">
        <v>80</v>
      </c>
      <c r="C143" s="9">
        <v>2150</v>
      </c>
      <c r="D143" s="9" t="s">
        <v>65</v>
      </c>
      <c r="E143" s="9">
        <v>2150000</v>
      </c>
      <c r="F143" s="9" t="s">
        <v>81</v>
      </c>
      <c r="G143" s="9" t="s">
        <v>64</v>
      </c>
      <c r="H143" s="9" t="s">
        <v>166</v>
      </c>
    </row>
    <row r="144" spans="1:8" x14ac:dyDescent="0.3">
      <c r="A144" s="9">
        <v>2020</v>
      </c>
      <c r="B144" s="9" t="s">
        <v>80</v>
      </c>
      <c r="C144" s="9">
        <v>7359.9</v>
      </c>
      <c r="D144" s="9" t="s">
        <v>98</v>
      </c>
      <c r="E144" s="9">
        <v>7359900</v>
      </c>
      <c r="F144" s="9" t="s">
        <v>99</v>
      </c>
      <c r="G144" s="9" t="s">
        <v>115</v>
      </c>
      <c r="H144" s="9" t="s">
        <v>166</v>
      </c>
    </row>
    <row r="145" spans="1:8" x14ac:dyDescent="0.3">
      <c r="A145" s="9">
        <v>2020</v>
      </c>
      <c r="B145" s="9" t="s">
        <v>90</v>
      </c>
      <c r="C145" s="9">
        <v>13600</v>
      </c>
      <c r="D145" s="9" t="s">
        <v>65</v>
      </c>
      <c r="E145" s="9">
        <v>13600000</v>
      </c>
      <c r="F145" s="9" t="s">
        <v>81</v>
      </c>
      <c r="G145" s="9" t="s">
        <v>64</v>
      </c>
      <c r="H145" s="9" t="s">
        <v>166</v>
      </c>
    </row>
    <row r="146" spans="1:8" x14ac:dyDescent="0.3">
      <c r="A146" s="9">
        <v>2020</v>
      </c>
      <c r="B146" s="9" t="s">
        <v>90</v>
      </c>
      <c r="C146" s="9">
        <v>6500</v>
      </c>
      <c r="D146" s="9" t="s">
        <v>98</v>
      </c>
      <c r="E146" s="9">
        <v>6500000</v>
      </c>
      <c r="F146" s="9" t="s">
        <v>99</v>
      </c>
      <c r="G146" s="9" t="s">
        <v>115</v>
      </c>
      <c r="H146" s="9" t="s">
        <v>166</v>
      </c>
    </row>
    <row r="147" spans="1:8" x14ac:dyDescent="0.3">
      <c r="A147" s="9">
        <v>2020</v>
      </c>
      <c r="B147" s="9" t="s">
        <v>96</v>
      </c>
      <c r="C147" s="9">
        <v>3000</v>
      </c>
      <c r="D147" s="9" t="s">
        <v>65</v>
      </c>
      <c r="E147" s="9">
        <v>3000000</v>
      </c>
      <c r="F147" s="9" t="s">
        <v>81</v>
      </c>
      <c r="G147" s="9" t="s">
        <v>64</v>
      </c>
      <c r="H147" s="9" t="s">
        <v>166</v>
      </c>
    </row>
    <row r="148" spans="1:8" x14ac:dyDescent="0.3">
      <c r="A148" s="9">
        <v>2020</v>
      </c>
      <c r="B148" s="9" t="s">
        <v>97</v>
      </c>
      <c r="C148" s="9">
        <v>6640.1</v>
      </c>
      <c r="D148" s="9" t="s">
        <v>98</v>
      </c>
      <c r="E148" s="9">
        <v>6640100</v>
      </c>
      <c r="F148" s="9" t="s">
        <v>99</v>
      </c>
      <c r="G148" s="9" t="s">
        <v>115</v>
      </c>
      <c r="H148" s="9" t="s">
        <v>166</v>
      </c>
    </row>
    <row r="149" spans="1:8" x14ac:dyDescent="0.3">
      <c r="A149" s="9">
        <v>2020</v>
      </c>
      <c r="B149" s="9" t="s">
        <v>101</v>
      </c>
      <c r="C149" s="9">
        <v>3000</v>
      </c>
      <c r="D149" s="9" t="s">
        <v>65</v>
      </c>
      <c r="E149" s="9">
        <v>3000000</v>
      </c>
      <c r="F149" s="9" t="s">
        <v>81</v>
      </c>
      <c r="G149" s="9" t="s">
        <v>64</v>
      </c>
      <c r="H149" s="9" t="s">
        <v>166</v>
      </c>
    </row>
    <row r="150" spans="1:8" x14ac:dyDescent="0.3">
      <c r="A150" s="9">
        <v>2020</v>
      </c>
      <c r="B150" s="9" t="s">
        <v>103</v>
      </c>
      <c r="C150" s="9">
        <v>6000</v>
      </c>
      <c r="D150" s="9" t="s">
        <v>65</v>
      </c>
      <c r="E150" s="9">
        <v>6000000</v>
      </c>
      <c r="F150" s="9" t="s">
        <v>81</v>
      </c>
      <c r="G150" s="9" t="s">
        <v>64</v>
      </c>
      <c r="H150" s="9" t="s">
        <v>166</v>
      </c>
    </row>
    <row r="151" spans="1:8" x14ac:dyDescent="0.3">
      <c r="A151" s="9">
        <v>2019</v>
      </c>
      <c r="B151" s="9" t="s">
        <v>109</v>
      </c>
      <c r="C151" s="9">
        <v>4000</v>
      </c>
      <c r="D151" s="9" t="s">
        <v>65</v>
      </c>
      <c r="E151" s="9">
        <v>4000000</v>
      </c>
      <c r="F151" s="9" t="s">
        <v>81</v>
      </c>
      <c r="G151" s="9" t="s">
        <v>64</v>
      </c>
      <c r="H151" s="9" t="s">
        <v>166</v>
      </c>
    </row>
    <row r="152" spans="1:8" x14ac:dyDescent="0.3">
      <c r="A152" s="9">
        <v>2019</v>
      </c>
      <c r="B152" s="9" t="s">
        <v>109</v>
      </c>
      <c r="C152" s="9">
        <v>4055.2</v>
      </c>
      <c r="D152" s="9" t="s">
        <v>98</v>
      </c>
      <c r="E152" s="9">
        <v>4055202</v>
      </c>
      <c r="F152" s="9" t="s">
        <v>99</v>
      </c>
      <c r="G152" s="9" t="s">
        <v>115</v>
      </c>
      <c r="H152" s="9" t="s">
        <v>166</v>
      </c>
    </row>
    <row r="153" spans="1:8" x14ac:dyDescent="0.3">
      <c r="A153" s="9">
        <v>2019</v>
      </c>
      <c r="B153" s="9" t="s">
        <v>111</v>
      </c>
      <c r="C153" s="9">
        <v>2500</v>
      </c>
      <c r="D153" s="9" t="s">
        <v>65</v>
      </c>
      <c r="E153" s="9">
        <v>2500000</v>
      </c>
      <c r="F153" s="9" t="s">
        <v>81</v>
      </c>
      <c r="G153" s="9" t="s">
        <v>64</v>
      </c>
      <c r="H153" s="9" t="s">
        <v>166</v>
      </c>
    </row>
    <row r="154" spans="1:8" x14ac:dyDescent="0.3">
      <c r="A154" s="9">
        <v>2019</v>
      </c>
      <c r="B154" s="9" t="s">
        <v>111</v>
      </c>
      <c r="C154" s="9">
        <v>15444.8</v>
      </c>
      <c r="D154" s="9" t="s">
        <v>98</v>
      </c>
      <c r="E154" s="9">
        <v>15444798</v>
      </c>
      <c r="F154" s="9" t="s">
        <v>99</v>
      </c>
      <c r="G154" s="9" t="s">
        <v>115</v>
      </c>
      <c r="H154" s="9" t="s">
        <v>166</v>
      </c>
    </row>
    <row r="155" spans="1:8" x14ac:dyDescent="0.3">
      <c r="A155" s="9">
        <v>2019</v>
      </c>
      <c r="B155" s="9" t="s">
        <v>77</v>
      </c>
      <c r="C155" s="9">
        <v>2000</v>
      </c>
      <c r="D155" s="9" t="s">
        <v>65</v>
      </c>
      <c r="E155" s="9">
        <v>2000000</v>
      </c>
      <c r="F155" s="9" t="s">
        <v>81</v>
      </c>
      <c r="G155" s="9" t="s">
        <v>64</v>
      </c>
      <c r="H155" s="9" t="s">
        <v>166</v>
      </c>
    </row>
    <row r="156" spans="1:8" x14ac:dyDescent="0.3">
      <c r="A156" s="9">
        <v>2019</v>
      </c>
      <c r="B156" s="9" t="s">
        <v>90</v>
      </c>
      <c r="C156" s="9">
        <v>500</v>
      </c>
      <c r="D156" s="9" t="s">
        <v>65</v>
      </c>
      <c r="E156" s="9">
        <v>500000</v>
      </c>
      <c r="F156" s="9" t="s">
        <v>81</v>
      </c>
      <c r="G156" s="9" t="s">
        <v>64</v>
      </c>
      <c r="H156" s="9" t="s">
        <v>166</v>
      </c>
    </row>
    <row r="157" spans="1:8" x14ac:dyDescent="0.3">
      <c r="A157" s="9">
        <v>2019</v>
      </c>
      <c r="B157" s="9" t="s">
        <v>96</v>
      </c>
      <c r="C157" s="9">
        <v>2000</v>
      </c>
      <c r="D157" s="9" t="s">
        <v>65</v>
      </c>
      <c r="E157" s="9">
        <v>2000000</v>
      </c>
      <c r="F157" s="9" t="s">
        <v>81</v>
      </c>
      <c r="G157" s="9" t="s">
        <v>64</v>
      </c>
      <c r="H157" s="9" t="s">
        <v>166</v>
      </c>
    </row>
    <row r="158" spans="1:8" x14ac:dyDescent="0.3">
      <c r="A158" s="9">
        <v>2019</v>
      </c>
      <c r="B158" s="9" t="s">
        <v>97</v>
      </c>
      <c r="C158" s="9">
        <v>3000</v>
      </c>
      <c r="D158" s="9" t="s">
        <v>65</v>
      </c>
      <c r="E158" s="9">
        <v>3000000</v>
      </c>
      <c r="F158" s="9" t="s">
        <v>81</v>
      </c>
      <c r="G158" s="9" t="s">
        <v>64</v>
      </c>
      <c r="H158" s="9" t="s">
        <v>166</v>
      </c>
    </row>
    <row r="159" spans="1:8" x14ac:dyDescent="0.3">
      <c r="A159" s="9">
        <v>2019</v>
      </c>
      <c r="B159" s="9" t="s">
        <v>121</v>
      </c>
      <c r="C159" s="9">
        <v>2000</v>
      </c>
      <c r="D159" s="9" t="s">
        <v>65</v>
      </c>
      <c r="E159" s="9">
        <v>2000000</v>
      </c>
      <c r="F159" s="9" t="s">
        <v>81</v>
      </c>
      <c r="G159" s="9" t="s">
        <v>64</v>
      </c>
      <c r="H159" s="9" t="s">
        <v>166</v>
      </c>
    </row>
    <row r="160" spans="1:8" x14ac:dyDescent="0.3">
      <c r="A160" s="9">
        <v>2018</v>
      </c>
      <c r="B160" s="9" t="s">
        <v>104</v>
      </c>
      <c r="C160" s="9">
        <v>12240.8</v>
      </c>
      <c r="D160" s="9" t="s">
        <v>65</v>
      </c>
      <c r="E160" s="9">
        <v>12240800</v>
      </c>
      <c r="F160" s="9" t="s">
        <v>81</v>
      </c>
      <c r="G160" s="9" t="s">
        <v>64</v>
      </c>
      <c r="H160" s="9" t="s">
        <v>166</v>
      </c>
    </row>
    <row r="161" spans="1:8" x14ac:dyDescent="0.3">
      <c r="A161" s="9">
        <v>2018</v>
      </c>
      <c r="B161" s="9" t="s">
        <v>104</v>
      </c>
      <c r="C161" s="9">
        <v>20000</v>
      </c>
      <c r="D161" s="9" t="s">
        <v>98</v>
      </c>
      <c r="E161" s="9">
        <v>20000000</v>
      </c>
      <c r="F161" s="9" t="s">
        <v>99</v>
      </c>
      <c r="G161" s="9" t="s">
        <v>115</v>
      </c>
      <c r="H161" s="9" t="s">
        <v>166</v>
      </c>
    </row>
    <row r="162" spans="1:8" x14ac:dyDescent="0.3">
      <c r="A162" s="9">
        <v>2018</v>
      </c>
      <c r="B162" s="9" t="s">
        <v>109</v>
      </c>
      <c r="C162" s="9">
        <v>12759.2</v>
      </c>
      <c r="D162" s="9" t="s">
        <v>65</v>
      </c>
      <c r="E162" s="9">
        <v>12759200</v>
      </c>
      <c r="F162" s="9" t="s">
        <v>81</v>
      </c>
      <c r="G162" s="9" t="s">
        <v>64</v>
      </c>
      <c r="H162" s="9" t="s">
        <v>166</v>
      </c>
    </row>
    <row r="163" spans="1:8" x14ac:dyDescent="0.3">
      <c r="A163" s="9">
        <v>2018</v>
      </c>
      <c r="B163" s="9" t="s">
        <v>111</v>
      </c>
      <c r="C163" s="9">
        <v>2000</v>
      </c>
      <c r="D163" s="9" t="s">
        <v>65</v>
      </c>
      <c r="E163" s="9">
        <v>2000000</v>
      </c>
      <c r="F163" s="9" t="s">
        <v>81</v>
      </c>
      <c r="G163" s="9" t="s">
        <v>64</v>
      </c>
      <c r="H163" s="9" t="s">
        <v>166</v>
      </c>
    </row>
    <row r="164" spans="1:8" x14ac:dyDescent="0.3">
      <c r="A164" s="9">
        <v>2018</v>
      </c>
      <c r="B164" s="9" t="s">
        <v>77</v>
      </c>
      <c r="C164" s="9">
        <v>2000</v>
      </c>
      <c r="D164" s="9" t="s">
        <v>65</v>
      </c>
      <c r="E164" s="9">
        <v>2000000</v>
      </c>
      <c r="F164" s="9" t="s">
        <v>81</v>
      </c>
      <c r="G164" s="9" t="s">
        <v>64</v>
      </c>
      <c r="H164" s="9" t="s">
        <v>166</v>
      </c>
    </row>
    <row r="165" spans="1:8" x14ac:dyDescent="0.3">
      <c r="A165" s="9">
        <v>2017</v>
      </c>
      <c r="B165" s="9" t="s">
        <v>80</v>
      </c>
      <c r="C165" s="9">
        <v>16710</v>
      </c>
      <c r="D165" s="9" t="s">
        <v>65</v>
      </c>
      <c r="E165" s="9">
        <v>16710000</v>
      </c>
      <c r="F165" s="9" t="s">
        <v>81</v>
      </c>
      <c r="G165" s="9" t="s">
        <v>64</v>
      </c>
      <c r="H165" s="9" t="s">
        <v>166</v>
      </c>
    </row>
    <row r="166" spans="1:8" x14ac:dyDescent="0.3">
      <c r="A166" s="9">
        <v>2015</v>
      </c>
      <c r="B166" s="9" t="s">
        <v>104</v>
      </c>
      <c r="C166" s="9">
        <v>118600</v>
      </c>
      <c r="D166" s="9" t="s">
        <v>65</v>
      </c>
      <c r="E166" s="9">
        <v>1750000</v>
      </c>
      <c r="F166" s="9" t="s">
        <v>113</v>
      </c>
      <c r="G166" s="9" t="s">
        <v>114</v>
      </c>
      <c r="H166" s="9" t="s">
        <v>166</v>
      </c>
    </row>
    <row r="167" spans="1:8" x14ac:dyDescent="0.3">
      <c r="A167" s="9">
        <v>2015</v>
      </c>
      <c r="B167" s="9" t="s">
        <v>109</v>
      </c>
      <c r="C167" s="9">
        <v>75000</v>
      </c>
      <c r="D167" s="9" t="s">
        <v>65</v>
      </c>
      <c r="E167" s="9">
        <v>1156206</v>
      </c>
      <c r="F167" s="9" t="s">
        <v>85</v>
      </c>
      <c r="G167" s="10" t="s">
        <v>87</v>
      </c>
      <c r="H167" s="9" t="s">
        <v>166</v>
      </c>
    </row>
    <row r="168" spans="1:8" x14ac:dyDescent="0.3">
      <c r="A168" s="9">
        <v>2015</v>
      </c>
      <c r="B168" s="9" t="s">
        <v>102</v>
      </c>
      <c r="C168" s="9">
        <v>50000</v>
      </c>
      <c r="D168" s="9" t="s">
        <v>98</v>
      </c>
      <c r="E168" s="9">
        <v>50000000</v>
      </c>
      <c r="F168" s="9" t="s">
        <v>99</v>
      </c>
      <c r="G168" s="9" t="s">
        <v>115</v>
      </c>
      <c r="H168" s="9" t="s">
        <v>166</v>
      </c>
    </row>
    <row r="169" spans="1:8" x14ac:dyDescent="0.3">
      <c r="A169" s="9">
        <v>2015</v>
      </c>
      <c r="B169" s="9" t="s">
        <v>102</v>
      </c>
      <c r="C169" s="9">
        <v>57500</v>
      </c>
      <c r="D169" s="9" t="s">
        <v>98</v>
      </c>
      <c r="E169" s="9">
        <v>57500000</v>
      </c>
      <c r="F169" s="9" t="s">
        <v>123</v>
      </c>
      <c r="G169" s="9" t="s">
        <v>124</v>
      </c>
      <c r="H169" s="9" t="s">
        <v>166</v>
      </c>
    </row>
    <row r="170" spans="1:8" x14ac:dyDescent="0.3">
      <c r="A170" s="9">
        <v>2015</v>
      </c>
      <c r="B170" s="9" t="s">
        <v>103</v>
      </c>
      <c r="C170" s="9">
        <v>75000</v>
      </c>
      <c r="D170" s="9" t="s">
        <v>65</v>
      </c>
      <c r="E170" s="9">
        <v>1207024</v>
      </c>
      <c r="F170" s="9" t="s">
        <v>85</v>
      </c>
      <c r="G170" s="10" t="s">
        <v>87</v>
      </c>
      <c r="H170" s="9" t="s">
        <v>166</v>
      </c>
    </row>
    <row r="171" spans="1:8" x14ac:dyDescent="0.3">
      <c r="A171" s="9">
        <v>2014</v>
      </c>
      <c r="B171" s="9" t="s">
        <v>104</v>
      </c>
      <c r="C171" s="9">
        <v>1080</v>
      </c>
      <c r="D171" s="9" t="s">
        <v>65</v>
      </c>
      <c r="E171" s="9">
        <v>1080000</v>
      </c>
      <c r="F171" s="9" t="s">
        <v>107</v>
      </c>
      <c r="G171" s="9" t="s">
        <v>108</v>
      </c>
      <c r="H171" s="9" t="s">
        <v>166</v>
      </c>
    </row>
    <row r="172" spans="1:8" x14ac:dyDescent="0.3">
      <c r="A172" s="9">
        <v>2014</v>
      </c>
      <c r="B172" s="9" t="s">
        <v>104</v>
      </c>
      <c r="C172" s="9">
        <v>4050</v>
      </c>
      <c r="D172" s="9" t="s">
        <v>65</v>
      </c>
      <c r="E172" s="9">
        <v>4050000</v>
      </c>
      <c r="F172" s="9" t="s">
        <v>125</v>
      </c>
      <c r="G172" s="9" t="s">
        <v>126</v>
      </c>
      <c r="H172" s="9" t="s">
        <v>166</v>
      </c>
    </row>
    <row r="173" spans="1:8" x14ac:dyDescent="0.3">
      <c r="A173" s="9">
        <v>2023</v>
      </c>
      <c r="B173" s="9" t="s">
        <v>111</v>
      </c>
      <c r="C173" s="9">
        <v>-0.02</v>
      </c>
      <c r="D173" s="9" t="s">
        <v>65</v>
      </c>
      <c r="E173" s="9">
        <f>20000/(2000000/2000000)</f>
        <v>20000</v>
      </c>
      <c r="F173" s="10" t="s">
        <v>69</v>
      </c>
      <c r="G173" s="9" t="s">
        <v>91</v>
      </c>
      <c r="H173" s="9" t="s">
        <v>166</v>
      </c>
    </row>
    <row r="174" spans="1:8" x14ac:dyDescent="0.3">
      <c r="A174" s="9">
        <v>2023</v>
      </c>
      <c r="B174" s="9" t="s">
        <v>111</v>
      </c>
      <c r="C174" s="9">
        <v>-524.20000000000005</v>
      </c>
      <c r="D174" s="9" t="s">
        <v>65</v>
      </c>
      <c r="E174" s="11">
        <f>34948091*0.015</f>
        <v>524221.36499999999</v>
      </c>
      <c r="F174" s="9" t="s">
        <v>92</v>
      </c>
      <c r="G174" s="9" t="s">
        <v>93</v>
      </c>
      <c r="H174" s="9" t="s">
        <v>166</v>
      </c>
    </row>
    <row r="175" spans="1:8" x14ac:dyDescent="0.3">
      <c r="A175" s="9">
        <v>2023</v>
      </c>
      <c r="B175" s="9" t="s">
        <v>77</v>
      </c>
      <c r="C175" s="9">
        <v>-2298.9</v>
      </c>
      <c r="D175" s="9" t="s">
        <v>65</v>
      </c>
      <c r="E175" s="11">
        <f>2298929*1</f>
        <v>2298929</v>
      </c>
      <c r="F175" s="10" t="s">
        <v>86</v>
      </c>
      <c r="G175" s="9" t="s">
        <v>88</v>
      </c>
      <c r="H175" s="9" t="s">
        <v>166</v>
      </c>
    </row>
    <row r="176" spans="1:8" x14ac:dyDescent="0.3">
      <c r="A176" s="9">
        <v>2023</v>
      </c>
      <c r="B176" s="9" t="s">
        <v>77</v>
      </c>
      <c r="C176" s="9">
        <v>-1.5800000000000002E-2</v>
      </c>
      <c r="D176" s="9" t="s">
        <v>65</v>
      </c>
      <c r="E176" s="11">
        <f>15800/(1578243000/1578243)</f>
        <v>15.8</v>
      </c>
      <c r="F176" s="10" t="s">
        <v>69</v>
      </c>
      <c r="G176" s="9" t="s">
        <v>89</v>
      </c>
      <c r="H176" s="9" t="s">
        <v>166</v>
      </c>
    </row>
    <row r="177" spans="1:8" x14ac:dyDescent="0.3">
      <c r="A177" s="9">
        <v>2023</v>
      </c>
      <c r="B177" s="9" t="s">
        <v>80</v>
      </c>
      <c r="C177" s="10">
        <v>-6775.9</v>
      </c>
      <c r="D177" s="9" t="s">
        <v>65</v>
      </c>
      <c r="E177" s="11">
        <f>1207024*0.0588</f>
        <v>70973.011199999994</v>
      </c>
      <c r="F177" s="9" t="s">
        <v>85</v>
      </c>
      <c r="G177" s="10" t="s">
        <v>87</v>
      </c>
      <c r="H177" s="9" t="s">
        <v>166</v>
      </c>
    </row>
    <row r="178" spans="1:8" x14ac:dyDescent="0.3">
      <c r="A178" s="9">
        <v>2023</v>
      </c>
      <c r="B178" s="9" t="s">
        <v>90</v>
      </c>
      <c r="C178" s="9">
        <v>-524.20000000000005</v>
      </c>
      <c r="D178" s="10" t="s">
        <v>65</v>
      </c>
      <c r="E178" s="11">
        <f>34948091*0.015</f>
        <v>524221.36499999999</v>
      </c>
      <c r="F178" s="10" t="s">
        <v>92</v>
      </c>
      <c r="G178" s="9" t="s">
        <v>93</v>
      </c>
      <c r="H178" s="9" t="s">
        <v>166</v>
      </c>
    </row>
    <row r="179" spans="1:8" x14ac:dyDescent="0.3">
      <c r="A179" s="9">
        <v>2023</v>
      </c>
      <c r="B179" s="9" t="s">
        <v>90</v>
      </c>
      <c r="C179" s="9">
        <v>-11851.9</v>
      </c>
      <c r="D179" s="10" t="s">
        <v>65</v>
      </c>
      <c r="E179" s="11">
        <v>11851945</v>
      </c>
      <c r="F179" s="9" t="s">
        <v>94</v>
      </c>
      <c r="G179" s="9" t="s">
        <v>95</v>
      </c>
      <c r="H179" s="9" t="s">
        <v>166</v>
      </c>
    </row>
    <row r="180" spans="1:8" x14ac:dyDescent="0.3">
      <c r="A180" s="9">
        <v>2023</v>
      </c>
      <c r="B180" s="9" t="s">
        <v>96</v>
      </c>
      <c r="C180" s="10">
        <v>-5498.3</v>
      </c>
      <c r="D180" s="9" t="s">
        <v>65</v>
      </c>
      <c r="E180" s="11">
        <f>1156206*0.0588</f>
        <v>67984.912799999991</v>
      </c>
      <c r="F180" s="9" t="s">
        <v>85</v>
      </c>
      <c r="G180" s="10" t="s">
        <v>87</v>
      </c>
      <c r="H180" s="9" t="s">
        <v>166</v>
      </c>
    </row>
    <row r="181" spans="1:8" x14ac:dyDescent="0.3">
      <c r="A181" s="9">
        <v>2023</v>
      </c>
      <c r="B181" s="9" t="s">
        <v>103</v>
      </c>
      <c r="C181" s="9">
        <v>-5353.7</v>
      </c>
      <c r="D181" s="9" t="s">
        <v>65</v>
      </c>
      <c r="E181" s="11">
        <f>1207024*0.0588</f>
        <v>70973.011199999994</v>
      </c>
      <c r="F181" s="9" t="s">
        <v>85</v>
      </c>
      <c r="G181" s="10" t="s">
        <v>87</v>
      </c>
      <c r="H181" s="9" t="s">
        <v>166</v>
      </c>
    </row>
    <row r="182" spans="1:8" x14ac:dyDescent="0.3">
      <c r="A182" s="9">
        <v>2022</v>
      </c>
      <c r="B182" s="9" t="s">
        <v>104</v>
      </c>
      <c r="C182" s="9">
        <v>-4199.8</v>
      </c>
      <c r="D182" s="9" t="s">
        <v>65</v>
      </c>
      <c r="E182" s="11">
        <f>1156206*0.0588</f>
        <v>67984.912799999991</v>
      </c>
      <c r="F182" s="9" t="s">
        <v>85</v>
      </c>
      <c r="G182" s="10" t="s">
        <v>87</v>
      </c>
      <c r="H182" s="9" t="s">
        <v>166</v>
      </c>
    </row>
    <row r="183" spans="1:8" x14ac:dyDescent="0.3">
      <c r="A183" s="9">
        <v>2022</v>
      </c>
      <c r="B183" s="9" t="s">
        <v>104</v>
      </c>
      <c r="C183" s="9">
        <v>-1080</v>
      </c>
      <c r="D183" s="9" t="s">
        <v>65</v>
      </c>
      <c r="E183" s="11">
        <f>1080000*1</f>
        <v>1080000</v>
      </c>
      <c r="F183" s="9" t="s">
        <v>107</v>
      </c>
      <c r="G183" s="9" t="s">
        <v>108</v>
      </c>
      <c r="H183" s="9" t="s">
        <v>166</v>
      </c>
    </row>
    <row r="184" spans="1:8" x14ac:dyDescent="0.3">
      <c r="A184" s="9">
        <v>2022</v>
      </c>
      <c r="B184" s="9" t="s">
        <v>80</v>
      </c>
      <c r="C184" s="9">
        <v>-4284.2</v>
      </c>
      <c r="D184" s="9" t="s">
        <v>65</v>
      </c>
      <c r="E184" s="11">
        <f>1207024*0.0588</f>
        <v>70973.011199999994</v>
      </c>
      <c r="F184" s="9" t="s">
        <v>85</v>
      </c>
      <c r="G184" s="10" t="s">
        <v>87</v>
      </c>
      <c r="H184" s="9" t="s">
        <v>166</v>
      </c>
    </row>
    <row r="185" spans="1:8" x14ac:dyDescent="0.3">
      <c r="A185" s="9">
        <v>2022</v>
      </c>
      <c r="B185" s="9" t="s">
        <v>102</v>
      </c>
      <c r="C185" s="9">
        <v>-6640.2</v>
      </c>
      <c r="D185" s="9" t="s">
        <v>65</v>
      </c>
      <c r="E185" s="11">
        <f>1207024*0.0588</f>
        <v>70973.011199999994</v>
      </c>
      <c r="F185" s="9" t="s">
        <v>85</v>
      </c>
      <c r="G185" s="10" t="s">
        <v>87</v>
      </c>
      <c r="H185" s="9" t="s">
        <v>166</v>
      </c>
    </row>
    <row r="186" spans="1:8" x14ac:dyDescent="0.3">
      <c r="A186" s="9">
        <v>2022</v>
      </c>
      <c r="B186" s="9" t="s">
        <v>103</v>
      </c>
      <c r="C186" s="9">
        <f>-(49898.6+91903.4)</f>
        <v>-141802</v>
      </c>
      <c r="D186" s="9" t="s">
        <v>65</v>
      </c>
      <c r="E186" s="11">
        <v>1750000</v>
      </c>
      <c r="F186" s="9" t="s">
        <v>113</v>
      </c>
      <c r="G186" s="9" t="s">
        <v>114</v>
      </c>
      <c r="H186" s="9" t="s">
        <v>166</v>
      </c>
    </row>
  </sheetData>
  <autoFilter ref="A1:G186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6" sqref="D6"/>
    </sheetView>
  </sheetViews>
  <sheetFormatPr defaultRowHeight="14.5" x14ac:dyDescent="0.35"/>
  <cols>
    <col min="1" max="1" width="30.26953125" customWidth="1"/>
    <col min="2" max="2" width="10.81640625" bestFit="1" customWidth="1"/>
    <col min="3" max="4" width="8.81640625" bestFit="1" customWidth="1"/>
    <col min="5" max="5" width="10.36328125" bestFit="1" customWidth="1"/>
    <col min="6" max="6" width="8.81640625" bestFit="1" customWidth="1"/>
    <col min="7" max="8" width="11.26953125" customWidth="1"/>
    <col min="9" max="9" width="45.36328125" customWidth="1"/>
    <col min="10" max="10" width="12.26953125" customWidth="1"/>
    <col min="11" max="11" width="12.36328125" customWidth="1"/>
  </cols>
  <sheetData>
    <row r="1" spans="1:11" ht="52" x14ac:dyDescent="0.35">
      <c r="A1" s="28" t="s">
        <v>191</v>
      </c>
      <c r="B1" s="28" t="s">
        <v>195</v>
      </c>
      <c r="C1" s="28" t="s">
        <v>196</v>
      </c>
      <c r="D1" s="28" t="s">
        <v>197</v>
      </c>
      <c r="E1" s="28" t="s">
        <v>198</v>
      </c>
      <c r="F1" s="28" t="s">
        <v>199</v>
      </c>
      <c r="G1" s="28" t="s">
        <v>200</v>
      </c>
      <c r="H1" s="31" t="s">
        <v>236</v>
      </c>
      <c r="I1" s="28" t="s">
        <v>202</v>
      </c>
      <c r="J1" s="28" t="s">
        <v>193</v>
      </c>
      <c r="K1" s="28" t="s">
        <v>76</v>
      </c>
    </row>
    <row r="2" spans="1:11" ht="39.5" x14ac:dyDescent="0.35">
      <c r="A2" s="23" t="s">
        <v>192</v>
      </c>
      <c r="B2" s="23">
        <v>4915000</v>
      </c>
      <c r="C2" s="23">
        <v>900000</v>
      </c>
      <c r="D2" s="23">
        <f>Main_!AI21</f>
        <v>437923</v>
      </c>
      <c r="E2" s="29">
        <f>D2/C2</f>
        <v>0.48658111111111113</v>
      </c>
      <c r="F2" s="23">
        <f>C2-D2</f>
        <v>462077</v>
      </c>
      <c r="G2" s="23" t="s">
        <v>201</v>
      </c>
      <c r="H2" s="23">
        <f>213000-(Main_!AI21-Main_!AD21)</f>
        <v>1367</v>
      </c>
      <c r="I2" s="23" t="s">
        <v>203</v>
      </c>
      <c r="J2" s="24" t="s">
        <v>194</v>
      </c>
      <c r="K2" s="25" t="s">
        <v>76</v>
      </c>
    </row>
    <row r="3" spans="1:11" x14ac:dyDescent="0.35">
      <c r="A3" s="26" t="s">
        <v>225</v>
      </c>
      <c r="B3" s="26"/>
      <c r="C3" s="26"/>
      <c r="D3" s="26"/>
      <c r="E3" s="30"/>
      <c r="F3" s="26"/>
      <c r="G3" s="26"/>
      <c r="H3" s="26"/>
      <c r="I3" s="26"/>
      <c r="J3" s="27"/>
      <c r="K3" s="27" t="s">
        <v>76</v>
      </c>
    </row>
    <row r="4" spans="1:11" x14ac:dyDescent="0.35">
      <c r="A4" s="23" t="s">
        <v>234</v>
      </c>
      <c r="B4" s="23">
        <v>2165514</v>
      </c>
      <c r="C4" s="23">
        <v>300000</v>
      </c>
      <c r="D4" s="23">
        <f>Main_!AI32+Main_!AI33+Main_!AI34+Main_!AI35</f>
        <v>300000</v>
      </c>
      <c r="E4" s="29">
        <f>D4/C4</f>
        <v>1</v>
      </c>
      <c r="F4" s="23">
        <f>C4-D4</f>
        <v>0</v>
      </c>
      <c r="G4" s="23" t="s">
        <v>235</v>
      </c>
      <c r="H4" s="23">
        <f>300000-D4</f>
        <v>0</v>
      </c>
      <c r="I4" s="23" t="s">
        <v>237</v>
      </c>
      <c r="J4" s="24"/>
      <c r="K4" s="32" t="s">
        <v>76</v>
      </c>
    </row>
  </sheetData>
  <hyperlinks>
    <hyperlink ref="J2" r:id="rId1"/>
    <hyperlink ref="K2" r:id="rId2"/>
    <hyperlink ref="K3" r:id="rId3"/>
    <hyperlink ref="K4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"/>
  <sheetViews>
    <sheetView workbookViewId="0">
      <selection activeCell="M9" sqref="M9"/>
    </sheetView>
  </sheetViews>
  <sheetFormatPr defaultRowHeight="14.5" x14ac:dyDescent="0.35"/>
  <cols>
    <col min="2" max="2" width="10.81640625" bestFit="1" customWidth="1"/>
    <col min="37" max="40" width="10.36328125" bestFit="1" customWidth="1"/>
    <col min="60" max="60" width="10.36328125" bestFit="1" customWidth="1"/>
  </cols>
  <sheetData>
    <row r="1" spans="1:60" x14ac:dyDescent="0.35">
      <c r="A1" t="s">
        <v>232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0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  <c r="W2" s="3">
        <v>23</v>
      </c>
      <c r="X2" s="3">
        <v>24</v>
      </c>
      <c r="Y2" s="3">
        <v>25</v>
      </c>
      <c r="Z2" s="3">
        <v>26</v>
      </c>
      <c r="AA2" s="3">
        <v>27</v>
      </c>
      <c r="AB2" s="3">
        <v>28</v>
      </c>
      <c r="AC2" s="3">
        <v>29</v>
      </c>
      <c r="AD2" s="3">
        <v>30</v>
      </c>
      <c r="AE2" s="3">
        <v>31</v>
      </c>
      <c r="AF2" s="3">
        <v>32</v>
      </c>
      <c r="AG2" s="3">
        <v>33</v>
      </c>
      <c r="AH2" s="3">
        <v>34</v>
      </c>
      <c r="AI2" s="3">
        <v>35</v>
      </c>
      <c r="AJ2" s="3">
        <v>36</v>
      </c>
      <c r="AK2" s="3">
        <v>37</v>
      </c>
      <c r="AL2" s="3">
        <v>38</v>
      </c>
      <c r="AM2" s="3">
        <v>39</v>
      </c>
      <c r="AN2" s="3">
        <v>40</v>
      </c>
      <c r="AO2" s="3">
        <v>41</v>
      </c>
      <c r="AP2" s="3">
        <v>42</v>
      </c>
      <c r="AQ2" s="3">
        <v>43</v>
      </c>
      <c r="AR2" s="3">
        <v>44</v>
      </c>
      <c r="AS2" s="3">
        <v>45</v>
      </c>
      <c r="AT2" s="3">
        <v>46</v>
      </c>
      <c r="AU2" s="3">
        <v>47</v>
      </c>
      <c r="AV2" s="3">
        <v>48</v>
      </c>
      <c r="AW2" s="3">
        <v>49</v>
      </c>
      <c r="AX2" s="3">
        <v>50</v>
      </c>
      <c r="AY2" s="3">
        <v>51</v>
      </c>
      <c r="AZ2" s="3">
        <v>52</v>
      </c>
      <c r="BA2" s="3">
        <v>53</v>
      </c>
      <c r="BB2" s="3">
        <v>54</v>
      </c>
      <c r="BC2" s="3">
        <v>55</v>
      </c>
      <c r="BD2" s="3">
        <v>56</v>
      </c>
      <c r="BE2" s="3">
        <v>57</v>
      </c>
      <c r="BF2" s="3">
        <v>58</v>
      </c>
      <c r="BG2" s="3">
        <v>59</v>
      </c>
      <c r="BH2" s="3">
        <v>60</v>
      </c>
    </row>
    <row r="3" spans="1:60" x14ac:dyDescent="0.35">
      <c r="A3" t="s">
        <v>229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35">
      <c r="A4">
        <v>20</v>
      </c>
      <c r="B4">
        <v>31</v>
      </c>
      <c r="C4">
        <v>30</v>
      </c>
      <c r="D4">
        <v>31</v>
      </c>
      <c r="E4">
        <v>31</v>
      </c>
      <c r="F4">
        <v>30</v>
      </c>
      <c r="G4">
        <v>31</v>
      </c>
      <c r="H4">
        <v>30</v>
      </c>
      <c r="I4">
        <v>31</v>
      </c>
      <c r="J4">
        <v>31</v>
      </c>
      <c r="K4">
        <v>28</v>
      </c>
      <c r="L4">
        <v>30</v>
      </c>
      <c r="M4" s="3">
        <v>30</v>
      </c>
      <c r="N4" s="3">
        <v>30</v>
      </c>
      <c r="O4" s="3">
        <v>30</v>
      </c>
      <c r="P4" s="3">
        <v>30</v>
      </c>
      <c r="Q4" s="3">
        <v>30</v>
      </c>
      <c r="R4" s="3">
        <v>30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3">
        <v>30</v>
      </c>
      <c r="AD4" s="3">
        <v>30</v>
      </c>
      <c r="AE4" s="3">
        <v>30</v>
      </c>
      <c r="AF4" s="3">
        <v>30</v>
      </c>
      <c r="AG4" s="3">
        <v>30</v>
      </c>
      <c r="AH4" s="3">
        <v>30</v>
      </c>
      <c r="AI4" s="3">
        <v>30</v>
      </c>
      <c r="AJ4" s="3">
        <v>30</v>
      </c>
      <c r="AK4" s="3">
        <v>30</v>
      </c>
      <c r="AL4" s="3">
        <v>30</v>
      </c>
      <c r="AM4" s="3">
        <v>30</v>
      </c>
      <c r="AN4" s="3">
        <v>30</v>
      </c>
      <c r="AO4" s="3">
        <v>30</v>
      </c>
      <c r="AP4" s="3">
        <v>30</v>
      </c>
      <c r="AQ4" s="3">
        <v>30</v>
      </c>
      <c r="AR4" s="3">
        <v>30</v>
      </c>
      <c r="AS4" s="3">
        <v>30</v>
      </c>
      <c r="AT4" s="3">
        <v>30</v>
      </c>
      <c r="AU4" s="3">
        <v>30</v>
      </c>
      <c r="AV4" s="3">
        <v>30</v>
      </c>
      <c r="AW4" s="3">
        <v>30</v>
      </c>
      <c r="AX4" s="3">
        <v>30</v>
      </c>
      <c r="AY4" s="3">
        <v>30</v>
      </c>
      <c r="AZ4" s="3">
        <v>30</v>
      </c>
      <c r="BA4" s="3">
        <v>30</v>
      </c>
      <c r="BB4" s="3">
        <v>30</v>
      </c>
      <c r="BC4" s="3">
        <v>30</v>
      </c>
      <c r="BD4" s="3">
        <v>30</v>
      </c>
      <c r="BE4" s="3">
        <v>30</v>
      </c>
      <c r="BF4" s="3">
        <v>30</v>
      </c>
      <c r="BG4" s="3">
        <v>30</v>
      </c>
      <c r="BH4" s="3">
        <v>30</v>
      </c>
    </row>
    <row r="5" spans="1:60" x14ac:dyDescent="0.35">
      <c r="A5" s="1">
        <v>316</v>
      </c>
      <c r="B5" s="1">
        <v>316</v>
      </c>
      <c r="C5" s="1">
        <f>B5</f>
        <v>316</v>
      </c>
      <c r="D5" s="1">
        <f>C5</f>
        <v>316</v>
      </c>
      <c r="E5" s="1">
        <f>D5+26885</f>
        <v>27201</v>
      </c>
      <c r="F5" s="1">
        <f>E5</f>
        <v>27201</v>
      </c>
      <c r="G5" s="1">
        <f>F5</f>
        <v>27201</v>
      </c>
      <c r="H5" s="1">
        <f>G5+62050</f>
        <v>89251</v>
      </c>
      <c r="I5" s="1">
        <f>H5</f>
        <v>89251</v>
      </c>
      <c r="J5" s="1">
        <f>I5+137039</f>
        <v>226290</v>
      </c>
      <c r="K5" s="1">
        <v>304138</v>
      </c>
      <c r="L5" s="1">
        <v>304138</v>
      </c>
      <c r="M5" s="4">
        <f>L5+L7</f>
        <v>305637.85863013699</v>
      </c>
      <c r="N5" s="4">
        <f>M5+M7</f>
        <v>307145.11382338149</v>
      </c>
      <c r="O5" s="4">
        <f t="shared" ref="O5:BH5" si="0">N5+N7</f>
        <v>308659.80205593514</v>
      </c>
      <c r="P5" s="4">
        <f t="shared" si="0"/>
        <v>310181.9599838822</v>
      </c>
      <c r="Q5" s="4">
        <f t="shared" si="0"/>
        <v>311711.62444407667</v>
      </c>
      <c r="R5" s="4">
        <f t="shared" si="0"/>
        <v>313248.83245503379</v>
      </c>
      <c r="S5" s="4">
        <f t="shared" si="0"/>
        <v>314793.62121782574</v>
      </c>
      <c r="T5" s="4">
        <f t="shared" si="0"/>
        <v>316346.02811698214</v>
      </c>
      <c r="U5" s="4">
        <f t="shared" si="0"/>
        <v>317906.09072139463</v>
      </c>
      <c r="V5" s="4">
        <f t="shared" si="0"/>
        <v>319473.8467852262</v>
      </c>
      <c r="W5" s="4">
        <f t="shared" si="0"/>
        <v>321049.33424882457</v>
      </c>
      <c r="X5" s="4">
        <f t="shared" si="0"/>
        <v>322632.59123964066</v>
      </c>
      <c r="Y5" s="4">
        <f t="shared" si="0"/>
        <v>324223.65607315121</v>
      </c>
      <c r="Z5" s="4">
        <f t="shared" si="0"/>
        <v>325822.56725378591</v>
      </c>
      <c r="AA5" s="4">
        <f t="shared" si="0"/>
        <v>327429.3634758594</v>
      </c>
      <c r="AB5" s="4">
        <f t="shared" si="0"/>
        <v>329044.08362450748</v>
      </c>
      <c r="AC5" s="4">
        <f t="shared" si="0"/>
        <v>330666.76677662833</v>
      </c>
      <c r="AD5" s="4">
        <f t="shared" si="0"/>
        <v>332297.45220182813</v>
      </c>
      <c r="AE5" s="4">
        <f t="shared" si="0"/>
        <v>333936.1793633714</v>
      </c>
      <c r="AF5" s="4">
        <f t="shared" si="0"/>
        <v>335582.98791913595</v>
      </c>
      <c r="AG5" s="4">
        <f t="shared" si="0"/>
        <v>337237.91772257281</v>
      </c>
      <c r="AH5" s="4">
        <f t="shared" si="0"/>
        <v>338901.00882367045</v>
      </c>
      <c r="AI5" s="4">
        <f t="shared" si="0"/>
        <v>340572.30146992416</v>
      </c>
      <c r="AJ5" s="4">
        <f t="shared" si="0"/>
        <v>342251.83610731008</v>
      </c>
      <c r="AK5" s="4">
        <f t="shared" si="0"/>
        <v>343939.65338126395</v>
      </c>
      <c r="AL5" s="4">
        <f t="shared" si="0"/>
        <v>345635.79413766472</v>
      </c>
      <c r="AM5" s="4">
        <f t="shared" si="0"/>
        <v>347340.29942382307</v>
      </c>
      <c r="AN5" s="4">
        <f t="shared" si="0"/>
        <v>349053.21048947482</v>
      </c>
      <c r="AO5" s="4">
        <f t="shared" si="0"/>
        <v>350774.56878777908</v>
      </c>
      <c r="AP5" s="4">
        <f t="shared" si="0"/>
        <v>352504.41597632156</v>
      </c>
      <c r="AQ5" s="4">
        <f t="shared" si="0"/>
        <v>354242.7939181226</v>
      </c>
      <c r="AR5" s="4">
        <f t="shared" si="0"/>
        <v>355989.74468265031</v>
      </c>
      <c r="AS5" s="4">
        <f t="shared" si="0"/>
        <v>357745.31054683874</v>
      </c>
      <c r="AT5" s="4">
        <f t="shared" si="0"/>
        <v>359509.53399611084</v>
      </c>
      <c r="AU5" s="4">
        <f t="shared" si="0"/>
        <v>361282.45772540674</v>
      </c>
      <c r="AV5" s="4">
        <f t="shared" si="0"/>
        <v>363064.12464021699</v>
      </c>
      <c r="AW5" s="4">
        <f t="shared" si="0"/>
        <v>364854.57785762078</v>
      </c>
      <c r="AX5" s="4">
        <f t="shared" si="0"/>
        <v>366653.86070732959</v>
      </c>
      <c r="AY5" s="4">
        <f t="shared" si="0"/>
        <v>368462.01673273562</v>
      </c>
      <c r="AZ5" s="4">
        <f t="shared" si="0"/>
        <v>370279.08969196555</v>
      </c>
      <c r="BA5" s="4">
        <f t="shared" si="0"/>
        <v>372105.12355893961</v>
      </c>
      <c r="BB5" s="4">
        <f t="shared" si="0"/>
        <v>373940.16252443573</v>
      </c>
      <c r="BC5" s="4">
        <f t="shared" si="0"/>
        <v>375784.25099715899</v>
      </c>
      <c r="BD5" s="4">
        <f t="shared" si="0"/>
        <v>377637.43360481621</v>
      </c>
      <c r="BE5" s="4">
        <f t="shared" si="0"/>
        <v>379499.75519519614</v>
      </c>
      <c r="BF5" s="4">
        <f t="shared" si="0"/>
        <v>381371.26083725464</v>
      </c>
      <c r="BG5" s="4">
        <f t="shared" si="0"/>
        <v>383251.9958222055</v>
      </c>
      <c r="BH5" s="4">
        <f t="shared" si="0"/>
        <v>385142.00566461636</v>
      </c>
    </row>
    <row r="6" spans="1:60" x14ac:dyDescent="0.35">
      <c r="A6" s="19">
        <v>0.06</v>
      </c>
      <c r="B6" s="19">
        <v>0.06</v>
      </c>
      <c r="C6" s="19">
        <v>0.06</v>
      </c>
      <c r="D6" s="19">
        <v>0.06</v>
      </c>
      <c r="E6" s="19">
        <v>0.06</v>
      </c>
      <c r="F6" s="19">
        <v>0.06</v>
      </c>
      <c r="G6" s="19">
        <v>0.06</v>
      </c>
      <c r="H6" s="19">
        <v>0.06</v>
      </c>
      <c r="I6" s="19">
        <v>0.06</v>
      </c>
      <c r="J6" s="19">
        <v>0.06</v>
      </c>
      <c r="K6" s="19">
        <v>0.06</v>
      </c>
      <c r="L6" s="19">
        <v>0.06</v>
      </c>
      <c r="M6" s="21">
        <v>0.06</v>
      </c>
      <c r="N6" s="21">
        <v>0.06</v>
      </c>
      <c r="O6" s="21">
        <v>0.06</v>
      </c>
      <c r="P6" s="21">
        <v>0.06</v>
      </c>
      <c r="Q6" s="21">
        <v>0.06</v>
      </c>
      <c r="R6" s="21">
        <v>0.06</v>
      </c>
      <c r="S6" s="21">
        <v>0.06</v>
      </c>
      <c r="T6" s="21">
        <v>0.06</v>
      </c>
      <c r="U6" s="21">
        <v>0.06</v>
      </c>
      <c r="V6" s="21">
        <v>0.06</v>
      </c>
      <c r="W6" s="21">
        <v>0.06</v>
      </c>
      <c r="X6" s="21">
        <v>0.06</v>
      </c>
      <c r="Y6" s="21">
        <v>0.06</v>
      </c>
      <c r="Z6" s="21">
        <v>0.06</v>
      </c>
      <c r="AA6" s="21">
        <v>0.06</v>
      </c>
      <c r="AB6" s="21">
        <v>0.06</v>
      </c>
      <c r="AC6" s="21">
        <v>0.06</v>
      </c>
      <c r="AD6" s="21">
        <v>0.06</v>
      </c>
      <c r="AE6" s="21">
        <v>0.06</v>
      </c>
      <c r="AF6" s="21">
        <v>0.06</v>
      </c>
      <c r="AG6" s="21">
        <v>0.06</v>
      </c>
      <c r="AH6" s="21">
        <v>0.06</v>
      </c>
      <c r="AI6" s="21">
        <v>0.06</v>
      </c>
      <c r="AJ6" s="21">
        <v>0.06</v>
      </c>
      <c r="AK6" s="21">
        <v>0.06</v>
      </c>
      <c r="AL6" s="21">
        <v>0.06</v>
      </c>
      <c r="AM6" s="21">
        <v>0.06</v>
      </c>
      <c r="AN6" s="21">
        <v>0.06</v>
      </c>
      <c r="AO6" s="21">
        <v>0.06</v>
      </c>
      <c r="AP6" s="21">
        <v>0.06</v>
      </c>
      <c r="AQ6" s="21">
        <v>0.06</v>
      </c>
      <c r="AR6" s="21">
        <v>0.06</v>
      </c>
      <c r="AS6" s="21">
        <v>0.06</v>
      </c>
      <c r="AT6" s="21">
        <v>0.06</v>
      </c>
      <c r="AU6" s="21">
        <v>0.06</v>
      </c>
      <c r="AV6" s="21">
        <v>0.06</v>
      </c>
      <c r="AW6" s="21">
        <v>0.06</v>
      </c>
      <c r="AX6" s="21">
        <v>0.06</v>
      </c>
      <c r="AY6" s="21">
        <v>0.06</v>
      </c>
      <c r="AZ6" s="21">
        <v>0.06</v>
      </c>
      <c r="BA6" s="21">
        <v>0.06</v>
      </c>
      <c r="BB6" s="21">
        <v>0.06</v>
      </c>
      <c r="BC6" s="21">
        <v>0.06</v>
      </c>
      <c r="BD6" s="21">
        <v>0.06</v>
      </c>
      <c r="BE6" s="21">
        <v>0.06</v>
      </c>
      <c r="BF6" s="21">
        <v>0.06</v>
      </c>
      <c r="BG6" s="21">
        <v>0.06</v>
      </c>
      <c r="BH6" s="21">
        <v>0.06</v>
      </c>
    </row>
    <row r="7" spans="1:60" x14ac:dyDescent="0.35">
      <c r="A7" s="20">
        <f>A5*A6*A4/365</f>
        <v>1.0389041095890412</v>
      </c>
      <c r="B7" s="20">
        <f>B5*B6*B4/365</f>
        <v>1.6103013698630138</v>
      </c>
      <c r="C7" s="20">
        <f>C5*C6*C4/365</f>
        <v>1.5583561643835617</v>
      </c>
      <c r="D7" s="20">
        <f>D5*D6*D4/365</f>
        <v>1.6103013698630138</v>
      </c>
      <c r="E7" s="20">
        <f>E5*E6*E4/365</f>
        <v>138.61331506849316</v>
      </c>
      <c r="F7" s="20">
        <f t="shared" ref="F7:J7" si="1">F5*F6*F4/365</f>
        <v>134.14191780821918</v>
      </c>
      <c r="G7" s="20">
        <f t="shared" si="1"/>
        <v>138.61331506849316</v>
      </c>
      <c r="H7" s="20">
        <f t="shared" si="1"/>
        <v>440.14191780821915</v>
      </c>
      <c r="I7" s="20">
        <f t="shared" si="1"/>
        <v>454.81331506849313</v>
      </c>
      <c r="J7" s="20">
        <f t="shared" si="1"/>
        <v>1153.1490410958904</v>
      </c>
      <c r="K7" s="20">
        <f>K5*K6*K4/365</f>
        <v>1399.8680547945205</v>
      </c>
      <c r="L7" s="20">
        <f t="shared" ref="L7" si="2">L5*L6*L4/365</f>
        <v>1499.858630136986</v>
      </c>
      <c r="M7" s="22">
        <f>M5*M6*M4/365</f>
        <v>1507.2551932445112</v>
      </c>
      <c r="N7" s="22">
        <f t="shared" ref="N7" si="3">N5*N6*N4/365</f>
        <v>1514.6882325536619</v>
      </c>
      <c r="O7" s="22">
        <f t="shared" ref="O7" si="4">O5*O6*O4/365</f>
        <v>1522.1579279470775</v>
      </c>
      <c r="P7" s="22">
        <f t="shared" ref="P7" si="5">P5*P6*P4/365</f>
        <v>1529.6644601944874</v>
      </c>
      <c r="Q7" s="22">
        <f t="shared" ref="Q7" si="6">Q5*Q6*Q4/365</f>
        <v>1537.2080109570907</v>
      </c>
      <c r="R7" s="22">
        <f t="shared" ref="R7" si="7">R5*R6*R4/365</f>
        <v>1544.7887627919472</v>
      </c>
      <c r="S7" s="22">
        <f t="shared" ref="S7" si="8">S5*S6*S4/365</f>
        <v>1552.4068991564006</v>
      </c>
      <c r="T7" s="22">
        <f t="shared" ref="T7" si="9">T5*T6*T4/365</f>
        <v>1560.0626044125147</v>
      </c>
      <c r="U7" s="22">
        <f t="shared" ref="U7" si="10">U5*U6*U4/365</f>
        <v>1567.7560638315351</v>
      </c>
      <c r="V7" s="22">
        <f t="shared" ref="V7" si="11">V5*V6*V4/365</f>
        <v>1575.4874635983756</v>
      </c>
      <c r="W7" s="22">
        <f t="shared" ref="W7" si="12">W5*W6*W4/365</f>
        <v>1583.2569908161211</v>
      </c>
      <c r="X7" s="22">
        <f t="shared" ref="X7" si="13">X5*X6*X4/365</f>
        <v>1591.0648335105568</v>
      </c>
      <c r="Y7" s="22">
        <f t="shared" ref="Y7" si="14">Y5*Y6*Y4/365</f>
        <v>1598.9111806347182</v>
      </c>
      <c r="Z7" s="22">
        <f t="shared" ref="Z7" si="15">Z5*Z6*Z4/365</f>
        <v>1606.7962220734646</v>
      </c>
      <c r="AA7" s="22">
        <f t="shared" ref="AA7" si="16">AA5*AA6*AA4/365</f>
        <v>1614.7201486480737</v>
      </c>
      <c r="AB7" s="22">
        <f t="shared" ref="AB7" si="17">AB5*AB6*AB4/365</f>
        <v>1622.6831521208587</v>
      </c>
      <c r="AC7" s="22">
        <f t="shared" ref="AC7" si="18">AC5*AC6*AC4/365</f>
        <v>1630.6854251998107</v>
      </c>
      <c r="AD7" s="22">
        <f t="shared" ref="AD7" si="19">AD5*AD6*AD4/365</f>
        <v>1638.7271615432619</v>
      </c>
      <c r="AE7" s="22">
        <f t="shared" ref="AE7" si="20">AE5*AE6*AE4/365</f>
        <v>1646.8085557645713</v>
      </c>
      <c r="AF7" s="22">
        <f t="shared" ref="AF7" si="21">AF5*AF6*AF4/365</f>
        <v>1654.9298034368348</v>
      </c>
      <c r="AG7" s="22">
        <f t="shared" ref="AG7" si="22">AG5*AG6*AG4/365</f>
        <v>1663.0911010976195</v>
      </c>
      <c r="AH7" s="22">
        <f t="shared" ref="AH7" si="23">AH5*AH6*AH4/365</f>
        <v>1671.2926462537173</v>
      </c>
      <c r="AI7" s="22">
        <f t="shared" ref="AI7" si="24">AI5*AI6*AI4/365</f>
        <v>1679.5346373859272</v>
      </c>
      <c r="AJ7" s="22">
        <f t="shared" ref="AJ7" si="25">AJ5*AJ6*AJ4/365</f>
        <v>1687.8172739538577</v>
      </c>
      <c r="AK7" s="22">
        <f t="shared" ref="AK7" si="26">AK5*AK6*AK4/365</f>
        <v>1696.1407564007536</v>
      </c>
      <c r="AL7" s="22">
        <f t="shared" ref="AL7" si="27">AL5*AL6*AL4/365</f>
        <v>1704.5052861583463</v>
      </c>
      <c r="AM7" s="22">
        <f t="shared" ref="AM7" si="28">AM5*AM6*AM4/365</f>
        <v>1712.9110656517303</v>
      </c>
      <c r="AN7" s="22">
        <f t="shared" ref="AN7" si="29">AN5*AN6*AN4/365</f>
        <v>1721.3582983042593</v>
      </c>
      <c r="AO7" s="22">
        <f t="shared" ref="AO7" si="30">AO5*AO6*AO4/365</f>
        <v>1729.8471885424724</v>
      </c>
      <c r="AP7" s="22">
        <f t="shared" ref="AP7" si="31">AP5*AP6*AP4/365</f>
        <v>1738.3779418010379</v>
      </c>
      <c r="AQ7" s="22">
        <f t="shared" ref="AQ7" si="32">AQ5*AQ6*AQ4/365</f>
        <v>1746.9507645277279</v>
      </c>
      <c r="AR7" s="22">
        <f t="shared" ref="AR7" si="33">AR5*AR6*AR4/365</f>
        <v>1755.5658641884122</v>
      </c>
      <c r="AS7" s="22">
        <f t="shared" ref="AS7" si="34">AS5*AS6*AS4/365</f>
        <v>1764.2234492720813</v>
      </c>
      <c r="AT7" s="22">
        <f t="shared" ref="AT7" si="35">AT5*AT6*AT4/365</f>
        <v>1772.923729295889</v>
      </c>
      <c r="AU7" s="22">
        <f t="shared" ref="AU7" si="36">AU5*AU6*AU4/365</f>
        <v>1781.6669148102249</v>
      </c>
      <c r="AV7" s="22">
        <f t="shared" ref="AV7" si="37">AV5*AV6*AV4/365</f>
        <v>1790.4532174038097</v>
      </c>
      <c r="AW7" s="22">
        <f t="shared" ref="AW7" si="38">AW5*AW6*AW4/365</f>
        <v>1799.2828497088146</v>
      </c>
      <c r="AX7" s="22">
        <f t="shared" ref="AX7" si="39">AX5*AX6*AX4/365</f>
        <v>1808.1560254060089</v>
      </c>
      <c r="AY7" s="22">
        <f t="shared" ref="AY7" si="40">AY5*AY6*AY4/365</f>
        <v>1817.072959229929</v>
      </c>
      <c r="AZ7" s="22">
        <f t="shared" ref="AZ7" si="41">AZ5*AZ6*AZ4/365</f>
        <v>1826.0338669740768</v>
      </c>
      <c r="BA7" s="22">
        <f t="shared" ref="BA7" si="42">BA5*BA6*BA4/365</f>
        <v>1835.0389654961405</v>
      </c>
      <c r="BB7" s="22">
        <f t="shared" ref="BB7" si="43">BB5*BB6*BB4/365</f>
        <v>1844.0884727232449</v>
      </c>
      <c r="BC7" s="22">
        <f t="shared" ref="BC7" si="44">BC5*BC6*BC4/365</f>
        <v>1853.1826076572222</v>
      </c>
      <c r="BD7" s="22">
        <f t="shared" ref="BD7" si="45">BD5*BD6*BD4/365</f>
        <v>1862.3215903799155</v>
      </c>
      <c r="BE7" s="22">
        <f t="shared" ref="BE7" si="46">BE5*BE6*BE4/365</f>
        <v>1871.5056420585013</v>
      </c>
      <c r="BF7" s="22">
        <f t="shared" ref="BF7" si="47">BF5*BF6*BF4/365</f>
        <v>1880.7349849508446</v>
      </c>
      <c r="BG7" s="22">
        <f t="shared" ref="BG7" si="48">BG5*BG6*BG4/365</f>
        <v>1890.0098424108767</v>
      </c>
      <c r="BH7" s="22">
        <f t="shared" ref="BH7" si="49">BH5*BH6*BH4/365</f>
        <v>1899.3304388939982</v>
      </c>
    </row>
    <row r="8" spans="1:60" x14ac:dyDescent="0.35">
      <c r="A8" t="s">
        <v>230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pans="1:60" x14ac:dyDescent="0.35">
      <c r="B9" s="20">
        <f>A7</f>
        <v>1.0389041095890412</v>
      </c>
      <c r="C9" s="20">
        <f t="shared" ref="C9:L9" si="50">B9+B7</f>
        <v>2.6492054794520552</v>
      </c>
      <c r="D9" s="20">
        <f t="shared" si="50"/>
        <v>4.2075616438356169</v>
      </c>
      <c r="E9" s="20">
        <f t="shared" si="50"/>
        <v>5.8178630136986307</v>
      </c>
      <c r="F9" s="20">
        <f t="shared" si="50"/>
        <v>144.43117808219179</v>
      </c>
      <c r="G9" s="20">
        <f t="shared" si="50"/>
        <v>278.57309589041097</v>
      </c>
      <c r="H9" s="20">
        <f t="shared" si="50"/>
        <v>417.18641095890416</v>
      </c>
      <c r="I9" s="20">
        <f t="shared" si="50"/>
        <v>857.32832876712337</v>
      </c>
      <c r="J9" s="20">
        <f t="shared" si="50"/>
        <v>1312.1416438356164</v>
      </c>
      <c r="K9" s="20">
        <f t="shared" si="50"/>
        <v>2465.2906849315068</v>
      </c>
      <c r="L9" s="20">
        <f t="shared" si="50"/>
        <v>3865.1587397260273</v>
      </c>
      <c r="M9" s="20">
        <f t="shared" ref="M9:BH9" si="51">L9+L7</f>
        <v>5365.0173698630133</v>
      </c>
      <c r="N9" s="20">
        <f t="shared" si="51"/>
        <v>6872.2725631075245</v>
      </c>
      <c r="O9" s="20">
        <f t="shared" si="51"/>
        <v>8386.9607956611871</v>
      </c>
      <c r="P9" s="20">
        <f t="shared" si="51"/>
        <v>9909.1187236082642</v>
      </c>
      <c r="Q9" s="20">
        <f t="shared" si="51"/>
        <v>11438.783183802752</v>
      </c>
      <c r="R9" s="20">
        <f t="shared" si="51"/>
        <v>12975.991194759843</v>
      </c>
      <c r="S9" s="20">
        <f t="shared" si="51"/>
        <v>14520.779957551789</v>
      </c>
      <c r="T9" s="20">
        <f t="shared" si="51"/>
        <v>16073.186856708189</v>
      </c>
      <c r="U9" s="20">
        <f t="shared" si="51"/>
        <v>17633.249461120704</v>
      </c>
      <c r="V9" s="20">
        <f t="shared" si="51"/>
        <v>19201.005524952237</v>
      </c>
      <c r="W9" s="20">
        <f t="shared" si="51"/>
        <v>20776.492988550614</v>
      </c>
      <c r="X9" s="20">
        <f t="shared" si="51"/>
        <v>22359.749979366734</v>
      </c>
      <c r="Y9" s="20">
        <f t="shared" si="51"/>
        <v>23950.814812877292</v>
      </c>
      <c r="Z9" s="20">
        <f t="shared" si="51"/>
        <v>25549.725993512009</v>
      </c>
      <c r="AA9" s="20">
        <f t="shared" si="51"/>
        <v>27156.522215585475</v>
      </c>
      <c r="AB9" s="20">
        <f t="shared" si="51"/>
        <v>28771.242364233549</v>
      </c>
      <c r="AC9" s="20">
        <f t="shared" si="51"/>
        <v>30393.925516354408</v>
      </c>
      <c r="AD9" s="20">
        <f t="shared" si="51"/>
        <v>32024.61094155422</v>
      </c>
      <c r="AE9" s="20">
        <f t="shared" si="51"/>
        <v>33663.338103097485</v>
      </c>
      <c r="AF9" s="20">
        <f t="shared" si="51"/>
        <v>35310.146658862053</v>
      </c>
      <c r="AG9" s="20">
        <f t="shared" si="51"/>
        <v>36965.076462298886</v>
      </c>
      <c r="AH9" s="20">
        <f t="shared" si="51"/>
        <v>38628.167563396506</v>
      </c>
      <c r="AI9" s="20">
        <f t="shared" si="51"/>
        <v>40299.46020965022</v>
      </c>
      <c r="AJ9" s="20">
        <f t="shared" si="51"/>
        <v>41978.994847036149</v>
      </c>
      <c r="AK9" s="20">
        <f t="shared" si="51"/>
        <v>43666.812120990005</v>
      </c>
      <c r="AL9" s="20">
        <f t="shared" si="51"/>
        <v>45362.952877390759</v>
      </c>
      <c r="AM9" s="20">
        <f t="shared" si="51"/>
        <v>47067.458163549105</v>
      </c>
      <c r="AN9" s="20">
        <f t="shared" si="51"/>
        <v>48780.369229200835</v>
      </c>
      <c r="AO9" s="20">
        <f t="shared" si="51"/>
        <v>50501.727527505092</v>
      </c>
      <c r="AP9" s="20">
        <f t="shared" si="51"/>
        <v>52231.574716047566</v>
      </c>
      <c r="AQ9" s="20">
        <f t="shared" si="51"/>
        <v>53969.952657848604</v>
      </c>
      <c r="AR9" s="20">
        <f t="shared" si="51"/>
        <v>55716.90342237633</v>
      </c>
      <c r="AS9" s="20">
        <f t="shared" si="51"/>
        <v>57472.469286564745</v>
      </c>
      <c r="AT9" s="20">
        <f t="shared" si="51"/>
        <v>59236.692735836827</v>
      </c>
      <c r="AU9" s="20">
        <f t="shared" si="51"/>
        <v>61009.616465132713</v>
      </c>
      <c r="AV9" s="20">
        <f t="shared" si="51"/>
        <v>62791.283379942935</v>
      </c>
      <c r="AW9" s="20">
        <f t="shared" si="51"/>
        <v>64581.736597346746</v>
      </c>
      <c r="AX9" s="20">
        <f t="shared" si="51"/>
        <v>66381.019447055558</v>
      </c>
      <c r="AY9" s="20">
        <f t="shared" si="51"/>
        <v>68189.17547246156</v>
      </c>
      <c r="AZ9" s="20">
        <f t="shared" si="51"/>
        <v>70006.248431691492</v>
      </c>
      <c r="BA9" s="20">
        <f t="shared" si="51"/>
        <v>71832.282298665566</v>
      </c>
      <c r="BB9" s="20">
        <f t="shared" si="51"/>
        <v>73667.321264161714</v>
      </c>
      <c r="BC9" s="20">
        <f t="shared" si="51"/>
        <v>75511.409736884962</v>
      </c>
      <c r="BD9" s="20">
        <f t="shared" si="51"/>
        <v>77364.592344542179</v>
      </c>
      <c r="BE9" s="20">
        <f t="shared" si="51"/>
        <v>79226.913934922093</v>
      </c>
      <c r="BF9" s="20">
        <f t="shared" si="51"/>
        <v>81098.419576980596</v>
      </c>
      <c r="BG9" s="20">
        <f t="shared" si="51"/>
        <v>82979.154561931442</v>
      </c>
      <c r="BH9" s="20">
        <f t="shared" si="51"/>
        <v>84869.164404342315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Main_</vt:lpstr>
      <vt:lpstr>rnwf_structure</vt:lpstr>
      <vt:lpstr>structure</vt:lpstr>
      <vt:lpstr>recepients</vt:lpstr>
      <vt:lpstr>infra_invest</vt:lpstr>
      <vt:lpstr>projects</vt:lpstr>
      <vt:lpstr>%% Усть-Луга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2025-07-07T04:19:45Z</dcterms:modified>
</cp:coreProperties>
</file>