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360" windowWidth="23400" windowHeight="9210" activeTab="1"/>
  </bookViews>
  <sheets>
    <sheet name="Cover" sheetId="1" r:id="rId1"/>
    <sheet name="Web Display" sheetId="2" r:id="rId2"/>
    <sheet name="Raw Data Display" sheetId="3" r:id="rId3"/>
  </sheets>
  <definedNames>
    <definedName name="_xlnm._FilterDatabase" localSheetId="1" hidden="1">'Web Display'!$A$1:$L$236</definedName>
  </definedNames>
  <calcPr calcId="125725"/>
</workbook>
</file>

<file path=xl/calcChain.xml><?xml version="1.0" encoding="utf-8"?>
<calcChain xmlns="http://schemas.openxmlformats.org/spreadsheetml/2006/main">
  <c r="A236" i="3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36" i="2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B3" i="1"/>
</calcChain>
</file>

<file path=xl/sharedStrings.xml><?xml version="1.0" encoding="utf-8"?>
<sst xmlns="http://schemas.openxmlformats.org/spreadsheetml/2006/main" count="2576" uniqueCount="489">
  <si>
    <t>Date Created</t>
  </si>
  <si>
    <t>7/29/2017 11:25:0</t>
  </si>
  <si>
    <t>Product Type</t>
  </si>
  <si>
    <t>High Speed ADCs</t>
  </si>
  <si>
    <t>Web Link</t>
  </si>
  <si>
    <t>Filter Conditions</t>
  </si>
  <si>
    <t>Column Name</t>
  </si>
  <si>
    <t>Filter Values</t>
  </si>
  <si>
    <t/>
  </si>
  <si>
    <t>Sample Rate (max) (SPS)</t>
  </si>
  <si>
    <t>&gt;= 10000000</t>
  </si>
  <si>
    <t>产品型号</t>
  </si>
  <si>
    <t>Bits</t>
  </si>
  <si>
    <t>Sample Rate (max)</t>
  </si>
  <si>
    <t>Channels</t>
  </si>
  <si>
    <t>INL in LSB (typ)</t>
  </si>
  <si>
    <t>Vin Range (typ)</t>
  </si>
  <si>
    <t>ADC SNR in dBFS (typ)</t>
  </si>
  <si>
    <t>Power (typ)</t>
  </si>
  <si>
    <t>Temp Range</t>
  </si>
  <si>
    <t>Output Data Format</t>
  </si>
  <si>
    <t>US Price 1000 to 4999</t>
  </si>
  <si>
    <t>Package</t>
  </si>
  <si>
    <t>(bits)</t>
  </si>
  <si>
    <t>(SPS)</t>
  </si>
  <si>
    <t>(LSBs)</t>
  </si>
  <si>
    <t>(V p-p)</t>
  </si>
  <si>
    <t>(dBFS)</t>
  </si>
  <si>
    <t>(W)</t>
  </si>
  <si>
    <t>($ US)</t>
  </si>
  <si>
    <t>3G</t>
  </si>
  <si>
    <t>-40 to 85°C</t>
  </si>
  <si>
    <t>JESD204B</t>
  </si>
  <si>
    <t>$1,326.00</t>
  </si>
  <si>
    <t>196 ball (12x12x1.42 w/7.5mm EP)</t>
  </si>
  <si>
    <t>500M</t>
  </si>
  <si>
    <t>-40 to 105°C</t>
  </si>
  <si>
    <t>$488.75</t>
  </si>
  <si>
    <t>72 ld LFCSP (10x10mm, 7.3mm exposed pad)</t>
  </si>
  <si>
    <t>1250M</t>
  </si>
  <si>
    <t>$692.75</t>
  </si>
  <si>
    <t>88 ld LFCSP (12x12mm w/8.2mm pad)</t>
  </si>
  <si>
    <t>LVDS, Parallel</t>
  </si>
  <si>
    <t>$272.00</t>
  </si>
  <si>
    <t>196 ball (12x12x1.38 w/7.5mm EP)</t>
  </si>
  <si>
    <t>125M</t>
  </si>
  <si>
    <t>313m</t>
  </si>
  <si>
    <t>LVDS, Serial</t>
  </si>
  <si>
    <t>$143.48</t>
  </si>
  <si>
    <t>32 ld LFCSP (5x5x.75mm) w/3.6exposed pad</t>
  </si>
  <si>
    <t>820M</t>
  </si>
  <si>
    <t>$369.75</t>
  </si>
  <si>
    <t>64 ld LFCSP (9x9mm, 7.6mm exposed pad)</t>
  </si>
  <si>
    <t>1.25G</t>
  </si>
  <si>
    <t>1G</t>
  </si>
  <si>
    <t>$584.38</t>
  </si>
  <si>
    <t>310M</t>
  </si>
  <si>
    <t>2160m</t>
  </si>
  <si>
    <t>LVDS</t>
  </si>
  <si>
    <t>$231.25</t>
  </si>
  <si>
    <t>144 ball CSPBGA (10x10)</t>
  </si>
  <si>
    <t>2.5G</t>
  </si>
  <si>
    <t>$735.00</t>
  </si>
  <si>
    <t>196 ball (w/8.2mm EP) SBGA,BGA THERM ENH W/ HEATSINK</t>
  </si>
  <si>
    <t>2G</t>
  </si>
  <si>
    <t>$624.75</t>
  </si>
  <si>
    <t>788m</t>
  </si>
  <si>
    <t>$258.27</t>
  </si>
  <si>
    <t>56 ld LFCSP (8x8mm, 6.6mm exposed pad)</t>
  </si>
  <si>
    <t>879m</t>
  </si>
  <si>
    <t>$197.20</t>
  </si>
  <si>
    <t>144 ball CSPBGA (10x10x1.7mm)</t>
  </si>
  <si>
    <t>65M</t>
  </si>
  <si>
    <t>924m</t>
  </si>
  <si>
    <t>$113.86</t>
  </si>
  <si>
    <t>250M</t>
  </si>
  <si>
    <t>434m</t>
  </si>
  <si>
    <t>$69.65</t>
  </si>
  <si>
    <t>170M</t>
  </si>
  <si>
    <t>365m</t>
  </si>
  <si>
    <t>$38.40</t>
  </si>
  <si>
    <t>$131.57</t>
  </si>
  <si>
    <t>48 ld LFCSP (7x7x.85mm w/5.6mm Pad)</t>
  </si>
  <si>
    <t>$72.49</t>
  </si>
  <si>
    <t>80M</t>
  </si>
  <si>
    <t>115m</t>
  </si>
  <si>
    <t>$18.69</t>
  </si>
  <si>
    <t>657m</t>
  </si>
  <si>
    <t>$250.00</t>
  </si>
  <si>
    <t>502m</t>
  </si>
  <si>
    <t>$56.95</t>
  </si>
  <si>
    <t>64 ld LFCSP (9x9mm, 6.20mm exposed pad)</t>
  </si>
  <si>
    <t>40M</t>
  </si>
  <si>
    <t>347m</t>
  </si>
  <si>
    <t>$40.46</t>
  </si>
  <si>
    <t>331m</t>
  </si>
  <si>
    <t>$44.20</t>
  </si>
  <si>
    <t>430m</t>
  </si>
  <si>
    <t>$68.51</t>
  </si>
  <si>
    <t>105M</t>
  </si>
  <si>
    <t>385m</t>
  </si>
  <si>
    <t>$57.80</t>
  </si>
  <si>
    <t>464m</t>
  </si>
  <si>
    <t>$71.40</t>
  </si>
  <si>
    <t>360m</t>
  </si>
  <si>
    <t>$46.67</t>
  </si>
  <si>
    <t>440m</t>
  </si>
  <si>
    <t>-55 to 125°C</t>
  </si>
  <si>
    <t>$170.00</t>
  </si>
  <si>
    <t>349m</t>
  </si>
  <si>
    <t>$62.90</t>
  </si>
  <si>
    <t>457m</t>
  </si>
  <si>
    <t>$116.45</t>
  </si>
  <si>
    <t>405m</t>
  </si>
  <si>
    <t>$99.45</t>
  </si>
  <si>
    <t>212m</t>
  </si>
  <si>
    <t>Parallel</t>
  </si>
  <si>
    <t>$51.25</t>
  </si>
  <si>
    <t>180m</t>
  </si>
  <si>
    <t>$42.29</t>
  </si>
  <si>
    <t>210M</t>
  </si>
  <si>
    <t>333m</t>
  </si>
  <si>
    <t>311m</t>
  </si>
  <si>
    <t>$35.25</t>
  </si>
  <si>
    <t>$29.25</t>
  </si>
  <si>
    <t>$20.35</t>
  </si>
  <si>
    <t>201m</t>
  </si>
  <si>
    <t>CMOS, LVDS, Parallel</t>
  </si>
  <si>
    <t>$31.32</t>
  </si>
  <si>
    <t>173m</t>
  </si>
  <si>
    <t>$27.57</t>
  </si>
  <si>
    <t>189m</t>
  </si>
  <si>
    <t>$18.00</t>
  </si>
  <si>
    <t>165m</t>
  </si>
  <si>
    <t>$11.25</t>
  </si>
  <si>
    <t>785m</t>
  </si>
  <si>
    <t>680m</t>
  </si>
  <si>
    <t>$109.74</t>
  </si>
  <si>
    <t>614m</t>
  </si>
  <si>
    <t>670m</t>
  </si>
  <si>
    <t>$36.00</t>
  </si>
  <si>
    <t>56 ld LFCSP (8x8mm, 5.1mm exposed pad)</t>
  </si>
  <si>
    <t>690m</t>
  </si>
  <si>
    <t>$124.95</t>
  </si>
  <si>
    <t>370M</t>
  </si>
  <si>
    <t>625m</t>
  </si>
  <si>
    <t>$85.00</t>
  </si>
  <si>
    <t>315m</t>
  </si>
  <si>
    <t>48 ld LFCSP 7x7mm (4.6mmEP)</t>
  </si>
  <si>
    <t>314m</t>
  </si>
  <si>
    <t>$25.00</t>
  </si>
  <si>
    <t>$119.85</t>
  </si>
  <si>
    <t>72 ld LFCSP (10x10mm, 8.5mm exposed pad),LFCSP:LEADFRM CHIP SCALE</t>
  </si>
  <si>
    <t>200M</t>
  </si>
  <si>
    <t>$100.30</t>
  </si>
  <si>
    <t>533m</t>
  </si>
  <si>
    <t>-55 to 85°C</t>
  </si>
  <si>
    <t>$114.92</t>
  </si>
  <si>
    <t>64 ld LFCSP (9x9mm, 7.5mm exposed pad) ,TQFP 1.0 MM W/ THERMAL PAD</t>
  </si>
  <si>
    <t>$98.52</t>
  </si>
  <si>
    <t>25M</t>
  </si>
  <si>
    <t>240m</t>
  </si>
  <si>
    <t>$53.00</t>
  </si>
  <si>
    <t>663m</t>
  </si>
  <si>
    <t>$135.15</t>
  </si>
  <si>
    <t>423m</t>
  </si>
  <si>
    <t>JESD204</t>
  </si>
  <si>
    <t>$41.65</t>
  </si>
  <si>
    <t>48 ld LFCSP (7x7x.85 w/5.5mm EP)</t>
  </si>
  <si>
    <t>155M</t>
  </si>
  <si>
    <t>567m</t>
  </si>
  <si>
    <t>124m</t>
  </si>
  <si>
    <t>Parallel, Serial</t>
  </si>
  <si>
    <t>$48.33</t>
  </si>
  <si>
    <t>107m</t>
  </si>
  <si>
    <t>$43.33</t>
  </si>
  <si>
    <t>79m</t>
  </si>
  <si>
    <t>$35.00</t>
  </si>
  <si>
    <t>20M</t>
  </si>
  <si>
    <t>60m</t>
  </si>
  <si>
    <t>$28.00</t>
  </si>
  <si>
    <t>160M</t>
  </si>
  <si>
    <t>473m</t>
  </si>
  <si>
    <t>Serial</t>
  </si>
  <si>
    <t>48 ld LFCSP 7x7mm (5.1EP)</t>
  </si>
  <si>
    <t>224.6m</t>
  </si>
  <si>
    <t>191.2m</t>
  </si>
  <si>
    <t>136.3m</t>
  </si>
  <si>
    <t>$59.50</t>
  </si>
  <si>
    <t>96.9m</t>
  </si>
  <si>
    <t>$49.00</t>
  </si>
  <si>
    <t>636m</t>
  </si>
  <si>
    <t>$37.00</t>
  </si>
  <si>
    <t>688m</t>
  </si>
  <si>
    <t>$48.00</t>
  </si>
  <si>
    <t>578m</t>
  </si>
  <si>
    <t>$30.00</t>
  </si>
  <si>
    <t>94.7m</t>
  </si>
  <si>
    <t>$25.75</t>
  </si>
  <si>
    <t>32 ld LFCSP (5x5x.85mm) w/3.5exposed pad</t>
  </si>
  <si>
    <t>82.3m</t>
  </si>
  <si>
    <t>$24.05</t>
  </si>
  <si>
    <t>61.6m</t>
  </si>
  <si>
    <t>$15.58</t>
  </si>
  <si>
    <t>47.9m</t>
  </si>
  <si>
    <t>$12.36</t>
  </si>
  <si>
    <t>93m</t>
  </si>
  <si>
    <t>$17.20</t>
  </si>
  <si>
    <t>81.7m</t>
  </si>
  <si>
    <t>$12.44</t>
  </si>
  <si>
    <t>60.5m</t>
  </si>
  <si>
    <t>$7.06</t>
  </si>
  <si>
    <t>47.5m</t>
  </si>
  <si>
    <t>$5.41</t>
  </si>
  <si>
    <t>83m</t>
  </si>
  <si>
    <t>$4.64</t>
  </si>
  <si>
    <t>73.3m</t>
  </si>
  <si>
    <t>$4.30</t>
  </si>
  <si>
    <t>57.4m</t>
  </si>
  <si>
    <t>$3.86</t>
  </si>
  <si>
    <t>46.3m</t>
  </si>
  <si>
    <t>$3.61</t>
  </si>
  <si>
    <t>254m</t>
  </si>
  <si>
    <t>$49.78</t>
  </si>
  <si>
    <t>394m</t>
  </si>
  <si>
    <t>$66.95</t>
  </si>
  <si>
    <t>341m</t>
  </si>
  <si>
    <t>$58.37</t>
  </si>
  <si>
    <t>252m</t>
  </si>
  <si>
    <t>$33.99</t>
  </si>
  <si>
    <t>391m</t>
  </si>
  <si>
    <t>$61.73</t>
  </si>
  <si>
    <t>338m</t>
  </si>
  <si>
    <t>$46.35</t>
  </si>
  <si>
    <t>138m</t>
  </si>
  <si>
    <t>$18.54</t>
  </si>
  <si>
    <t>97.5m</t>
  </si>
  <si>
    <t>70m</t>
  </si>
  <si>
    <t>$10.30</t>
  </si>
  <si>
    <t>10M</t>
  </si>
  <si>
    <t>150m</t>
  </si>
  <si>
    <t>$32.40</t>
  </si>
  <si>
    <t>32 ld LFCSP (5x5mm) w/3.1mm exposed pad</t>
  </si>
  <si>
    <t>640M</t>
  </si>
  <si>
    <t>503m</t>
  </si>
  <si>
    <t>$42.02</t>
  </si>
  <si>
    <t>232m</t>
  </si>
  <si>
    <t>$38.63</t>
  </si>
  <si>
    <t>146.5m</t>
  </si>
  <si>
    <t>$36.05</t>
  </si>
  <si>
    <t>105.5m</t>
  </si>
  <si>
    <t>$24.61</t>
  </si>
  <si>
    <t>95m</t>
  </si>
  <si>
    <t>$19.06</t>
  </si>
  <si>
    <t>177m</t>
  </si>
  <si>
    <t>150.8m</t>
  </si>
  <si>
    <t>$7.73</t>
  </si>
  <si>
    <t>111m</t>
  </si>
  <si>
    <t>$7.42</t>
  </si>
  <si>
    <t>76.7m</t>
  </si>
  <si>
    <t>$5.15</t>
  </si>
  <si>
    <t>425m</t>
  </si>
  <si>
    <t>$104.03</t>
  </si>
  <si>
    <t>64 ld LFCSP (9x9mm, 7.5mm exposed pad)</t>
  </si>
  <si>
    <t>$140.08</t>
  </si>
  <si>
    <t>685m</t>
  </si>
  <si>
    <t>$122.57</t>
  </si>
  <si>
    <t>$56.91</t>
  </si>
  <si>
    <t>$96.31</t>
  </si>
  <si>
    <t>590m</t>
  </si>
  <si>
    <t>$78.80</t>
  </si>
  <si>
    <t>$174.22</t>
  </si>
  <si>
    <t>72 ld LFCSP (10x10mm, 8.2mm exposed pad)</t>
  </si>
  <si>
    <t>$125.20</t>
  </si>
  <si>
    <t>$104.18</t>
  </si>
  <si>
    <t>400m</t>
  </si>
  <si>
    <t>LVDS, Parallel, Serial</t>
  </si>
  <si>
    <t>$37.52</t>
  </si>
  <si>
    <t>56 ld LFCSP (8x8mm, 4.3mm exposed pad)</t>
  </si>
  <si>
    <t>490m</t>
  </si>
  <si>
    <t>150M</t>
  </si>
  <si>
    <t>890m</t>
  </si>
  <si>
    <t>$50.01</t>
  </si>
  <si>
    <t>$43.00</t>
  </si>
  <si>
    <t>650m</t>
  </si>
  <si>
    <t>$35.96</t>
  </si>
  <si>
    <t>390m</t>
  </si>
  <si>
    <t>$61.24</t>
  </si>
  <si>
    <t>310m</t>
  </si>
  <si>
    <t>$43.26</t>
  </si>
  <si>
    <t>291m</t>
  </si>
  <si>
    <t>344m</t>
  </si>
  <si>
    <t>$33.35</t>
  </si>
  <si>
    <t>$38.99</t>
  </si>
  <si>
    <t>740m</t>
  </si>
  <si>
    <t>$20.80</t>
  </si>
  <si>
    <t>$11.74</t>
  </si>
  <si>
    <t>492m</t>
  </si>
  <si>
    <t>$39.09</t>
  </si>
  <si>
    <t>64 ld LFCSP (9x9mm, 7.10 exposed pad),64 ld LFCSP (9x9mm, 7.5mm exposed pad)</t>
  </si>
  <si>
    <t>938m</t>
  </si>
  <si>
    <t>$101.63</t>
  </si>
  <si>
    <t>910m</t>
  </si>
  <si>
    <t>$76.61</t>
  </si>
  <si>
    <t>730m</t>
  </si>
  <si>
    <t>$64.11</t>
  </si>
  <si>
    <t>300M</t>
  </si>
  <si>
    <t>468m</t>
  </si>
  <si>
    <t>$47.95</t>
  </si>
  <si>
    <t>353m</t>
  </si>
  <si>
    <t>$40.65</t>
  </si>
  <si>
    <t>356m</t>
  </si>
  <si>
    <t>463m</t>
  </si>
  <si>
    <t>$61.50</t>
  </si>
  <si>
    <t>383m</t>
  </si>
  <si>
    <t>$43.78</t>
  </si>
  <si>
    <t>407m</t>
  </si>
  <si>
    <t>$36.48</t>
  </si>
  <si>
    <t>470m</t>
  </si>
  <si>
    <t>$57.33</t>
  </si>
  <si>
    <t>48 ld LFCSP (7x7x.85mm w/4.1mm Pad)</t>
  </si>
  <si>
    <t>50M</t>
  </si>
  <si>
    <t>773m</t>
  </si>
  <si>
    <t>$56.29</t>
  </si>
  <si>
    <t>950m</t>
  </si>
  <si>
    <t>$57.18</t>
  </si>
  <si>
    <t>$50.04</t>
  </si>
  <si>
    <t>722m</t>
  </si>
  <si>
    <t>$41.69</t>
  </si>
  <si>
    <t>833m</t>
  </si>
  <si>
    <t>560m</t>
  </si>
  <si>
    <t>$29.19</t>
  </si>
  <si>
    <t>$50.38</t>
  </si>
  <si>
    <t>100 ld TQFP w/ 9.5mm exposed pad</t>
  </si>
  <si>
    <t>$59.07</t>
  </si>
  <si>
    <t>100M</t>
  </si>
  <si>
    <t>562m</t>
  </si>
  <si>
    <t>$14.60</t>
  </si>
  <si>
    <t>409m</t>
  </si>
  <si>
    <t>$46.91</t>
  </si>
  <si>
    <t>130M</t>
  </si>
  <si>
    <t>$67.75</t>
  </si>
  <si>
    <t>279m</t>
  </si>
  <si>
    <t>$26.06</t>
  </si>
  <si>
    <t>458m</t>
  </si>
  <si>
    <t>$50.55</t>
  </si>
  <si>
    <t>$41.64</t>
  </si>
  <si>
    <t>$17.41</t>
  </si>
  <si>
    <t>$28.09</t>
  </si>
  <si>
    <t>350m</t>
  </si>
  <si>
    <t>$23.71</t>
  </si>
  <si>
    <t>510m</t>
  </si>
  <si>
    <t>$28.56</t>
  </si>
  <si>
    <t>$20.85</t>
  </si>
  <si>
    <t>408m</t>
  </si>
  <si>
    <t>$16.68</t>
  </si>
  <si>
    <t>$42.73</t>
  </si>
  <si>
    <t>270m</t>
  </si>
  <si>
    <t>32 ld LFCSP (5x5mm)</t>
  </si>
  <si>
    <t>$8.24</t>
  </si>
  <si>
    <t>100m</t>
  </si>
  <si>
    <t>$45.87</t>
  </si>
  <si>
    <t>$35.44</t>
  </si>
  <si>
    <t>700m</t>
  </si>
  <si>
    <t>$30.75</t>
  </si>
  <si>
    <t>64 ld LFCSP (9x9mm, 4.70mm exposed pad),64 ld LQFP (7x7mm)</t>
  </si>
  <si>
    <t>$24.76</t>
  </si>
  <si>
    <t>217m</t>
  </si>
  <si>
    <t>$19.55</t>
  </si>
  <si>
    <t>618.8m</t>
  </si>
  <si>
    <t>44 ld TQFP (10x10mm)</t>
  </si>
  <si>
    <t>$33.67</t>
  </si>
  <si>
    <t>100 ld TQFP-ED(w/ 6.5mm exposed pad)</t>
  </si>
  <si>
    <t>550m</t>
  </si>
  <si>
    <t>$11.38</t>
  </si>
  <si>
    <t>64 Ball CSPBGA (8x8mm, 1.55mm thick),CHIP SCALE BGA</t>
  </si>
  <si>
    <t>64 ld LFCSP (9x9mm, 4.70mm exposed pad)</t>
  </si>
  <si>
    <t>$7.82</t>
  </si>
  <si>
    <t>330m</t>
  </si>
  <si>
    <t>$11.73</t>
  </si>
  <si>
    <t>698m</t>
  </si>
  <si>
    <t>$18.75</t>
  </si>
  <si>
    <t>411m</t>
  </si>
  <si>
    <t>28 ld TSSOP (4.4mm),32 ld LFCSP (5x5mm)</t>
  </si>
  <si>
    <t>96m</t>
  </si>
  <si>
    <t>$6.98</t>
  </si>
  <si>
    <t>28 ld TSSOP (4.4mm),32 ld LFCSP (5x5mm) w/3.1mm exposed pad</t>
  </si>
  <si>
    <t>114m</t>
  </si>
  <si>
    <t>$5.21</t>
  </si>
  <si>
    <t>145m</t>
  </si>
  <si>
    <t>640m</t>
  </si>
  <si>
    <t>$25.90</t>
  </si>
  <si>
    <t>48 ld LQFP</t>
  </si>
  <si>
    <t>370m</t>
  </si>
  <si>
    <t>$19.43</t>
  </si>
  <si>
    <t>$18.77</t>
  </si>
  <si>
    <t>397m</t>
  </si>
  <si>
    <t>$12.50</t>
  </si>
  <si>
    <t>$11.46</t>
  </si>
  <si>
    <t>$41.17</t>
  </si>
  <si>
    <t>52 ld Flat Pack</t>
  </si>
  <si>
    <t>$45.55</t>
  </si>
  <si>
    <t>52 ld TQFP_EP(10x10 w/6.5ep)</t>
  </si>
  <si>
    <t>$35.55</t>
  </si>
  <si>
    <t>52 ld TQFP_EP(10x10 w/7.3 ep)</t>
  </si>
  <si>
    <t>$33.83</t>
  </si>
  <si>
    <t>565m</t>
  </si>
  <si>
    <t>$13.93</t>
  </si>
  <si>
    <t>$12.26</t>
  </si>
  <si>
    <t>340m</t>
  </si>
  <si>
    <t>$9.38</t>
  </si>
  <si>
    <t>$17.85</t>
  </si>
  <si>
    <t>32 ld LFCSP (5x5mm),28 ld TSSOP (4.4mm)</t>
  </si>
  <si>
    <t>205m</t>
  </si>
  <si>
    <t>$8.23</t>
  </si>
  <si>
    <t>110m</t>
  </si>
  <si>
    <t>$7.29</t>
  </si>
  <si>
    <t>$944.03</t>
  </si>
  <si>
    <t>68 ld CLCC(24.13x24.13x4.45mm formed)</t>
  </si>
  <si>
    <t>$54.69</t>
  </si>
  <si>
    <t>80 ld TQFP-EP (14x14mm w/9.5mm EP)</t>
  </si>
  <si>
    <t>220m</t>
  </si>
  <si>
    <t>$8.70</t>
  </si>
  <si>
    <t>28 ld SSOP</t>
  </si>
  <si>
    <t>$6.52</t>
  </si>
  <si>
    <t>325m</t>
  </si>
  <si>
    <t>$11.15</t>
  </si>
  <si>
    <t>68 ld CLCC(24.13x24.13x5.84mm formed)</t>
  </si>
  <si>
    <t>500m</t>
  </si>
  <si>
    <t>$21.12</t>
  </si>
  <si>
    <t>28 ld SSOP,48 ld LQFP</t>
  </si>
  <si>
    <t>-25 to 85°C</t>
  </si>
  <si>
    <t>$46.95</t>
  </si>
  <si>
    <t>52 ld LQFP (10x10mm)</t>
  </si>
  <si>
    <t>$34.91</t>
  </si>
  <si>
    <t>$29.08</t>
  </si>
  <si>
    <t>52 ld LQFP (10x10mm),52 ld TQFP_EP(10x10 w/7.3 ep)</t>
  </si>
  <si>
    <t>$36.12</t>
  </si>
  <si>
    <t>108m</t>
  </si>
  <si>
    <t>$4.18</t>
  </si>
  <si>
    <t>28 ld TSSOP (4.4mm)</t>
  </si>
  <si>
    <t>156m</t>
  </si>
  <si>
    <t>$3.78</t>
  </si>
  <si>
    <t>$11.69</t>
  </si>
  <si>
    <t>781m</t>
  </si>
  <si>
    <t>135M</t>
  </si>
  <si>
    <t>90m</t>
  </si>
  <si>
    <t>$3.34</t>
  </si>
  <si>
    <t>20 ld SSOP</t>
  </si>
  <si>
    <t>80m</t>
  </si>
  <si>
    <t>$2.78</t>
  </si>
  <si>
    <t>$6.13</t>
  </si>
  <si>
    <t>$15.92</t>
  </si>
  <si>
    <t>28 ld SOIC - Wide,28 ld SSOP</t>
  </si>
  <si>
    <t>450m</t>
  </si>
  <si>
    <t>$13.41</t>
  </si>
  <si>
    <t>60M</t>
  </si>
  <si>
    <t>$7.66</t>
  </si>
  <si>
    <t>28M</t>
  </si>
  <si>
    <t>260m</t>
  </si>
  <si>
    <t>245m</t>
  </si>
  <si>
    <t>$5.51</t>
  </si>
  <si>
    <t>865m</t>
  </si>
  <si>
    <t>$43.44</t>
  </si>
  <si>
    <t>44 ld LQFP (10x10mm)</t>
  </si>
  <si>
    <t>12.5M</t>
  </si>
  <si>
    <t>215m</t>
  </si>
  <si>
    <t>$11.42</t>
  </si>
  <si>
    <t>32M</t>
  </si>
  <si>
    <t>$2.40</t>
  </si>
  <si>
    <t>$20.21</t>
  </si>
  <si>
    <t>44 ld MQFP (13.20mm wide)</t>
  </si>
  <si>
    <t>28 ld SSOP,SSOP 5.3 MM</t>
  </si>
  <si>
    <t>505m</t>
  </si>
  <si>
    <t>$14.55</t>
  </si>
  <si>
    <t>281m</t>
  </si>
  <si>
    <t>$3.67</t>
  </si>
  <si>
    <t>$3.18</t>
  </si>
  <si>
    <t>$2.82</t>
  </si>
  <si>
    <t>$6.73</t>
  </si>
  <si>
    <t>190m</t>
  </si>
  <si>
    <t>0 to 70°C</t>
  </si>
  <si>
    <t>$4.21</t>
  </si>
  <si>
    <t>28 ld SOIC - Wide,48 ld LQFP</t>
  </si>
  <si>
    <t>LVDS,Parallel</t>
  </si>
  <si>
    <t>LVDS,Serial</t>
  </si>
  <si>
    <t>CMOS,LVDS,Parallel</t>
  </si>
  <si>
    <t>Parallel,Serial</t>
  </si>
  <si>
    <t>LVDS,Parallel,Serial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</si>
</sst>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u/>
      <sz val="11"/>
      <color rgb="FF0563C1"/>
      <name val="Calibri"/>
    </font>
    <font>
      <b/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4" fillId="0" borderId="0" xfId="0" applyFont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3.5"/>
  <cols>
    <col min="1" max="1" width="20" customWidth="1"/>
    <col min="2" max="2" width="25" customWidth="1"/>
    <col min="3" max="3" width="20" customWidth="1"/>
  </cols>
  <sheetData>
    <row r="1" spans="1:3" ht="15">
      <c r="A1" s="2" t="s">
        <v>0</v>
      </c>
      <c r="B1" t="s">
        <v>1</v>
      </c>
    </row>
    <row r="2" spans="1:3" ht="15">
      <c r="A2" s="2" t="s">
        <v>2</v>
      </c>
      <c r="B2" t="s">
        <v>3</v>
      </c>
    </row>
    <row r="3" spans="1:3" ht="15">
      <c r="A3" s="2" t="s">
        <v>4</v>
      </c>
      <c r="B3" s="1" t="str">
        <f>HYPERLINK("http://www.analog.com/cn/parametricsearch/10826#/p1746=10000000|3000000000", "http://www.analog.com/cn/parametricsearch/10826#/p1746=10000000|3000000000")</f>
        <v>http://www.analog.com/cn/parametricsearch/10826#/p1746=10000000|3000000000</v>
      </c>
    </row>
    <row r="4" spans="1:3" ht="15">
      <c r="A4" s="2" t="s">
        <v>5</v>
      </c>
      <c r="B4" s="2" t="s">
        <v>6</v>
      </c>
      <c r="C4" s="2" t="s">
        <v>7</v>
      </c>
    </row>
    <row r="5" spans="1:3" ht="15">
      <c r="A5" t="s">
        <v>8</v>
      </c>
      <c r="B5" t="s">
        <v>9</v>
      </c>
      <c r="C5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L236"/>
  <sheetViews>
    <sheetView tabSelected="1" workbookViewId="0">
      <selection activeCell="C248" sqref="C248"/>
    </sheetView>
  </sheetViews>
  <sheetFormatPr defaultRowHeight="13.5"/>
  <cols>
    <col min="1" max="2" width="15" customWidth="1"/>
    <col min="3" max="3" width="20" customWidth="1"/>
    <col min="4" max="4" width="10.85546875" customWidth="1"/>
    <col min="5" max="5" width="16.28515625" customWidth="1"/>
    <col min="6" max="6" width="18" customWidth="1"/>
    <col min="7" max="7" width="25" customWidth="1"/>
    <col min="8" max="9" width="15" customWidth="1"/>
    <col min="10" max="10" width="22" customWidth="1"/>
    <col min="11" max="11" width="25" customWidth="1"/>
    <col min="12" max="12" width="15" customWidth="1"/>
  </cols>
  <sheetData>
    <row r="1" spans="1:12" ht="1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ht="15" hidden="1">
      <c r="A2" s="4" t="s">
        <v>8</v>
      </c>
      <c r="B2" s="4" t="s">
        <v>23</v>
      </c>
      <c r="C2" s="4" t="s">
        <v>24</v>
      </c>
      <c r="D2" s="4" t="s">
        <v>8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8</v>
      </c>
      <c r="J2" s="4" t="s">
        <v>8</v>
      </c>
      <c r="K2" s="4" t="s">
        <v>29</v>
      </c>
      <c r="L2" s="4" t="s">
        <v>8</v>
      </c>
    </row>
    <row r="3" spans="1:12" ht="15" hidden="1">
      <c r="A3" s="5" t="str">
        <f>HYPERLINK("http://www.analog.com/zh/ad9208#details", "AD9208")</f>
        <v>AD9208</v>
      </c>
      <c r="B3">
        <v>14</v>
      </c>
      <c r="C3" t="s">
        <v>30</v>
      </c>
      <c r="D3">
        <v>2</v>
      </c>
      <c r="E3">
        <v>6</v>
      </c>
      <c r="F3">
        <v>1.7</v>
      </c>
      <c r="G3">
        <v>60.2</v>
      </c>
      <c r="H3">
        <v>3.3</v>
      </c>
      <c r="I3" t="s">
        <v>31</v>
      </c>
      <c r="J3" t="s">
        <v>32</v>
      </c>
      <c r="K3" t="s">
        <v>33</v>
      </c>
      <c r="L3" t="s">
        <v>34</v>
      </c>
    </row>
    <row r="4" spans="1:12" ht="15" hidden="1">
      <c r="A4" s="5" t="str">
        <f>HYPERLINK("http://www.analog.com/zh/ad9694#details", "AD9694")</f>
        <v>AD9694</v>
      </c>
      <c r="B4">
        <v>14</v>
      </c>
      <c r="C4" t="s">
        <v>35</v>
      </c>
      <c r="D4">
        <v>4</v>
      </c>
      <c r="E4">
        <v>1</v>
      </c>
      <c r="F4">
        <v>1.8</v>
      </c>
      <c r="G4">
        <v>67.099999999999994</v>
      </c>
      <c r="H4">
        <v>1.66</v>
      </c>
      <c r="I4" t="s">
        <v>36</v>
      </c>
      <c r="J4" t="s">
        <v>32</v>
      </c>
      <c r="K4" t="s">
        <v>37</v>
      </c>
      <c r="L4" t="s">
        <v>38</v>
      </c>
    </row>
    <row r="5" spans="1:12" ht="15" hidden="1">
      <c r="A5" s="5" t="str">
        <f>HYPERLINK("http://www.analog.com/zh/ad9691#details", "AD9691")</f>
        <v>AD9691</v>
      </c>
      <c r="B5">
        <v>14</v>
      </c>
      <c r="C5" t="s">
        <v>39</v>
      </c>
      <c r="D5">
        <v>2</v>
      </c>
      <c r="E5">
        <v>2.6</v>
      </c>
      <c r="F5">
        <v>1.58</v>
      </c>
      <c r="G5">
        <v>63.4</v>
      </c>
      <c r="H5">
        <v>3.8</v>
      </c>
      <c r="I5" t="s">
        <v>31</v>
      </c>
      <c r="J5" t="s">
        <v>32</v>
      </c>
      <c r="K5" t="s">
        <v>40</v>
      </c>
      <c r="L5" t="s">
        <v>41</v>
      </c>
    </row>
    <row r="6" spans="1:12" ht="15" hidden="1">
      <c r="A6" s="5" t="str">
        <f>HYPERLINK("http://www.analog.com/zh/ad9684#details", "AD9684")</f>
        <v>AD9684</v>
      </c>
      <c r="B6">
        <v>14</v>
      </c>
      <c r="C6" t="s">
        <v>35</v>
      </c>
      <c r="D6">
        <v>2</v>
      </c>
      <c r="E6">
        <v>2.5</v>
      </c>
      <c r="F6">
        <v>2.06</v>
      </c>
      <c r="G6">
        <v>69.2</v>
      </c>
      <c r="H6">
        <v>2.2000000000000002</v>
      </c>
      <c r="I6" t="s">
        <v>31</v>
      </c>
      <c r="J6" t="s">
        <v>42</v>
      </c>
      <c r="K6" t="s">
        <v>43</v>
      </c>
      <c r="L6" t="s">
        <v>44</v>
      </c>
    </row>
    <row r="7" spans="1:12" ht="15" hidden="1">
      <c r="A7" s="5" t="str">
        <f>HYPERLINK("http://www.analog.com/zh/ad9655#details", "AD9655")</f>
        <v>AD9655</v>
      </c>
      <c r="B7">
        <v>16</v>
      </c>
      <c r="C7" t="s">
        <v>45</v>
      </c>
      <c r="D7">
        <v>2</v>
      </c>
      <c r="E7">
        <v>4</v>
      </c>
      <c r="F7">
        <v>2.8</v>
      </c>
      <c r="G7">
        <v>79.599999999999994</v>
      </c>
      <c r="H7" t="s">
        <v>46</v>
      </c>
      <c r="I7" t="s">
        <v>31</v>
      </c>
      <c r="J7" t="s">
        <v>47</v>
      </c>
      <c r="K7" t="s">
        <v>48</v>
      </c>
      <c r="L7" t="s">
        <v>49</v>
      </c>
    </row>
    <row r="8" spans="1:12" ht="15" hidden="1">
      <c r="A8" s="5" t="str">
        <f>HYPERLINK("http://www.analog.com/zh/ad9680#details", "AD9680-820")</f>
        <v>AD9680-820</v>
      </c>
      <c r="B8">
        <v>14</v>
      </c>
      <c r="C8" t="s">
        <v>50</v>
      </c>
      <c r="D8">
        <v>2</v>
      </c>
      <c r="E8">
        <v>2.5</v>
      </c>
      <c r="F8">
        <v>1.7</v>
      </c>
      <c r="G8">
        <v>67.2</v>
      </c>
      <c r="H8">
        <v>2.9</v>
      </c>
      <c r="I8" t="s">
        <v>31</v>
      </c>
      <c r="J8" t="s">
        <v>32</v>
      </c>
      <c r="K8" t="s">
        <v>51</v>
      </c>
      <c r="L8" t="s">
        <v>52</v>
      </c>
    </row>
    <row r="9" spans="1:12" ht="15" hidden="1">
      <c r="A9" s="5" t="str">
        <f>HYPERLINK("http://www.analog.com/zh/ad9680#details", "AD9680-500")</f>
        <v>AD9680-500</v>
      </c>
      <c r="B9">
        <v>14</v>
      </c>
      <c r="C9" t="s">
        <v>35</v>
      </c>
      <c r="D9">
        <v>2</v>
      </c>
      <c r="E9">
        <v>2.5</v>
      </c>
      <c r="F9">
        <v>2.06</v>
      </c>
      <c r="G9">
        <v>69.2</v>
      </c>
      <c r="H9">
        <v>2.2000000000000002</v>
      </c>
      <c r="I9" t="s">
        <v>31</v>
      </c>
      <c r="J9" t="s">
        <v>32</v>
      </c>
      <c r="K9" t="s">
        <v>43</v>
      </c>
      <c r="L9" t="s">
        <v>52</v>
      </c>
    </row>
    <row r="10" spans="1:12" ht="15" hidden="1">
      <c r="A10" s="5" t="str">
        <f>HYPERLINK("http://www.analog.com/zh/ad9680#details", "AD9680-1250")</f>
        <v>AD9680-1250</v>
      </c>
      <c r="B10">
        <v>14</v>
      </c>
      <c r="C10" t="s">
        <v>53</v>
      </c>
      <c r="D10">
        <v>2</v>
      </c>
      <c r="E10">
        <v>3</v>
      </c>
      <c r="F10">
        <v>1.58</v>
      </c>
      <c r="G10">
        <v>63.6</v>
      </c>
      <c r="H10">
        <v>3.7</v>
      </c>
      <c r="I10" t="s">
        <v>31</v>
      </c>
      <c r="J10" t="s">
        <v>32</v>
      </c>
      <c r="K10" t="s">
        <v>40</v>
      </c>
      <c r="L10" t="s">
        <v>52</v>
      </c>
    </row>
    <row r="11" spans="1:12" ht="15" hidden="1">
      <c r="A11" s="5" t="str">
        <f>HYPERLINK("http://www.analog.com/zh/ad9680#details", "AD9680-1000")</f>
        <v>AD9680-1000</v>
      </c>
      <c r="B11">
        <v>14</v>
      </c>
      <c r="C11" t="s">
        <v>54</v>
      </c>
      <c r="D11">
        <v>2</v>
      </c>
      <c r="E11">
        <v>2.5</v>
      </c>
      <c r="F11">
        <v>1.7</v>
      </c>
      <c r="G11">
        <v>67.2</v>
      </c>
      <c r="H11">
        <v>3.3</v>
      </c>
      <c r="I11" t="s">
        <v>31</v>
      </c>
      <c r="J11" t="s">
        <v>32</v>
      </c>
      <c r="K11" t="s">
        <v>55</v>
      </c>
      <c r="L11" t="s">
        <v>52</v>
      </c>
    </row>
    <row r="12" spans="1:12" ht="15" hidden="1">
      <c r="A12" s="5" t="str">
        <f>HYPERLINK("http://www.analog.com/zh/ad9652#details", "AD9652")</f>
        <v>AD9652</v>
      </c>
      <c r="B12">
        <v>16</v>
      </c>
      <c r="C12" t="s">
        <v>56</v>
      </c>
      <c r="D12">
        <v>2</v>
      </c>
      <c r="E12">
        <v>4.5</v>
      </c>
      <c r="F12">
        <v>2.5</v>
      </c>
      <c r="G12">
        <v>75.400000000000006</v>
      </c>
      <c r="H12" t="s">
        <v>57</v>
      </c>
      <c r="I12" t="s">
        <v>31</v>
      </c>
      <c r="J12" t="s">
        <v>58</v>
      </c>
      <c r="K12" t="s">
        <v>59</v>
      </c>
      <c r="L12" t="s">
        <v>60</v>
      </c>
    </row>
    <row r="13" spans="1:12" ht="15" hidden="1">
      <c r="A13" s="5" t="str">
        <f>HYPERLINK("http://www.analog.com/zh/ad9625#details", "AD9625-2500")</f>
        <v>AD9625-2500</v>
      </c>
      <c r="B13">
        <v>12</v>
      </c>
      <c r="C13" t="s">
        <v>61</v>
      </c>
      <c r="D13">
        <v>1</v>
      </c>
      <c r="E13">
        <v>1</v>
      </c>
      <c r="F13">
        <v>1.1000000000000001</v>
      </c>
      <c r="G13">
        <v>58.3</v>
      </c>
      <c r="H13">
        <v>3.9</v>
      </c>
      <c r="I13" t="s">
        <v>31</v>
      </c>
      <c r="J13" t="s">
        <v>32</v>
      </c>
      <c r="K13" t="s">
        <v>62</v>
      </c>
      <c r="L13" t="s">
        <v>63</v>
      </c>
    </row>
    <row r="14" spans="1:12" ht="15" hidden="1">
      <c r="A14" s="5" t="str">
        <f>HYPERLINK("http://www.analog.com/zh/ad9625#details", "AD9625-2000")</f>
        <v>AD9625-2000</v>
      </c>
      <c r="B14">
        <v>12</v>
      </c>
      <c r="C14" t="s">
        <v>64</v>
      </c>
      <c r="D14">
        <v>1</v>
      </c>
      <c r="E14">
        <v>0.9</v>
      </c>
      <c r="F14">
        <v>1.1000000000000001</v>
      </c>
      <c r="G14">
        <v>59.5</v>
      </c>
      <c r="H14">
        <v>3.48</v>
      </c>
      <c r="I14" t="s">
        <v>31</v>
      </c>
      <c r="J14" t="s">
        <v>32</v>
      </c>
      <c r="K14" t="s">
        <v>65</v>
      </c>
      <c r="L14" t="s">
        <v>63</v>
      </c>
    </row>
    <row r="15" spans="1:12" ht="15" hidden="1">
      <c r="A15" s="5" t="str">
        <f>HYPERLINK("http://www.analog.com/zh/ad9656#details", "AD9656")</f>
        <v>AD9656</v>
      </c>
      <c r="B15">
        <v>16</v>
      </c>
      <c r="C15" t="s">
        <v>45</v>
      </c>
      <c r="D15">
        <v>4</v>
      </c>
      <c r="E15">
        <v>4.5</v>
      </c>
      <c r="F15">
        <v>2.8</v>
      </c>
      <c r="G15">
        <v>80.099999999999994</v>
      </c>
      <c r="H15" t="s">
        <v>66</v>
      </c>
      <c r="I15" t="s">
        <v>31</v>
      </c>
      <c r="J15" t="s">
        <v>32</v>
      </c>
      <c r="K15" t="s">
        <v>67</v>
      </c>
      <c r="L15" t="s">
        <v>68</v>
      </c>
    </row>
    <row r="16" spans="1:12" ht="15" hidden="1">
      <c r="A16" s="5" t="str">
        <f>HYPERLINK("http://www.analog.com/zh/ad9681#details", "AD9681")</f>
        <v>AD9681</v>
      </c>
      <c r="B16">
        <v>14</v>
      </c>
      <c r="C16" t="s">
        <v>45</v>
      </c>
      <c r="D16">
        <v>8</v>
      </c>
      <c r="E16">
        <v>1.2</v>
      </c>
      <c r="F16">
        <v>2</v>
      </c>
      <c r="G16">
        <v>74.8</v>
      </c>
      <c r="H16" t="s">
        <v>69</v>
      </c>
      <c r="I16" t="s">
        <v>31</v>
      </c>
      <c r="J16" t="s">
        <v>47</v>
      </c>
      <c r="K16" t="s">
        <v>70</v>
      </c>
      <c r="L16" t="s">
        <v>71</v>
      </c>
    </row>
    <row r="17" spans="1:12" ht="15" hidden="1">
      <c r="A17" s="5" t="str">
        <f>HYPERLINK("http://www.analog.com/zh/ad9249#details", "AD9249")</f>
        <v>AD9249</v>
      </c>
      <c r="B17">
        <v>14</v>
      </c>
      <c r="C17" t="s">
        <v>72</v>
      </c>
      <c r="D17">
        <v>16</v>
      </c>
      <c r="E17">
        <v>0.9</v>
      </c>
      <c r="F17">
        <v>2</v>
      </c>
      <c r="G17">
        <v>75.400000000000006</v>
      </c>
      <c r="H17" t="s">
        <v>73</v>
      </c>
      <c r="I17" t="s">
        <v>31</v>
      </c>
      <c r="J17" t="s">
        <v>47</v>
      </c>
      <c r="K17" t="s">
        <v>74</v>
      </c>
      <c r="L17" t="s">
        <v>71</v>
      </c>
    </row>
    <row r="18" spans="1:12" ht="15" hidden="1">
      <c r="A18" s="5" t="str">
        <f>HYPERLINK("http://www.analog.com/zh/ad9683#details", "AD9683-250")</f>
        <v>AD9683-250</v>
      </c>
      <c r="B18">
        <v>14</v>
      </c>
      <c r="C18" t="s">
        <v>75</v>
      </c>
      <c r="D18">
        <v>1</v>
      </c>
      <c r="E18">
        <v>1.5</v>
      </c>
      <c r="F18">
        <v>1.75</v>
      </c>
      <c r="G18">
        <v>72.099999999999994</v>
      </c>
      <c r="H18" t="s">
        <v>76</v>
      </c>
      <c r="I18" t="s">
        <v>31</v>
      </c>
      <c r="J18" t="s">
        <v>32</v>
      </c>
      <c r="K18" t="s">
        <v>77</v>
      </c>
      <c r="L18" t="s">
        <v>49</v>
      </c>
    </row>
    <row r="19" spans="1:12" ht="15" hidden="1">
      <c r="A19" s="5" t="str">
        <f>HYPERLINK("http://www.analog.com/zh/ad9683#details", "AD9683-170")</f>
        <v>AD9683-170</v>
      </c>
      <c r="B19">
        <v>14</v>
      </c>
      <c r="C19" t="s">
        <v>78</v>
      </c>
      <c r="D19">
        <v>1</v>
      </c>
      <c r="E19">
        <v>0.8</v>
      </c>
      <c r="F19">
        <v>1.75</v>
      </c>
      <c r="G19">
        <v>72.3</v>
      </c>
      <c r="H19" t="s">
        <v>79</v>
      </c>
      <c r="I19" t="s">
        <v>31</v>
      </c>
      <c r="J19" t="s">
        <v>32</v>
      </c>
      <c r="K19" t="s">
        <v>80</v>
      </c>
      <c r="L19" t="s">
        <v>49</v>
      </c>
    </row>
    <row r="20" spans="1:12" ht="15" hidden="1">
      <c r="A20" s="5" t="str">
        <f>HYPERLINK("http://www.analog.com/zh/ad9250#details", "AD9250-250")</f>
        <v>AD9250-250</v>
      </c>
      <c r="B20">
        <v>14</v>
      </c>
      <c r="C20" t="s">
        <v>75</v>
      </c>
      <c r="D20">
        <v>2</v>
      </c>
      <c r="E20">
        <v>1.5</v>
      </c>
      <c r="F20">
        <v>1.75</v>
      </c>
      <c r="G20">
        <v>72.099999999999994</v>
      </c>
      <c r="H20">
        <v>711</v>
      </c>
      <c r="I20" t="s">
        <v>31</v>
      </c>
      <c r="J20" t="s">
        <v>32</v>
      </c>
      <c r="K20" t="s">
        <v>81</v>
      </c>
      <c r="L20" t="s">
        <v>82</v>
      </c>
    </row>
    <row r="21" spans="1:12" ht="15" hidden="1">
      <c r="A21" s="5" t="str">
        <f>HYPERLINK("http://www.analog.com/zh/ad9250#details", "AD9250-170")</f>
        <v>AD9250-170</v>
      </c>
      <c r="B21">
        <v>14</v>
      </c>
      <c r="C21" t="s">
        <v>78</v>
      </c>
      <c r="D21">
        <v>2</v>
      </c>
      <c r="E21">
        <v>1.5</v>
      </c>
      <c r="F21">
        <v>1.75</v>
      </c>
      <c r="G21">
        <v>72.5</v>
      </c>
      <c r="H21">
        <v>607</v>
      </c>
      <c r="I21" t="s">
        <v>31</v>
      </c>
      <c r="J21" t="s">
        <v>32</v>
      </c>
      <c r="K21" t="s">
        <v>83</v>
      </c>
      <c r="L21" t="s">
        <v>82</v>
      </c>
    </row>
    <row r="22" spans="1:12" ht="15" hidden="1">
      <c r="A22" s="5" t="str">
        <f>HYPERLINK("http://www.analog.com/zh/ad9635#details", "AD9635")</f>
        <v>AD9635</v>
      </c>
      <c r="B22">
        <v>12</v>
      </c>
      <c r="C22" t="s">
        <v>84</v>
      </c>
      <c r="D22">
        <v>2</v>
      </c>
      <c r="E22">
        <v>0.4</v>
      </c>
      <c r="F22">
        <v>2</v>
      </c>
      <c r="G22">
        <v>71</v>
      </c>
      <c r="H22" t="s">
        <v>85</v>
      </c>
      <c r="I22" t="s">
        <v>31</v>
      </c>
      <c r="J22" t="s">
        <v>47</v>
      </c>
      <c r="K22" t="s">
        <v>86</v>
      </c>
      <c r="L22" t="s">
        <v>49</v>
      </c>
    </row>
    <row r="23" spans="1:12" ht="15" hidden="1">
      <c r="A23" s="5" t="str">
        <f>HYPERLINK("http://www.analog.com/zh/ad9653#details", "AD9653")</f>
        <v>AD9653</v>
      </c>
      <c r="B23">
        <v>16</v>
      </c>
      <c r="C23" t="s">
        <v>45</v>
      </c>
      <c r="D23">
        <v>4</v>
      </c>
      <c r="E23">
        <v>3.5</v>
      </c>
      <c r="F23">
        <v>2</v>
      </c>
      <c r="G23">
        <v>78</v>
      </c>
      <c r="H23" t="s">
        <v>87</v>
      </c>
      <c r="I23" t="s">
        <v>31</v>
      </c>
      <c r="J23" t="s">
        <v>58</v>
      </c>
      <c r="K23" t="s">
        <v>88</v>
      </c>
      <c r="L23" t="s">
        <v>82</v>
      </c>
    </row>
    <row r="24" spans="1:12" ht="15" hidden="1">
      <c r="A24" s="5" t="str">
        <f>HYPERLINK("http://www.analog.com/zh/ad9637#details", "AD9637-80")</f>
        <v>AD9637-80</v>
      </c>
      <c r="B24">
        <v>12</v>
      </c>
      <c r="C24" t="s">
        <v>84</v>
      </c>
      <c r="D24">
        <v>8</v>
      </c>
      <c r="E24">
        <v>0.5</v>
      </c>
      <c r="F24">
        <v>2</v>
      </c>
      <c r="G24">
        <v>71.5</v>
      </c>
      <c r="H24" t="s">
        <v>89</v>
      </c>
      <c r="I24" t="s">
        <v>31</v>
      </c>
      <c r="J24" t="s">
        <v>47</v>
      </c>
      <c r="K24" t="s">
        <v>90</v>
      </c>
      <c r="L24" t="s">
        <v>91</v>
      </c>
    </row>
    <row r="25" spans="1:12" ht="15" hidden="1">
      <c r="A25" s="5" t="str">
        <f>HYPERLINK("http://www.analog.com/zh/ad9637#details", "AD9637-40")</f>
        <v>AD9637-40</v>
      </c>
      <c r="B25">
        <v>12</v>
      </c>
      <c r="C25" t="s">
        <v>92</v>
      </c>
      <c r="D25">
        <v>8</v>
      </c>
      <c r="E25">
        <v>0.4</v>
      </c>
      <c r="F25">
        <v>2</v>
      </c>
      <c r="G25">
        <v>72</v>
      </c>
      <c r="H25" t="s">
        <v>93</v>
      </c>
      <c r="I25" t="s">
        <v>31</v>
      </c>
      <c r="J25" t="s">
        <v>47</v>
      </c>
      <c r="K25" t="s">
        <v>94</v>
      </c>
      <c r="L25" t="s">
        <v>91</v>
      </c>
    </row>
    <row r="26" spans="1:12" ht="15" hidden="1">
      <c r="A26" s="5" t="str">
        <f>HYPERLINK("http://www.analog.com/zh/ad9633#details", "AD9633-80")</f>
        <v>AD9633-80</v>
      </c>
      <c r="B26">
        <v>12</v>
      </c>
      <c r="C26" t="s">
        <v>84</v>
      </c>
      <c r="D26">
        <v>4</v>
      </c>
      <c r="E26">
        <v>0.5</v>
      </c>
      <c r="F26">
        <v>2</v>
      </c>
      <c r="G26">
        <v>71.7</v>
      </c>
      <c r="H26" t="s">
        <v>95</v>
      </c>
      <c r="I26" t="s">
        <v>31</v>
      </c>
      <c r="J26" t="s">
        <v>47</v>
      </c>
      <c r="K26" t="s">
        <v>96</v>
      </c>
      <c r="L26" t="s">
        <v>82</v>
      </c>
    </row>
    <row r="27" spans="1:12" ht="15" hidden="1">
      <c r="A27" s="5" t="str">
        <f>HYPERLINK("http://www.analog.com/zh/ad9633#details", "AD9633-125")</f>
        <v>AD9633-125</v>
      </c>
      <c r="B27">
        <v>12</v>
      </c>
      <c r="C27" t="s">
        <v>45</v>
      </c>
      <c r="D27">
        <v>4</v>
      </c>
      <c r="E27">
        <v>0.5</v>
      </c>
      <c r="F27">
        <v>2</v>
      </c>
      <c r="G27">
        <v>71.8</v>
      </c>
      <c r="H27" t="s">
        <v>97</v>
      </c>
      <c r="I27" t="s">
        <v>31</v>
      </c>
      <c r="J27" t="s">
        <v>47</v>
      </c>
      <c r="K27" t="s">
        <v>98</v>
      </c>
      <c r="L27" t="s">
        <v>82</v>
      </c>
    </row>
    <row r="28" spans="1:12" ht="15" hidden="1">
      <c r="A28" s="5" t="str">
        <f>HYPERLINK("http://www.analog.com/zh/ad9633#details", "AD9633-105")</f>
        <v>AD9633-105</v>
      </c>
      <c r="B28">
        <v>12</v>
      </c>
      <c r="C28" t="s">
        <v>99</v>
      </c>
      <c r="D28">
        <v>4</v>
      </c>
      <c r="E28">
        <v>0.5</v>
      </c>
      <c r="F28">
        <v>2</v>
      </c>
      <c r="G28">
        <v>71.7</v>
      </c>
      <c r="H28" t="s">
        <v>100</v>
      </c>
      <c r="I28" t="s">
        <v>31</v>
      </c>
      <c r="J28" t="s">
        <v>47</v>
      </c>
      <c r="K28" t="s">
        <v>101</v>
      </c>
      <c r="L28" t="s">
        <v>82</v>
      </c>
    </row>
    <row r="29" spans="1:12" ht="15" hidden="1">
      <c r="A29" s="5" t="str">
        <f>HYPERLINK("http://www.analog.com/zh/ad9257#details", "AD9257-65")</f>
        <v>AD9257-65</v>
      </c>
      <c r="B29">
        <v>14</v>
      </c>
      <c r="C29" t="s">
        <v>72</v>
      </c>
      <c r="D29">
        <v>8</v>
      </c>
      <c r="E29">
        <v>1.1000000000000001</v>
      </c>
      <c r="F29">
        <v>2</v>
      </c>
      <c r="G29">
        <v>75.7</v>
      </c>
      <c r="H29" t="s">
        <v>102</v>
      </c>
      <c r="I29" t="s">
        <v>31</v>
      </c>
      <c r="J29" t="s">
        <v>47</v>
      </c>
      <c r="K29" t="s">
        <v>103</v>
      </c>
      <c r="L29" t="s">
        <v>91</v>
      </c>
    </row>
    <row r="30" spans="1:12" ht="15" hidden="1">
      <c r="A30" s="5" t="str">
        <f>HYPERLINK("http://www.analog.com/zh/ad9257#details", "AD9257-40")</f>
        <v>AD9257-40</v>
      </c>
      <c r="B30">
        <v>14</v>
      </c>
      <c r="C30" t="s">
        <v>92</v>
      </c>
      <c r="D30">
        <v>8</v>
      </c>
      <c r="E30">
        <v>1.1000000000000001</v>
      </c>
      <c r="F30">
        <v>2</v>
      </c>
      <c r="G30">
        <v>75.900000000000006</v>
      </c>
      <c r="H30" t="s">
        <v>104</v>
      </c>
      <c r="I30" t="s">
        <v>31</v>
      </c>
      <c r="J30" t="s">
        <v>47</v>
      </c>
      <c r="K30" t="s">
        <v>105</v>
      </c>
      <c r="L30" t="s">
        <v>91</v>
      </c>
    </row>
    <row r="31" spans="1:12" ht="15" hidden="1">
      <c r="A31" s="5" t="str">
        <f>HYPERLINK("http://www.analog.com/zh/ad9253#details", "AD9253-EP")</f>
        <v>AD9253-EP</v>
      </c>
      <c r="B31">
        <v>14</v>
      </c>
      <c r="C31" t="s">
        <v>84</v>
      </c>
      <c r="D31">
        <v>4</v>
      </c>
      <c r="E31">
        <v>2</v>
      </c>
      <c r="F31">
        <v>2</v>
      </c>
      <c r="G31">
        <v>75.3</v>
      </c>
      <c r="H31" t="s">
        <v>106</v>
      </c>
      <c r="I31" t="s">
        <v>107</v>
      </c>
      <c r="J31" t="s">
        <v>47</v>
      </c>
      <c r="K31" t="s">
        <v>108</v>
      </c>
      <c r="L31" t="s">
        <v>82</v>
      </c>
    </row>
    <row r="32" spans="1:12" ht="15" hidden="1">
      <c r="A32" s="5" t="str">
        <f>HYPERLINK("http://www.analog.com/zh/ad9253#details", "AD9253-80")</f>
        <v>AD9253-80</v>
      </c>
      <c r="B32">
        <v>14</v>
      </c>
      <c r="C32" t="s">
        <v>84</v>
      </c>
      <c r="D32">
        <v>4</v>
      </c>
      <c r="E32">
        <v>1.5</v>
      </c>
      <c r="F32">
        <v>2</v>
      </c>
      <c r="G32">
        <v>75.400000000000006</v>
      </c>
      <c r="H32" t="s">
        <v>109</v>
      </c>
      <c r="I32" t="s">
        <v>107</v>
      </c>
      <c r="J32" t="s">
        <v>47</v>
      </c>
      <c r="K32" t="s">
        <v>110</v>
      </c>
      <c r="L32" t="s">
        <v>82</v>
      </c>
    </row>
    <row r="33" spans="1:12" ht="15" hidden="1">
      <c r="A33" s="5" t="str">
        <f>HYPERLINK("http://www.analog.com/zh/ad9253#details", "AD9253-125")</f>
        <v>AD9253-125</v>
      </c>
      <c r="B33">
        <v>14</v>
      </c>
      <c r="C33" t="s">
        <v>45</v>
      </c>
      <c r="D33">
        <v>4</v>
      </c>
      <c r="E33">
        <v>2</v>
      </c>
      <c r="F33">
        <v>2</v>
      </c>
      <c r="G33">
        <v>75.3</v>
      </c>
      <c r="H33" t="s">
        <v>111</v>
      </c>
      <c r="I33" t="s">
        <v>107</v>
      </c>
      <c r="J33" t="s">
        <v>47</v>
      </c>
      <c r="K33" t="s">
        <v>112</v>
      </c>
      <c r="L33" t="s">
        <v>82</v>
      </c>
    </row>
    <row r="34" spans="1:12" ht="15" hidden="1">
      <c r="A34" s="5" t="str">
        <f>HYPERLINK("http://www.analog.com/zh/ad9253#details", "AD9253-105")</f>
        <v>AD9253-105</v>
      </c>
      <c r="B34">
        <v>14</v>
      </c>
      <c r="C34" t="s">
        <v>99</v>
      </c>
      <c r="D34">
        <v>4</v>
      </c>
      <c r="E34">
        <v>2</v>
      </c>
      <c r="F34">
        <v>2</v>
      </c>
      <c r="G34">
        <v>75.099999999999994</v>
      </c>
      <c r="H34" t="s">
        <v>113</v>
      </c>
      <c r="I34" t="s">
        <v>107</v>
      </c>
      <c r="J34" t="s">
        <v>47</v>
      </c>
      <c r="K34" t="s">
        <v>114</v>
      </c>
      <c r="L34" t="s">
        <v>82</v>
      </c>
    </row>
    <row r="35" spans="1:12" ht="15" hidden="1">
      <c r="A35" s="5" t="str">
        <f>HYPERLINK("http://www.analog.com/zh/ad9648#details", "AD9648-125")</f>
        <v>AD9648-125</v>
      </c>
      <c r="B35">
        <v>14</v>
      </c>
      <c r="C35" t="s">
        <v>45</v>
      </c>
      <c r="D35">
        <v>2</v>
      </c>
      <c r="E35">
        <v>1</v>
      </c>
      <c r="F35">
        <v>2</v>
      </c>
      <c r="G35">
        <v>75</v>
      </c>
      <c r="H35" t="s">
        <v>115</v>
      </c>
      <c r="I35" t="s">
        <v>107</v>
      </c>
      <c r="J35" t="s">
        <v>116</v>
      </c>
      <c r="K35" t="s">
        <v>117</v>
      </c>
      <c r="L35" t="s">
        <v>91</v>
      </c>
    </row>
    <row r="36" spans="1:12" ht="15" hidden="1">
      <c r="A36" s="5" t="str">
        <f>HYPERLINK("http://www.analog.com/zh/ad9648#details", "AD9648-105")</f>
        <v>AD9648-105</v>
      </c>
      <c r="B36">
        <v>14</v>
      </c>
      <c r="C36" t="s">
        <v>99</v>
      </c>
      <c r="D36">
        <v>2</v>
      </c>
      <c r="E36">
        <v>1</v>
      </c>
      <c r="F36">
        <v>2</v>
      </c>
      <c r="G36">
        <v>75.400000000000006</v>
      </c>
      <c r="H36" t="s">
        <v>118</v>
      </c>
      <c r="I36" t="s">
        <v>107</v>
      </c>
      <c r="J36" t="s">
        <v>116</v>
      </c>
      <c r="K36" t="s">
        <v>119</v>
      </c>
      <c r="L36" t="s">
        <v>91</v>
      </c>
    </row>
    <row r="37" spans="1:12" ht="15" hidden="1">
      <c r="A37" s="5" t="str">
        <f>HYPERLINK("http://www.analog.com/zh/ad9642#details", "AD9642-250")</f>
        <v>AD9642-250</v>
      </c>
      <c r="B37">
        <v>14</v>
      </c>
      <c r="C37" t="s">
        <v>75</v>
      </c>
      <c r="D37">
        <v>1</v>
      </c>
      <c r="E37">
        <v>1</v>
      </c>
      <c r="F37">
        <v>1.75</v>
      </c>
      <c r="G37">
        <v>72.2</v>
      </c>
      <c r="H37" t="s">
        <v>104</v>
      </c>
      <c r="I37" t="s">
        <v>31</v>
      </c>
      <c r="J37" t="s">
        <v>42</v>
      </c>
      <c r="K37" t="s">
        <v>77</v>
      </c>
      <c r="L37" t="s">
        <v>49</v>
      </c>
    </row>
    <row r="38" spans="1:12" ht="15" hidden="1">
      <c r="A38" s="5" t="str">
        <f>HYPERLINK("http://www.analog.com/zh/ad9642#details", "AD9642-210")</f>
        <v>AD9642-210</v>
      </c>
      <c r="B38">
        <v>14</v>
      </c>
      <c r="C38" t="s">
        <v>120</v>
      </c>
      <c r="D38">
        <v>1</v>
      </c>
      <c r="E38">
        <v>0.75</v>
      </c>
      <c r="F38">
        <v>1.75</v>
      </c>
      <c r="G38">
        <v>72.400000000000006</v>
      </c>
      <c r="H38" t="s">
        <v>121</v>
      </c>
      <c r="I38" t="s">
        <v>31</v>
      </c>
      <c r="J38" t="s">
        <v>42</v>
      </c>
      <c r="K38" t="s">
        <v>101</v>
      </c>
      <c r="L38" t="s">
        <v>49</v>
      </c>
    </row>
    <row r="39" spans="1:12" ht="15" hidden="1">
      <c r="A39" s="5" t="str">
        <f>HYPERLINK("http://www.analog.com/zh/ad9642#details", "AD9642-170")</f>
        <v>AD9642-170</v>
      </c>
      <c r="B39">
        <v>14</v>
      </c>
      <c r="C39" t="s">
        <v>78</v>
      </c>
      <c r="D39">
        <v>1</v>
      </c>
      <c r="E39">
        <v>0.6</v>
      </c>
      <c r="F39">
        <v>1.75</v>
      </c>
      <c r="G39">
        <v>72.5</v>
      </c>
      <c r="H39" t="s">
        <v>122</v>
      </c>
      <c r="I39" t="s">
        <v>31</v>
      </c>
      <c r="J39" t="s">
        <v>42</v>
      </c>
      <c r="K39" t="s">
        <v>80</v>
      </c>
      <c r="L39" t="s">
        <v>49</v>
      </c>
    </row>
    <row r="40" spans="1:12" ht="15" hidden="1">
      <c r="A40" s="5" t="str">
        <f>HYPERLINK("http://www.analog.com/zh/ad9634#details", "AD9634-250")</f>
        <v>AD9634-250</v>
      </c>
      <c r="B40">
        <v>12</v>
      </c>
      <c r="C40" t="s">
        <v>75</v>
      </c>
      <c r="D40">
        <v>1</v>
      </c>
      <c r="E40">
        <v>0.27</v>
      </c>
      <c r="F40">
        <v>1.75</v>
      </c>
      <c r="G40">
        <v>70.099999999999994</v>
      </c>
      <c r="H40" t="s">
        <v>104</v>
      </c>
      <c r="I40" t="s">
        <v>31</v>
      </c>
      <c r="J40" t="s">
        <v>42</v>
      </c>
      <c r="K40" t="s">
        <v>123</v>
      </c>
      <c r="L40" t="s">
        <v>49</v>
      </c>
    </row>
    <row r="41" spans="1:12" ht="15" hidden="1">
      <c r="A41" s="5" t="str">
        <f>HYPERLINK("http://www.analog.com/zh/ad9634#details", "AD9634-210")</f>
        <v>AD9634-210</v>
      </c>
      <c r="B41">
        <v>12</v>
      </c>
      <c r="C41" t="s">
        <v>120</v>
      </c>
      <c r="D41">
        <v>1</v>
      </c>
      <c r="E41">
        <v>0.2</v>
      </c>
      <c r="F41">
        <v>1.75</v>
      </c>
      <c r="G41">
        <v>70.2</v>
      </c>
      <c r="H41" t="s">
        <v>121</v>
      </c>
      <c r="I41" t="s">
        <v>31</v>
      </c>
      <c r="J41" t="s">
        <v>42</v>
      </c>
      <c r="K41" t="s">
        <v>124</v>
      </c>
      <c r="L41" t="s">
        <v>49</v>
      </c>
    </row>
    <row r="42" spans="1:12" ht="15" hidden="1">
      <c r="A42" s="5" t="str">
        <f>HYPERLINK("http://www.analog.com/zh/ad9634#details", "AD9634-170")</f>
        <v>AD9634-170</v>
      </c>
      <c r="B42">
        <v>12</v>
      </c>
      <c r="C42" t="s">
        <v>78</v>
      </c>
      <c r="D42">
        <v>1</v>
      </c>
      <c r="E42">
        <v>0.2</v>
      </c>
      <c r="F42">
        <v>1.75</v>
      </c>
      <c r="G42">
        <v>70.3</v>
      </c>
      <c r="H42" t="s">
        <v>122</v>
      </c>
      <c r="I42" t="s">
        <v>31</v>
      </c>
      <c r="J42" t="s">
        <v>42</v>
      </c>
      <c r="K42" t="s">
        <v>125</v>
      </c>
      <c r="L42" t="s">
        <v>49</v>
      </c>
    </row>
    <row r="43" spans="1:12" ht="15" hidden="1">
      <c r="A43" s="5" t="str">
        <f>HYPERLINK("http://www.analog.com/zh/ad9628#details", "AD9628-125")</f>
        <v>AD9628-125</v>
      </c>
      <c r="B43">
        <v>12</v>
      </c>
      <c r="C43" t="s">
        <v>45</v>
      </c>
      <c r="D43">
        <v>2</v>
      </c>
      <c r="E43">
        <v>0.3</v>
      </c>
      <c r="F43">
        <v>2</v>
      </c>
      <c r="G43">
        <v>71.5</v>
      </c>
      <c r="H43" t="s">
        <v>126</v>
      </c>
      <c r="I43" t="s">
        <v>31</v>
      </c>
      <c r="J43" t="s">
        <v>127</v>
      </c>
      <c r="K43" t="s">
        <v>128</v>
      </c>
      <c r="L43" t="s">
        <v>91</v>
      </c>
    </row>
    <row r="44" spans="1:12" ht="15" hidden="1">
      <c r="A44" s="5" t="str">
        <f>HYPERLINK("http://www.analog.com/zh/ad9628#details", "AD9628-105")</f>
        <v>AD9628-105</v>
      </c>
      <c r="B44">
        <v>12</v>
      </c>
      <c r="C44" t="s">
        <v>99</v>
      </c>
      <c r="D44">
        <v>2</v>
      </c>
      <c r="E44">
        <v>0.3</v>
      </c>
      <c r="F44">
        <v>2</v>
      </c>
      <c r="G44">
        <v>71.599999999999994</v>
      </c>
      <c r="H44" t="s">
        <v>129</v>
      </c>
      <c r="I44" t="s">
        <v>31</v>
      </c>
      <c r="J44" t="s">
        <v>127</v>
      </c>
      <c r="K44" t="s">
        <v>130</v>
      </c>
      <c r="L44" t="s">
        <v>91</v>
      </c>
    </row>
    <row r="45" spans="1:12" ht="15" hidden="1">
      <c r="A45" s="5" t="str">
        <f>HYPERLINK("http://www.analog.com/zh/ad9608#details", "AD9608-125")</f>
        <v>AD9608-125</v>
      </c>
      <c r="B45">
        <v>10</v>
      </c>
      <c r="C45" t="s">
        <v>45</v>
      </c>
      <c r="D45">
        <v>2</v>
      </c>
      <c r="E45">
        <v>0.14000000000000001</v>
      </c>
      <c r="F45">
        <v>2</v>
      </c>
      <c r="G45">
        <v>61.7</v>
      </c>
      <c r="H45" t="s">
        <v>131</v>
      </c>
      <c r="I45" t="s">
        <v>31</v>
      </c>
      <c r="J45" t="s">
        <v>127</v>
      </c>
      <c r="K45" t="s">
        <v>132</v>
      </c>
      <c r="L45" t="s">
        <v>91</v>
      </c>
    </row>
    <row r="46" spans="1:12" ht="15" hidden="1">
      <c r="A46" s="5" t="str">
        <f>HYPERLINK("http://www.analog.com/zh/ad9608#details", "AD9608-105")</f>
        <v>AD9608-105</v>
      </c>
      <c r="B46">
        <v>10</v>
      </c>
      <c r="C46" t="s">
        <v>99</v>
      </c>
      <c r="D46">
        <v>2</v>
      </c>
      <c r="E46">
        <v>0.14000000000000001</v>
      </c>
      <c r="F46">
        <v>2</v>
      </c>
      <c r="G46">
        <v>61.7</v>
      </c>
      <c r="H46" t="s">
        <v>133</v>
      </c>
      <c r="I46" t="s">
        <v>31</v>
      </c>
      <c r="J46" t="s">
        <v>127</v>
      </c>
      <c r="K46" t="s">
        <v>134</v>
      </c>
      <c r="L46" t="s">
        <v>91</v>
      </c>
    </row>
    <row r="47" spans="1:12" ht="15" hidden="1">
      <c r="A47" s="5" t="str">
        <f>HYPERLINK("http://www.analog.com/zh/ad9643#details", "AD9643-250")</f>
        <v>AD9643-250</v>
      </c>
      <c r="B47">
        <v>14</v>
      </c>
      <c r="C47" t="s">
        <v>75</v>
      </c>
      <c r="D47">
        <v>2</v>
      </c>
      <c r="E47">
        <v>1.5</v>
      </c>
      <c r="F47">
        <v>1.75</v>
      </c>
      <c r="G47">
        <v>72</v>
      </c>
      <c r="H47" t="s">
        <v>135</v>
      </c>
      <c r="I47" t="s">
        <v>31</v>
      </c>
      <c r="J47" t="s">
        <v>42</v>
      </c>
      <c r="K47" t="s">
        <v>81</v>
      </c>
      <c r="L47" t="s">
        <v>91</v>
      </c>
    </row>
    <row r="48" spans="1:12" ht="15" hidden="1">
      <c r="A48" s="5" t="str">
        <f>HYPERLINK("http://www.analog.com/zh/ad9643#details", "AD9643-210")</f>
        <v>AD9643-210</v>
      </c>
      <c r="B48">
        <v>14</v>
      </c>
      <c r="C48" t="s">
        <v>75</v>
      </c>
      <c r="D48">
        <v>2</v>
      </c>
      <c r="E48">
        <v>1.5</v>
      </c>
      <c r="F48">
        <v>1.75</v>
      </c>
      <c r="G48">
        <v>72.599999999999994</v>
      </c>
      <c r="H48" t="s">
        <v>136</v>
      </c>
      <c r="I48" t="s">
        <v>31</v>
      </c>
      <c r="J48" t="s">
        <v>42</v>
      </c>
      <c r="K48" t="s">
        <v>137</v>
      </c>
      <c r="L48" t="s">
        <v>91</v>
      </c>
    </row>
    <row r="49" spans="1:12" ht="15" hidden="1">
      <c r="A49" s="5" t="str">
        <f>HYPERLINK("http://www.analog.com/zh/ad9643#details", "AD9643-170")</f>
        <v>AD9643-170</v>
      </c>
      <c r="B49">
        <v>14</v>
      </c>
      <c r="C49" t="s">
        <v>78</v>
      </c>
      <c r="D49">
        <v>2</v>
      </c>
      <c r="E49">
        <v>1.5</v>
      </c>
      <c r="F49">
        <v>1.75</v>
      </c>
      <c r="G49">
        <v>72.599999999999994</v>
      </c>
      <c r="H49" t="s">
        <v>138</v>
      </c>
      <c r="I49" t="s">
        <v>31</v>
      </c>
      <c r="J49" t="s">
        <v>42</v>
      </c>
      <c r="K49" t="s">
        <v>137</v>
      </c>
      <c r="L49" t="s">
        <v>91</v>
      </c>
    </row>
    <row r="50" spans="1:12" ht="15" hidden="1">
      <c r="A50" s="5" t="str">
        <f>HYPERLINK("http://www.analog.com/zh/ad9484#details", "AD9484")</f>
        <v>AD9484</v>
      </c>
      <c r="B50">
        <v>8</v>
      </c>
      <c r="C50" t="s">
        <v>35</v>
      </c>
      <c r="D50">
        <v>1</v>
      </c>
      <c r="E50">
        <v>0.1</v>
      </c>
      <c r="F50">
        <v>1.5</v>
      </c>
      <c r="G50">
        <v>47</v>
      </c>
      <c r="H50" t="s">
        <v>139</v>
      </c>
      <c r="I50" t="s">
        <v>31</v>
      </c>
      <c r="J50" t="s">
        <v>42</v>
      </c>
      <c r="K50" t="s">
        <v>140</v>
      </c>
      <c r="L50" t="s">
        <v>141</v>
      </c>
    </row>
    <row r="51" spans="1:12" ht="15" hidden="1">
      <c r="A51" s="5" t="str">
        <f>HYPERLINK("http://www.analog.com/zh/ad9434#details", "AD9434-500")</f>
        <v>AD9434-500</v>
      </c>
      <c r="B51">
        <v>12</v>
      </c>
      <c r="C51" t="s">
        <v>35</v>
      </c>
      <c r="D51">
        <v>1</v>
      </c>
      <c r="E51">
        <v>0.6</v>
      </c>
      <c r="F51">
        <v>1.5</v>
      </c>
      <c r="G51">
        <v>65.900000000000006</v>
      </c>
      <c r="H51" t="s">
        <v>142</v>
      </c>
      <c r="I51" t="s">
        <v>31</v>
      </c>
      <c r="J51" t="s">
        <v>42</v>
      </c>
      <c r="K51" t="s">
        <v>143</v>
      </c>
      <c r="L51" t="s">
        <v>141</v>
      </c>
    </row>
    <row r="52" spans="1:12" ht="15" hidden="1">
      <c r="A52" s="5" t="str">
        <f>HYPERLINK("http://www.analog.com/zh/ad9434#details", "AD9434-370")</f>
        <v>AD9434-370</v>
      </c>
      <c r="B52">
        <v>12</v>
      </c>
      <c r="C52" t="s">
        <v>144</v>
      </c>
      <c r="D52">
        <v>1</v>
      </c>
      <c r="E52">
        <v>0.4</v>
      </c>
      <c r="F52">
        <v>1.5</v>
      </c>
      <c r="G52">
        <v>66.3</v>
      </c>
      <c r="H52" t="s">
        <v>145</v>
      </c>
      <c r="I52" t="s">
        <v>31</v>
      </c>
      <c r="J52" t="s">
        <v>42</v>
      </c>
      <c r="K52" t="s">
        <v>146</v>
      </c>
      <c r="L52" t="s">
        <v>141</v>
      </c>
    </row>
    <row r="53" spans="1:12" ht="15" hidden="1">
      <c r="A53" s="5" t="str">
        <f>HYPERLINK("http://www.analog.com/zh/ad9286#details", "AD9286")</f>
        <v>AD9286</v>
      </c>
      <c r="B53">
        <v>8</v>
      </c>
      <c r="C53" t="s">
        <v>35</v>
      </c>
      <c r="D53">
        <v>2</v>
      </c>
      <c r="E53">
        <v>0.1</v>
      </c>
      <c r="F53">
        <v>1.2</v>
      </c>
      <c r="G53">
        <v>49.3</v>
      </c>
      <c r="H53" t="s">
        <v>147</v>
      </c>
      <c r="I53" t="s">
        <v>31</v>
      </c>
      <c r="J53" t="s">
        <v>42</v>
      </c>
      <c r="K53" t="s">
        <v>140</v>
      </c>
      <c r="L53" t="s">
        <v>148</v>
      </c>
    </row>
    <row r="54" spans="1:12" ht="15" hidden="1">
      <c r="A54" s="5" t="str">
        <f>HYPERLINK("http://www.analog.com/zh/ad9284#details", "AD9284")</f>
        <v>AD9284</v>
      </c>
      <c r="B54">
        <v>8</v>
      </c>
      <c r="C54" t="s">
        <v>75</v>
      </c>
      <c r="D54">
        <v>2</v>
      </c>
      <c r="E54">
        <v>0.1</v>
      </c>
      <c r="F54">
        <v>1.2</v>
      </c>
      <c r="G54">
        <v>49.3</v>
      </c>
      <c r="H54" t="s">
        <v>149</v>
      </c>
      <c r="I54" t="s">
        <v>31</v>
      </c>
      <c r="J54" t="s">
        <v>42</v>
      </c>
      <c r="K54" t="s">
        <v>150</v>
      </c>
      <c r="L54" t="s">
        <v>148</v>
      </c>
    </row>
    <row r="55" spans="1:12" ht="15" hidden="1">
      <c r="A55" s="5" t="str">
        <f>HYPERLINK("http://www.analog.com/zh/ad9467#details", "AD9467-250")</f>
        <v>AD9467-250</v>
      </c>
      <c r="B55">
        <v>16</v>
      </c>
      <c r="C55" t="s">
        <v>75</v>
      </c>
      <c r="D55">
        <v>1</v>
      </c>
      <c r="E55">
        <v>3.5</v>
      </c>
      <c r="F55">
        <v>2.5</v>
      </c>
      <c r="G55">
        <v>76.400000000000006</v>
      </c>
      <c r="H55">
        <v>1.33</v>
      </c>
      <c r="I55" t="s">
        <v>107</v>
      </c>
      <c r="J55" t="s">
        <v>42</v>
      </c>
      <c r="K55" t="s">
        <v>151</v>
      </c>
      <c r="L55" t="s">
        <v>152</v>
      </c>
    </row>
    <row r="56" spans="1:12" ht="15" hidden="1">
      <c r="A56" s="5" t="str">
        <f>HYPERLINK("http://www.analog.com/zh/ad9467#details", "AD9467-200")</f>
        <v>AD9467-200</v>
      </c>
      <c r="B56">
        <v>16</v>
      </c>
      <c r="C56" t="s">
        <v>153</v>
      </c>
      <c r="D56">
        <v>1</v>
      </c>
      <c r="E56">
        <v>5</v>
      </c>
      <c r="F56">
        <v>2.5</v>
      </c>
      <c r="G56">
        <v>76.400000000000006</v>
      </c>
      <c r="H56">
        <v>1.26</v>
      </c>
      <c r="I56" t="s">
        <v>107</v>
      </c>
      <c r="J56" t="s">
        <v>42</v>
      </c>
      <c r="K56" t="s">
        <v>154</v>
      </c>
      <c r="L56" t="s">
        <v>152</v>
      </c>
    </row>
    <row r="57" spans="1:12" ht="15" hidden="1">
      <c r="A57" s="5" t="str">
        <f>HYPERLINK("http://www.analog.com/zh/ad9650#details", "AD9650-80")</f>
        <v>AD9650-80</v>
      </c>
      <c r="B57">
        <v>16</v>
      </c>
      <c r="C57" t="s">
        <v>84</v>
      </c>
      <c r="D57">
        <v>2</v>
      </c>
      <c r="E57">
        <v>3</v>
      </c>
      <c r="F57">
        <v>2.7</v>
      </c>
      <c r="G57">
        <v>83</v>
      </c>
      <c r="H57" t="s">
        <v>155</v>
      </c>
      <c r="I57" t="s">
        <v>156</v>
      </c>
      <c r="J57" t="s">
        <v>116</v>
      </c>
      <c r="K57" t="s">
        <v>157</v>
      </c>
      <c r="L57" t="s">
        <v>158</v>
      </c>
    </row>
    <row r="58" spans="1:12" ht="15" hidden="1">
      <c r="A58" s="5" t="str">
        <f>HYPERLINK("http://www.analog.com/zh/ad9650#details", "AD9650-65")</f>
        <v>AD9650-65</v>
      </c>
      <c r="B58">
        <v>16</v>
      </c>
      <c r="C58" t="s">
        <v>72</v>
      </c>
      <c r="D58">
        <v>2</v>
      </c>
      <c r="E58">
        <v>3</v>
      </c>
      <c r="F58">
        <v>2.7</v>
      </c>
      <c r="G58">
        <v>83</v>
      </c>
      <c r="H58" t="s">
        <v>113</v>
      </c>
      <c r="I58" t="s">
        <v>156</v>
      </c>
      <c r="J58" t="s">
        <v>116</v>
      </c>
      <c r="K58" t="s">
        <v>159</v>
      </c>
      <c r="L58" t="s">
        <v>158</v>
      </c>
    </row>
    <row r="59" spans="1:12" ht="15" hidden="1">
      <c r="A59" s="5" t="str">
        <f>HYPERLINK("http://www.analog.com/zh/ad9650#details", "AD9650-25")</f>
        <v>AD9650-25</v>
      </c>
      <c r="B59">
        <v>16</v>
      </c>
      <c r="C59" t="s">
        <v>160</v>
      </c>
      <c r="D59">
        <v>2</v>
      </c>
      <c r="E59">
        <v>3</v>
      </c>
      <c r="F59">
        <v>2.7</v>
      </c>
      <c r="G59">
        <v>83</v>
      </c>
      <c r="H59" t="s">
        <v>161</v>
      </c>
      <c r="I59" t="s">
        <v>156</v>
      </c>
      <c r="J59" t="s">
        <v>116</v>
      </c>
      <c r="K59" t="s">
        <v>162</v>
      </c>
      <c r="L59" t="s">
        <v>158</v>
      </c>
    </row>
    <row r="60" spans="1:12" ht="15" hidden="1">
      <c r="A60" s="5" t="str">
        <f>HYPERLINK("http://www.analog.com/zh/ad9650#details", "AD9650-105")</f>
        <v>AD9650-105</v>
      </c>
      <c r="B60">
        <v>16</v>
      </c>
      <c r="C60" t="s">
        <v>99</v>
      </c>
      <c r="D60">
        <v>2</v>
      </c>
      <c r="E60">
        <v>3</v>
      </c>
      <c r="F60">
        <v>2.7</v>
      </c>
      <c r="G60">
        <v>82.5</v>
      </c>
      <c r="H60" t="s">
        <v>163</v>
      </c>
      <c r="I60" t="s">
        <v>156</v>
      </c>
      <c r="J60" t="s">
        <v>116</v>
      </c>
      <c r="K60" t="s">
        <v>164</v>
      </c>
      <c r="L60" t="s">
        <v>158</v>
      </c>
    </row>
    <row r="61" spans="1:12" ht="15" hidden="1">
      <c r="A61" s="5" t="str">
        <f>HYPERLINK("http://www.analog.com/zh/ad9644#details", "AD9644-80")</f>
        <v>AD9644-80</v>
      </c>
      <c r="B61">
        <v>14</v>
      </c>
      <c r="C61" t="s">
        <v>84</v>
      </c>
      <c r="D61" t="s">
        <v>8</v>
      </c>
      <c r="E61">
        <v>0.5</v>
      </c>
      <c r="F61">
        <v>1.75</v>
      </c>
      <c r="G61">
        <v>73.8</v>
      </c>
      <c r="H61" t="s">
        <v>165</v>
      </c>
      <c r="I61" t="s">
        <v>31</v>
      </c>
      <c r="J61" t="s">
        <v>166</v>
      </c>
      <c r="K61" t="s">
        <v>167</v>
      </c>
      <c r="L61" t="s">
        <v>168</v>
      </c>
    </row>
    <row r="62" spans="1:12" ht="15" hidden="1">
      <c r="A62" s="5" t="str">
        <f>HYPERLINK("http://www.analog.com/zh/ad9644#details", "AD9644-155")</f>
        <v>AD9644-155</v>
      </c>
      <c r="B62">
        <v>14</v>
      </c>
      <c r="C62" t="s">
        <v>169</v>
      </c>
      <c r="D62" t="s">
        <v>8</v>
      </c>
      <c r="E62">
        <v>0.55000000000000004</v>
      </c>
      <c r="F62">
        <v>1.75</v>
      </c>
      <c r="G62">
        <v>71.900000000000006</v>
      </c>
      <c r="H62" t="s">
        <v>170</v>
      </c>
      <c r="I62" t="s">
        <v>31</v>
      </c>
      <c r="J62" t="s">
        <v>166</v>
      </c>
      <c r="K62" t="s">
        <v>8</v>
      </c>
      <c r="L62" t="s">
        <v>168</v>
      </c>
    </row>
    <row r="63" spans="1:12" ht="15" hidden="1">
      <c r="A63" s="5" t="str">
        <f>HYPERLINK("http://www.analog.com/zh/ad9266#details", "AD9266-80")</f>
        <v>AD9266-80</v>
      </c>
      <c r="B63">
        <v>16</v>
      </c>
      <c r="C63" t="s">
        <v>84</v>
      </c>
      <c r="D63">
        <v>1</v>
      </c>
      <c r="E63">
        <v>3.5</v>
      </c>
      <c r="F63">
        <v>2</v>
      </c>
      <c r="G63">
        <v>77.599999999999994</v>
      </c>
      <c r="H63" t="s">
        <v>171</v>
      </c>
      <c r="I63" t="s">
        <v>107</v>
      </c>
      <c r="J63" t="s">
        <v>172</v>
      </c>
      <c r="K63" t="s">
        <v>173</v>
      </c>
      <c r="L63" t="s">
        <v>49</v>
      </c>
    </row>
    <row r="64" spans="1:12" ht="15" hidden="1">
      <c r="A64" s="5" t="str">
        <f>HYPERLINK("http://www.analog.com/zh/ad9266#details", "AD9266-65")</f>
        <v>AD9266-65</v>
      </c>
      <c r="B64">
        <v>16</v>
      </c>
      <c r="C64" t="s">
        <v>72</v>
      </c>
      <c r="D64">
        <v>1</v>
      </c>
      <c r="E64">
        <v>2.4</v>
      </c>
      <c r="F64">
        <v>2</v>
      </c>
      <c r="G64">
        <v>77.900000000000006</v>
      </c>
      <c r="H64" t="s">
        <v>174</v>
      </c>
      <c r="I64" t="s">
        <v>107</v>
      </c>
      <c r="J64" t="s">
        <v>172</v>
      </c>
      <c r="K64" t="s">
        <v>175</v>
      </c>
      <c r="L64" t="s">
        <v>49</v>
      </c>
    </row>
    <row r="65" spans="1:12" ht="15">
      <c r="A65" s="5" t="str">
        <f>HYPERLINK("http://www.analog.com/zh/ad9266#details", "AD9266-40")</f>
        <v>AD9266-40</v>
      </c>
      <c r="B65">
        <v>16</v>
      </c>
      <c r="C65" t="s">
        <v>92</v>
      </c>
      <c r="D65">
        <v>1</v>
      </c>
      <c r="E65">
        <v>1.8</v>
      </c>
      <c r="F65">
        <v>2</v>
      </c>
      <c r="G65">
        <v>76.400000000000006</v>
      </c>
      <c r="H65" t="s">
        <v>176</v>
      </c>
      <c r="I65" t="s">
        <v>107</v>
      </c>
      <c r="J65" t="s">
        <v>172</v>
      </c>
      <c r="K65" t="s">
        <v>177</v>
      </c>
      <c r="L65" t="s">
        <v>49</v>
      </c>
    </row>
    <row r="66" spans="1:12" s="10" customFormat="1" ht="15">
      <c r="A66" s="9" t="str">
        <f>HYPERLINK("http://www.analog.com/zh/ad9266#details", "AD9266-20")</f>
        <v>AD9266-20</v>
      </c>
      <c r="B66" s="10">
        <v>16</v>
      </c>
      <c r="C66" s="10" t="s">
        <v>178</v>
      </c>
      <c r="D66" s="10">
        <v>1</v>
      </c>
      <c r="E66" s="10">
        <v>1.8</v>
      </c>
      <c r="F66" s="10">
        <v>2</v>
      </c>
      <c r="G66" s="10">
        <v>78.2</v>
      </c>
      <c r="H66" s="10" t="s">
        <v>179</v>
      </c>
      <c r="I66" s="10" t="s">
        <v>107</v>
      </c>
      <c r="J66" s="10" t="s">
        <v>172</v>
      </c>
      <c r="K66" s="10" t="s">
        <v>180</v>
      </c>
      <c r="L66" s="10" t="s">
        <v>49</v>
      </c>
    </row>
    <row r="67" spans="1:12" ht="15" hidden="1">
      <c r="A67" s="5" t="str">
        <f>HYPERLINK("http://www.analog.com/zh/ad9261#details", "AD9261-10")</f>
        <v>AD9261-10</v>
      </c>
      <c r="B67">
        <v>16</v>
      </c>
      <c r="C67" t="s">
        <v>181</v>
      </c>
      <c r="D67">
        <v>1</v>
      </c>
      <c r="E67">
        <v>1.5</v>
      </c>
      <c r="F67">
        <v>2</v>
      </c>
      <c r="G67" t="s">
        <v>8</v>
      </c>
      <c r="H67" t="s">
        <v>182</v>
      </c>
      <c r="I67" t="s">
        <v>31</v>
      </c>
      <c r="J67" t="s">
        <v>183</v>
      </c>
      <c r="K67" t="s">
        <v>180</v>
      </c>
      <c r="L67" t="s">
        <v>184</v>
      </c>
    </row>
    <row r="68" spans="1:12" ht="15" hidden="1">
      <c r="A68" s="5" t="str">
        <f>HYPERLINK("http://www.analog.com/zh/ad9269#details", "AD9269-80")</f>
        <v>AD9269-80</v>
      </c>
      <c r="B68">
        <v>16</v>
      </c>
      <c r="C68" t="s">
        <v>84</v>
      </c>
      <c r="D68">
        <v>2</v>
      </c>
      <c r="E68">
        <v>3.3</v>
      </c>
      <c r="F68">
        <v>2</v>
      </c>
      <c r="G68" t="s">
        <v>8</v>
      </c>
      <c r="H68" t="s">
        <v>185</v>
      </c>
      <c r="I68" t="s">
        <v>31</v>
      </c>
      <c r="J68" t="s">
        <v>116</v>
      </c>
      <c r="K68" t="s">
        <v>8</v>
      </c>
      <c r="L68" t="s">
        <v>91</v>
      </c>
    </row>
    <row r="69" spans="1:12" ht="15" hidden="1">
      <c r="A69" s="5" t="str">
        <f>HYPERLINK("http://www.analog.com/zh/ad9269#details", "AD9269-65")</f>
        <v>AD9269-65</v>
      </c>
      <c r="B69">
        <v>16</v>
      </c>
      <c r="C69" t="s">
        <v>72</v>
      </c>
      <c r="D69">
        <v>2</v>
      </c>
      <c r="E69">
        <v>2.2000000000000002</v>
      </c>
      <c r="F69">
        <v>2</v>
      </c>
      <c r="G69" t="s">
        <v>8</v>
      </c>
      <c r="H69" t="s">
        <v>186</v>
      </c>
      <c r="I69" t="s">
        <v>31</v>
      </c>
      <c r="J69" t="s">
        <v>116</v>
      </c>
      <c r="K69" t="s">
        <v>8</v>
      </c>
      <c r="L69" t="s">
        <v>91</v>
      </c>
    </row>
    <row r="70" spans="1:12" ht="15" hidden="1">
      <c r="A70" s="5" t="str">
        <f>HYPERLINK("http://www.analog.com/zh/ad9269#details", "AD9269-40")</f>
        <v>AD9269-40</v>
      </c>
      <c r="B70">
        <v>16</v>
      </c>
      <c r="C70" t="s">
        <v>92</v>
      </c>
      <c r="D70">
        <v>2</v>
      </c>
      <c r="E70">
        <v>2</v>
      </c>
      <c r="F70">
        <v>2</v>
      </c>
      <c r="G70" t="s">
        <v>8</v>
      </c>
      <c r="H70" t="s">
        <v>187</v>
      </c>
      <c r="I70" t="s">
        <v>31</v>
      </c>
      <c r="J70" t="s">
        <v>116</v>
      </c>
      <c r="K70" t="s">
        <v>188</v>
      </c>
      <c r="L70" t="s">
        <v>91</v>
      </c>
    </row>
    <row r="71" spans="1:12" ht="15" hidden="1">
      <c r="A71" s="5" t="str">
        <f>HYPERLINK("http://www.analog.com/zh/ad9269#details", "AD9269-20")</f>
        <v>AD9269-20</v>
      </c>
      <c r="B71">
        <v>16</v>
      </c>
      <c r="C71" t="s">
        <v>178</v>
      </c>
      <c r="D71">
        <v>2</v>
      </c>
      <c r="E71">
        <v>2</v>
      </c>
      <c r="F71">
        <v>2</v>
      </c>
      <c r="G71" t="s">
        <v>8</v>
      </c>
      <c r="H71" t="s">
        <v>189</v>
      </c>
      <c r="I71" t="s">
        <v>31</v>
      </c>
      <c r="J71" t="s">
        <v>116</v>
      </c>
      <c r="K71" t="s">
        <v>190</v>
      </c>
      <c r="L71" t="s">
        <v>91</v>
      </c>
    </row>
    <row r="72" spans="1:12" ht="15" hidden="1">
      <c r="A72" s="5" t="str">
        <f>HYPERLINK("http://www.analog.com/zh/ad9262#details", "AD9262-5")</f>
        <v>AD9262-5</v>
      </c>
      <c r="B72">
        <v>16</v>
      </c>
      <c r="C72" t="s">
        <v>181</v>
      </c>
      <c r="D72" t="s">
        <v>8</v>
      </c>
      <c r="E72">
        <v>1.5</v>
      </c>
      <c r="F72" t="s">
        <v>8</v>
      </c>
      <c r="G72" t="s">
        <v>8</v>
      </c>
      <c r="H72" t="s">
        <v>191</v>
      </c>
      <c r="I72" t="s">
        <v>31</v>
      </c>
      <c r="J72" t="s">
        <v>116</v>
      </c>
      <c r="K72" t="s">
        <v>192</v>
      </c>
      <c r="L72" t="s">
        <v>91</v>
      </c>
    </row>
    <row r="73" spans="1:12" ht="15" hidden="1">
      <c r="A73" s="5" t="str">
        <f>HYPERLINK("http://www.analog.com/zh/ad9262#details", "AD9262-10")</f>
        <v>AD9262-10</v>
      </c>
      <c r="B73">
        <v>16</v>
      </c>
      <c r="C73" t="s">
        <v>181</v>
      </c>
      <c r="D73">
        <v>2</v>
      </c>
      <c r="E73">
        <v>1.5</v>
      </c>
      <c r="F73">
        <v>2</v>
      </c>
      <c r="G73" t="s">
        <v>8</v>
      </c>
      <c r="H73" t="s">
        <v>193</v>
      </c>
      <c r="I73" t="s">
        <v>31</v>
      </c>
      <c r="J73" t="s">
        <v>183</v>
      </c>
      <c r="K73" t="s">
        <v>194</v>
      </c>
      <c r="L73" t="s">
        <v>91</v>
      </c>
    </row>
    <row r="74" spans="1:12" ht="15" hidden="1">
      <c r="A74" s="5" t="str">
        <f>HYPERLINK("http://www.analog.com/zh/ad9262#details", "AD9262")</f>
        <v>AD9262</v>
      </c>
      <c r="B74">
        <v>16</v>
      </c>
      <c r="C74" t="s">
        <v>181</v>
      </c>
      <c r="D74">
        <v>2</v>
      </c>
      <c r="E74">
        <v>1.5</v>
      </c>
      <c r="F74">
        <v>2</v>
      </c>
      <c r="G74" t="s">
        <v>8</v>
      </c>
      <c r="H74" t="s">
        <v>195</v>
      </c>
      <c r="I74" t="s">
        <v>31</v>
      </c>
      <c r="J74" t="s">
        <v>116</v>
      </c>
      <c r="K74" t="s">
        <v>196</v>
      </c>
      <c r="L74" t="s">
        <v>91</v>
      </c>
    </row>
    <row r="75" spans="1:12" ht="15" hidden="1">
      <c r="A75" s="5" t="str">
        <f>HYPERLINK("http://www.analog.com/zh/ad9649#details", "AD9649-80")</f>
        <v>AD9649-80</v>
      </c>
      <c r="B75">
        <v>14</v>
      </c>
      <c r="C75" t="s">
        <v>84</v>
      </c>
      <c r="D75">
        <v>1</v>
      </c>
      <c r="E75">
        <v>0.6</v>
      </c>
      <c r="F75">
        <v>2</v>
      </c>
      <c r="G75">
        <v>74.3</v>
      </c>
      <c r="H75" t="s">
        <v>197</v>
      </c>
      <c r="I75" t="s">
        <v>31</v>
      </c>
      <c r="J75" t="s">
        <v>116</v>
      </c>
      <c r="K75" t="s">
        <v>198</v>
      </c>
      <c r="L75" t="s">
        <v>199</v>
      </c>
    </row>
    <row r="76" spans="1:12" ht="15" hidden="1">
      <c r="A76" s="5" t="str">
        <f>HYPERLINK("http://www.analog.com/zh/ad9649#details", "AD9649-65")</f>
        <v>AD9649-65</v>
      </c>
      <c r="B76">
        <v>14</v>
      </c>
      <c r="C76" t="s">
        <v>72</v>
      </c>
      <c r="D76">
        <v>1</v>
      </c>
      <c r="E76">
        <v>0.5</v>
      </c>
      <c r="F76">
        <v>2</v>
      </c>
      <c r="G76">
        <v>74.5</v>
      </c>
      <c r="H76" t="s">
        <v>200</v>
      </c>
      <c r="I76" t="s">
        <v>31</v>
      </c>
      <c r="J76" t="s">
        <v>116</v>
      </c>
      <c r="K76" t="s">
        <v>201</v>
      </c>
      <c r="L76" t="s">
        <v>199</v>
      </c>
    </row>
    <row r="77" spans="1:12" ht="15" hidden="1">
      <c r="A77" s="5" t="str">
        <f>HYPERLINK("http://www.analog.com/zh/ad9649#details", "AD9649-40")</f>
        <v>AD9649-40</v>
      </c>
      <c r="B77">
        <v>14</v>
      </c>
      <c r="C77" t="s">
        <v>92</v>
      </c>
      <c r="D77">
        <v>1</v>
      </c>
      <c r="E77">
        <v>0.5</v>
      </c>
      <c r="F77">
        <v>2</v>
      </c>
      <c r="G77">
        <v>74.7</v>
      </c>
      <c r="H77" t="s">
        <v>202</v>
      </c>
      <c r="I77" t="s">
        <v>31</v>
      </c>
      <c r="J77" t="s">
        <v>116</v>
      </c>
      <c r="K77" t="s">
        <v>203</v>
      </c>
      <c r="L77" t="s">
        <v>199</v>
      </c>
    </row>
    <row r="78" spans="1:12" ht="15" hidden="1">
      <c r="A78" s="5" t="str">
        <f>HYPERLINK("http://www.analog.com/zh/ad9649#details", "AD9649-20")</f>
        <v>AD9649-20</v>
      </c>
      <c r="B78">
        <v>14</v>
      </c>
      <c r="C78" t="s">
        <v>178</v>
      </c>
      <c r="D78">
        <v>1</v>
      </c>
      <c r="E78">
        <v>0.5</v>
      </c>
      <c r="F78">
        <v>2</v>
      </c>
      <c r="G78">
        <v>74.7</v>
      </c>
      <c r="H78" t="s">
        <v>204</v>
      </c>
      <c r="I78" t="s">
        <v>31</v>
      </c>
      <c r="J78" t="s">
        <v>116</v>
      </c>
      <c r="K78" t="s">
        <v>205</v>
      </c>
      <c r="L78" t="s">
        <v>199</v>
      </c>
    </row>
    <row r="79" spans="1:12" ht="15" hidden="1">
      <c r="A79" s="5" t="str">
        <f>HYPERLINK("http://www.analog.com/zh/ad9629#details", "AD9629-80")</f>
        <v>AD9629-80</v>
      </c>
      <c r="B79">
        <v>12</v>
      </c>
      <c r="C79" t="s">
        <v>84</v>
      </c>
      <c r="D79">
        <v>1</v>
      </c>
      <c r="E79">
        <v>0.16</v>
      </c>
      <c r="F79">
        <v>2</v>
      </c>
      <c r="G79">
        <v>71.3</v>
      </c>
      <c r="H79" t="s">
        <v>206</v>
      </c>
      <c r="I79" t="s">
        <v>31</v>
      </c>
      <c r="J79" t="s">
        <v>116</v>
      </c>
      <c r="K79" t="s">
        <v>207</v>
      </c>
      <c r="L79" t="s">
        <v>199</v>
      </c>
    </row>
    <row r="80" spans="1:12" ht="15" hidden="1">
      <c r="A80" s="5" t="str">
        <f>HYPERLINK("http://www.analog.com/zh/ad9629#details", "AD9629-65")</f>
        <v>AD9629-65</v>
      </c>
      <c r="B80">
        <v>12</v>
      </c>
      <c r="C80" t="s">
        <v>72</v>
      </c>
      <c r="D80">
        <v>1</v>
      </c>
      <c r="E80">
        <v>0.13</v>
      </c>
      <c r="F80">
        <v>2</v>
      </c>
      <c r="G80">
        <v>71.3</v>
      </c>
      <c r="H80" t="s">
        <v>208</v>
      </c>
      <c r="I80" t="s">
        <v>31</v>
      </c>
      <c r="J80" t="s">
        <v>116</v>
      </c>
      <c r="K80" t="s">
        <v>209</v>
      </c>
      <c r="L80" t="s">
        <v>199</v>
      </c>
    </row>
    <row r="81" spans="1:12" ht="15" hidden="1">
      <c r="A81" s="5" t="str">
        <f>HYPERLINK("http://www.analog.com/zh/ad9629#details", "AD9629-40")</f>
        <v>AD9629-40</v>
      </c>
      <c r="B81">
        <v>12</v>
      </c>
      <c r="C81" t="s">
        <v>92</v>
      </c>
      <c r="D81">
        <v>1</v>
      </c>
      <c r="E81">
        <v>0.11</v>
      </c>
      <c r="F81">
        <v>2</v>
      </c>
      <c r="G81">
        <v>71.400000000000006</v>
      </c>
      <c r="H81" t="s">
        <v>210</v>
      </c>
      <c r="I81" t="s">
        <v>31</v>
      </c>
      <c r="J81" t="s">
        <v>116</v>
      </c>
      <c r="K81" t="s">
        <v>211</v>
      </c>
      <c r="L81" t="s">
        <v>199</v>
      </c>
    </row>
    <row r="82" spans="1:12" ht="15" hidden="1">
      <c r="A82" s="5" t="str">
        <f>HYPERLINK("http://www.analog.com/zh/ad9629#details", "AD9629-20")</f>
        <v>AD9629-20</v>
      </c>
      <c r="B82">
        <v>12</v>
      </c>
      <c r="C82" t="s">
        <v>178</v>
      </c>
      <c r="D82">
        <v>1</v>
      </c>
      <c r="E82">
        <v>0.11</v>
      </c>
      <c r="F82">
        <v>2</v>
      </c>
      <c r="G82">
        <v>71.400000000000006</v>
      </c>
      <c r="H82" t="s">
        <v>212</v>
      </c>
      <c r="I82" t="s">
        <v>31</v>
      </c>
      <c r="J82" t="s">
        <v>116</v>
      </c>
      <c r="K82" t="s">
        <v>213</v>
      </c>
      <c r="L82" t="s">
        <v>199</v>
      </c>
    </row>
    <row r="83" spans="1:12" ht="15" hidden="1">
      <c r="A83" s="5" t="str">
        <f>HYPERLINK("http://www.analog.com/zh/ad9609#details", "AD9609-80")</f>
        <v>AD9609-80</v>
      </c>
      <c r="B83">
        <v>10</v>
      </c>
      <c r="C83" t="s">
        <v>84</v>
      </c>
      <c r="D83">
        <v>1</v>
      </c>
      <c r="E83">
        <v>0.15</v>
      </c>
      <c r="F83">
        <v>2</v>
      </c>
      <c r="G83">
        <v>61.5</v>
      </c>
      <c r="H83" t="s">
        <v>214</v>
      </c>
      <c r="I83" t="s">
        <v>31</v>
      </c>
      <c r="J83" t="s">
        <v>116</v>
      </c>
      <c r="K83" t="s">
        <v>215</v>
      </c>
      <c r="L83" t="s">
        <v>199</v>
      </c>
    </row>
    <row r="84" spans="1:12" ht="15" hidden="1">
      <c r="A84" s="5" t="str">
        <f>HYPERLINK("http://www.analog.com/zh/ad9609#details", "AD9609-65")</f>
        <v>AD9609-65</v>
      </c>
      <c r="B84">
        <v>10</v>
      </c>
      <c r="C84" t="s">
        <v>72</v>
      </c>
      <c r="D84">
        <v>1</v>
      </c>
      <c r="E84">
        <v>0.15</v>
      </c>
      <c r="F84">
        <v>2</v>
      </c>
      <c r="G84">
        <v>61.5</v>
      </c>
      <c r="H84" t="s">
        <v>216</v>
      </c>
      <c r="I84" t="s">
        <v>31</v>
      </c>
      <c r="J84" t="s">
        <v>116</v>
      </c>
      <c r="K84" t="s">
        <v>217</v>
      </c>
      <c r="L84" t="s">
        <v>199</v>
      </c>
    </row>
    <row r="85" spans="1:12" ht="15" hidden="1">
      <c r="A85" s="5" t="str">
        <f>HYPERLINK("http://www.analog.com/zh/ad9609#details", "AD9609-40")</f>
        <v>AD9609-40</v>
      </c>
      <c r="B85">
        <v>10</v>
      </c>
      <c r="C85" t="s">
        <v>92</v>
      </c>
      <c r="D85">
        <v>1</v>
      </c>
      <c r="E85">
        <v>0.15</v>
      </c>
      <c r="F85">
        <v>2</v>
      </c>
      <c r="G85">
        <v>61.7</v>
      </c>
      <c r="H85" t="s">
        <v>218</v>
      </c>
      <c r="I85" t="s">
        <v>31</v>
      </c>
      <c r="J85" t="s">
        <v>116</v>
      </c>
      <c r="K85" t="s">
        <v>219</v>
      </c>
      <c r="L85" t="s">
        <v>199</v>
      </c>
    </row>
    <row r="86" spans="1:12" ht="15" hidden="1">
      <c r="A86" s="5" t="str">
        <f>HYPERLINK("http://www.analog.com/zh/ad9609#details", "AD9609-20")</f>
        <v>AD9609-20</v>
      </c>
      <c r="B86">
        <v>10</v>
      </c>
      <c r="C86" t="s">
        <v>178</v>
      </c>
      <c r="D86">
        <v>1</v>
      </c>
      <c r="E86">
        <v>0.15</v>
      </c>
      <c r="F86">
        <v>2</v>
      </c>
      <c r="G86">
        <v>61.7</v>
      </c>
      <c r="H86" t="s">
        <v>220</v>
      </c>
      <c r="I86" t="s">
        <v>31</v>
      </c>
      <c r="J86" t="s">
        <v>116</v>
      </c>
      <c r="K86" t="s">
        <v>221</v>
      </c>
      <c r="L86" t="s">
        <v>199</v>
      </c>
    </row>
    <row r="87" spans="1:12" ht="15" hidden="1">
      <c r="A87" s="5" t="str">
        <f>HYPERLINK("http://www.analog.com/zh/ad9265#details", "AD9265-80")</f>
        <v>AD9265-80</v>
      </c>
      <c r="B87">
        <v>16</v>
      </c>
      <c r="C87" t="s">
        <v>84</v>
      </c>
      <c r="D87">
        <v>1</v>
      </c>
      <c r="E87">
        <v>1.5</v>
      </c>
      <c r="F87">
        <v>2</v>
      </c>
      <c r="G87" t="s">
        <v>8</v>
      </c>
      <c r="H87" t="s">
        <v>222</v>
      </c>
      <c r="I87" t="s">
        <v>31</v>
      </c>
      <c r="J87" t="s">
        <v>116</v>
      </c>
      <c r="K87" t="s">
        <v>223</v>
      </c>
      <c r="L87" t="s">
        <v>168</v>
      </c>
    </row>
    <row r="88" spans="1:12" ht="15" hidden="1">
      <c r="A88" s="5" t="str">
        <f>HYPERLINK("http://www.analog.com/zh/ad9265#details", "AD9265-125")</f>
        <v>AD9265-125</v>
      </c>
      <c r="B88">
        <v>16</v>
      </c>
      <c r="C88" t="s">
        <v>84</v>
      </c>
      <c r="D88">
        <v>1</v>
      </c>
      <c r="E88">
        <v>3</v>
      </c>
      <c r="F88">
        <v>2</v>
      </c>
      <c r="G88" t="s">
        <v>8</v>
      </c>
      <c r="H88" t="s">
        <v>224</v>
      </c>
      <c r="I88" t="s">
        <v>31</v>
      </c>
      <c r="J88" t="s">
        <v>116</v>
      </c>
      <c r="K88" t="s">
        <v>225</v>
      </c>
      <c r="L88" t="s">
        <v>168</v>
      </c>
    </row>
    <row r="89" spans="1:12" ht="15" hidden="1">
      <c r="A89" s="5" t="str">
        <f>HYPERLINK("http://www.analog.com/zh/ad9265#details", "AD9265-105")</f>
        <v>AD9265-105</v>
      </c>
      <c r="B89">
        <v>16</v>
      </c>
      <c r="C89" t="s">
        <v>84</v>
      </c>
      <c r="D89">
        <v>1</v>
      </c>
      <c r="E89">
        <v>2</v>
      </c>
      <c r="F89">
        <v>2</v>
      </c>
      <c r="G89" t="s">
        <v>8</v>
      </c>
      <c r="H89" t="s">
        <v>226</v>
      </c>
      <c r="I89" t="s">
        <v>31</v>
      </c>
      <c r="J89" t="s">
        <v>116</v>
      </c>
      <c r="K89" t="s">
        <v>227</v>
      </c>
      <c r="L89" t="s">
        <v>168</v>
      </c>
    </row>
    <row r="90" spans="1:12" ht="15" hidden="1">
      <c r="A90" s="5" t="str">
        <f>HYPERLINK("http://www.analog.com/zh/ad9255#details", "AD9255-80")</f>
        <v>AD9255-80</v>
      </c>
      <c r="B90">
        <v>14</v>
      </c>
      <c r="C90" t="s">
        <v>84</v>
      </c>
      <c r="D90">
        <v>1</v>
      </c>
      <c r="E90">
        <v>0.35</v>
      </c>
      <c r="F90">
        <v>2</v>
      </c>
      <c r="G90" t="s">
        <v>8</v>
      </c>
      <c r="H90" t="s">
        <v>228</v>
      </c>
      <c r="I90" t="s">
        <v>31</v>
      </c>
      <c r="J90" t="s">
        <v>116</v>
      </c>
      <c r="K90" t="s">
        <v>229</v>
      </c>
      <c r="L90" t="s">
        <v>168</v>
      </c>
    </row>
    <row r="91" spans="1:12" ht="15" hidden="1">
      <c r="A91" s="5" t="str">
        <f>HYPERLINK("http://www.analog.com/zh/ad9255#details", "AD9255-125")</f>
        <v>AD9255-125</v>
      </c>
      <c r="B91">
        <v>14</v>
      </c>
      <c r="C91" t="s">
        <v>45</v>
      </c>
      <c r="D91">
        <v>1</v>
      </c>
      <c r="E91">
        <v>0.7</v>
      </c>
      <c r="F91">
        <v>2</v>
      </c>
      <c r="G91" t="s">
        <v>8</v>
      </c>
      <c r="H91" t="s">
        <v>230</v>
      </c>
      <c r="I91" t="s">
        <v>31</v>
      </c>
      <c r="J91" t="s">
        <v>116</v>
      </c>
      <c r="K91" t="s">
        <v>231</v>
      </c>
      <c r="L91" t="s">
        <v>168</v>
      </c>
    </row>
    <row r="92" spans="1:12" ht="15" hidden="1">
      <c r="A92" s="5" t="str">
        <f>HYPERLINK("http://www.analog.com/zh/ad9255#details", "AD9255-105")</f>
        <v>AD9255-105</v>
      </c>
      <c r="B92">
        <v>14</v>
      </c>
      <c r="C92" t="s">
        <v>99</v>
      </c>
      <c r="D92">
        <v>1</v>
      </c>
      <c r="E92">
        <v>0.45</v>
      </c>
      <c r="F92">
        <v>2</v>
      </c>
      <c r="G92" t="s">
        <v>8</v>
      </c>
      <c r="H92" t="s">
        <v>232</v>
      </c>
      <c r="I92" t="s">
        <v>31</v>
      </c>
      <c r="J92" t="s">
        <v>116</v>
      </c>
      <c r="K92" t="s">
        <v>233</v>
      </c>
      <c r="L92" t="s">
        <v>168</v>
      </c>
    </row>
    <row r="93" spans="1:12" ht="15" hidden="1">
      <c r="A93" s="5" t="str">
        <f>HYPERLINK("http://www.analog.com/zh/ad9231#details", "AD9231-65")</f>
        <v>AD9231-65</v>
      </c>
      <c r="B93">
        <v>12</v>
      </c>
      <c r="C93" t="s">
        <v>72</v>
      </c>
      <c r="D93">
        <v>2</v>
      </c>
      <c r="E93">
        <v>0.17</v>
      </c>
      <c r="F93">
        <v>2</v>
      </c>
      <c r="G93" t="s">
        <v>8</v>
      </c>
      <c r="H93" t="s">
        <v>234</v>
      </c>
      <c r="I93" t="s">
        <v>31</v>
      </c>
      <c r="J93" t="s">
        <v>116</v>
      </c>
      <c r="K93" t="s">
        <v>235</v>
      </c>
      <c r="L93" t="s">
        <v>91</v>
      </c>
    </row>
    <row r="94" spans="1:12" ht="15" hidden="1">
      <c r="A94" s="5" t="str">
        <f>HYPERLINK("http://www.analog.com/zh/ad9231#details", "AD9231-40")</f>
        <v>AD9231-40</v>
      </c>
      <c r="B94">
        <v>12</v>
      </c>
      <c r="C94" t="s">
        <v>92</v>
      </c>
      <c r="D94">
        <v>2</v>
      </c>
      <c r="E94">
        <v>0.15</v>
      </c>
      <c r="F94">
        <v>2</v>
      </c>
      <c r="G94" t="s">
        <v>8</v>
      </c>
      <c r="H94" t="s">
        <v>236</v>
      </c>
      <c r="I94" t="s">
        <v>31</v>
      </c>
      <c r="J94" t="s">
        <v>116</v>
      </c>
      <c r="K94" t="s">
        <v>205</v>
      </c>
      <c r="L94" t="s">
        <v>91</v>
      </c>
    </row>
    <row r="95" spans="1:12" ht="15" hidden="1">
      <c r="A95" s="5" t="str">
        <f>HYPERLINK("http://www.analog.com/zh/ad9231#details", "AD9231-20")</f>
        <v>AD9231-20</v>
      </c>
      <c r="B95">
        <v>12</v>
      </c>
      <c r="C95" t="s">
        <v>178</v>
      </c>
      <c r="D95">
        <v>2</v>
      </c>
      <c r="E95">
        <v>0.15</v>
      </c>
      <c r="F95">
        <v>2</v>
      </c>
      <c r="G95" t="s">
        <v>8</v>
      </c>
      <c r="H95" t="s">
        <v>237</v>
      </c>
      <c r="I95" t="s">
        <v>31</v>
      </c>
      <c r="J95" t="s">
        <v>116</v>
      </c>
      <c r="K95" t="s">
        <v>238</v>
      </c>
      <c r="L95" t="s">
        <v>91</v>
      </c>
    </row>
    <row r="96" spans="1:12" ht="15" hidden="1">
      <c r="A96" s="5" t="str">
        <f>HYPERLINK("http://www.analog.com/zh/ad7626#details", "AD7626")</f>
        <v>AD7626</v>
      </c>
      <c r="B96">
        <v>16</v>
      </c>
      <c r="C96" t="s">
        <v>239</v>
      </c>
      <c r="D96">
        <v>1</v>
      </c>
      <c r="E96">
        <v>0.45</v>
      </c>
      <c r="F96">
        <v>8.1920000000000002</v>
      </c>
      <c r="G96" t="s">
        <v>8</v>
      </c>
      <c r="H96" t="s">
        <v>240</v>
      </c>
      <c r="I96" t="s">
        <v>31</v>
      </c>
      <c r="J96" t="s">
        <v>58</v>
      </c>
      <c r="K96" t="s">
        <v>241</v>
      </c>
      <c r="L96" t="s">
        <v>242</v>
      </c>
    </row>
    <row r="97" spans="1:12" ht="15" hidden="1">
      <c r="A97" s="5" t="str">
        <f>HYPERLINK("http://www.analog.com/zh/ad9267#details", "AD9267")</f>
        <v>AD9267</v>
      </c>
      <c r="B97">
        <v>16</v>
      </c>
      <c r="C97" t="s">
        <v>243</v>
      </c>
      <c r="D97">
        <v>2</v>
      </c>
      <c r="E97">
        <v>1.5</v>
      </c>
      <c r="F97">
        <v>2</v>
      </c>
      <c r="G97" t="s">
        <v>8</v>
      </c>
      <c r="H97" t="s">
        <v>244</v>
      </c>
      <c r="I97" t="s">
        <v>31</v>
      </c>
      <c r="J97" t="s">
        <v>183</v>
      </c>
      <c r="K97" t="s">
        <v>245</v>
      </c>
      <c r="L97" t="s">
        <v>91</v>
      </c>
    </row>
    <row r="98" spans="1:12" ht="15" hidden="1">
      <c r="A98" s="5" t="str">
        <f>HYPERLINK("http://www.analog.com/zh/ad9251#details", "AD9251-80")</f>
        <v>AD9251-80</v>
      </c>
      <c r="B98">
        <v>14</v>
      </c>
      <c r="C98" t="s">
        <v>84</v>
      </c>
      <c r="D98">
        <v>2</v>
      </c>
      <c r="E98">
        <v>1</v>
      </c>
      <c r="F98">
        <v>2</v>
      </c>
      <c r="G98" t="s">
        <v>8</v>
      </c>
      <c r="H98" t="s">
        <v>246</v>
      </c>
      <c r="I98" t="s">
        <v>31</v>
      </c>
      <c r="J98" t="s">
        <v>116</v>
      </c>
      <c r="K98" t="s">
        <v>247</v>
      </c>
      <c r="L98" t="s">
        <v>91</v>
      </c>
    </row>
    <row r="99" spans="1:12" ht="15" hidden="1">
      <c r="A99" s="5" t="str">
        <f>HYPERLINK("http://www.analog.com/zh/ad9251#details", "AD9251-65")</f>
        <v>AD9251-65</v>
      </c>
      <c r="B99">
        <v>14</v>
      </c>
      <c r="C99" t="s">
        <v>72</v>
      </c>
      <c r="D99" t="s">
        <v>8</v>
      </c>
      <c r="E99">
        <v>0.6</v>
      </c>
      <c r="F99" t="s">
        <v>8</v>
      </c>
      <c r="G99" t="s">
        <v>8</v>
      </c>
      <c r="H99" t="s">
        <v>248</v>
      </c>
      <c r="I99" t="s">
        <v>31</v>
      </c>
      <c r="J99" t="s">
        <v>116</v>
      </c>
      <c r="K99" t="s">
        <v>249</v>
      </c>
      <c r="L99" t="s">
        <v>91</v>
      </c>
    </row>
    <row r="100" spans="1:12" ht="15" hidden="1">
      <c r="A100" s="5" t="str">
        <f>HYPERLINK("http://www.analog.com/zh/ad9251#details", "AD9251-40")</f>
        <v>AD9251-40</v>
      </c>
      <c r="B100">
        <v>14</v>
      </c>
      <c r="C100" t="s">
        <v>92</v>
      </c>
      <c r="D100" t="s">
        <v>8</v>
      </c>
      <c r="E100">
        <v>0.6</v>
      </c>
      <c r="F100" t="s">
        <v>8</v>
      </c>
      <c r="G100" t="s">
        <v>8</v>
      </c>
      <c r="H100" t="s">
        <v>250</v>
      </c>
      <c r="I100" t="s">
        <v>31</v>
      </c>
      <c r="J100" t="s">
        <v>116</v>
      </c>
      <c r="K100" t="s">
        <v>251</v>
      </c>
      <c r="L100" t="s">
        <v>91</v>
      </c>
    </row>
    <row r="101" spans="1:12" ht="15" hidden="1">
      <c r="A101" s="5" t="str">
        <f>HYPERLINK("http://www.analog.com/zh/ad9251#details", "AD9251-20")</f>
        <v>AD9251-20</v>
      </c>
      <c r="B101">
        <v>14</v>
      </c>
      <c r="C101" t="s">
        <v>178</v>
      </c>
      <c r="D101">
        <v>2</v>
      </c>
      <c r="E101">
        <v>0.6</v>
      </c>
      <c r="F101">
        <v>2</v>
      </c>
      <c r="G101" t="s">
        <v>8</v>
      </c>
      <c r="H101" t="s">
        <v>252</v>
      </c>
      <c r="I101" t="s">
        <v>31</v>
      </c>
      <c r="J101" t="s">
        <v>116</v>
      </c>
      <c r="K101" t="s">
        <v>253</v>
      </c>
      <c r="L101" t="s">
        <v>91</v>
      </c>
    </row>
    <row r="102" spans="1:12" ht="15" hidden="1">
      <c r="A102" s="5" t="str">
        <f>HYPERLINK("http://www.analog.com/zh/ad9204#details", "AD9204-80")</f>
        <v>AD9204-80</v>
      </c>
      <c r="B102">
        <v>10</v>
      </c>
      <c r="C102" t="s">
        <v>84</v>
      </c>
      <c r="D102" t="s">
        <v>8</v>
      </c>
      <c r="E102">
        <v>0.25</v>
      </c>
      <c r="F102" t="s">
        <v>8</v>
      </c>
      <c r="G102" t="s">
        <v>8</v>
      </c>
      <c r="H102" t="s">
        <v>254</v>
      </c>
      <c r="I102" t="s">
        <v>31</v>
      </c>
      <c r="J102" t="s">
        <v>116</v>
      </c>
      <c r="K102" t="s">
        <v>8</v>
      </c>
      <c r="L102" t="s">
        <v>91</v>
      </c>
    </row>
    <row r="103" spans="1:12" ht="15" hidden="1">
      <c r="A103" s="5" t="str">
        <f>HYPERLINK("http://www.analog.com/zh/ad9204#details", "AD9204-65")</f>
        <v>AD9204-65</v>
      </c>
      <c r="B103">
        <v>10</v>
      </c>
      <c r="C103" t="s">
        <v>72</v>
      </c>
      <c r="D103" t="s">
        <v>8</v>
      </c>
      <c r="E103">
        <v>0.25</v>
      </c>
      <c r="F103" t="s">
        <v>8</v>
      </c>
      <c r="G103" t="s">
        <v>8</v>
      </c>
      <c r="H103" t="s">
        <v>255</v>
      </c>
      <c r="I103" t="s">
        <v>31</v>
      </c>
      <c r="J103" t="s">
        <v>116</v>
      </c>
      <c r="K103" t="s">
        <v>256</v>
      </c>
      <c r="L103" t="s">
        <v>91</v>
      </c>
    </row>
    <row r="104" spans="1:12" ht="15" hidden="1">
      <c r="A104" s="5" t="str">
        <f>HYPERLINK("http://www.analog.com/zh/ad9204#details", "AD9204-40")</f>
        <v>AD9204-40</v>
      </c>
      <c r="B104">
        <v>10</v>
      </c>
      <c r="C104" t="s">
        <v>92</v>
      </c>
      <c r="D104" t="s">
        <v>8</v>
      </c>
      <c r="E104">
        <v>0.15</v>
      </c>
      <c r="F104" t="s">
        <v>8</v>
      </c>
      <c r="G104" t="s">
        <v>8</v>
      </c>
      <c r="H104" t="s">
        <v>257</v>
      </c>
      <c r="I104" t="s">
        <v>31</v>
      </c>
      <c r="J104" t="s">
        <v>116</v>
      </c>
      <c r="K104" t="s">
        <v>258</v>
      </c>
      <c r="L104" t="s">
        <v>91</v>
      </c>
    </row>
    <row r="105" spans="1:12" ht="15" hidden="1">
      <c r="A105" s="5" t="str">
        <f>HYPERLINK("http://www.analog.com/zh/ad9204#details", "AD9204-20")</f>
        <v>AD9204-20</v>
      </c>
      <c r="B105">
        <v>10</v>
      </c>
      <c r="C105" t="s">
        <v>178</v>
      </c>
      <c r="D105" t="s">
        <v>8</v>
      </c>
      <c r="E105">
        <v>0.15</v>
      </c>
      <c r="F105" t="s">
        <v>8</v>
      </c>
      <c r="G105" t="s">
        <v>8</v>
      </c>
      <c r="H105" t="s">
        <v>259</v>
      </c>
      <c r="I105" t="s">
        <v>31</v>
      </c>
      <c r="J105" t="s">
        <v>116</v>
      </c>
      <c r="K105" t="s">
        <v>260</v>
      </c>
      <c r="L105" t="s">
        <v>91</v>
      </c>
    </row>
    <row r="106" spans="1:12" ht="15" hidden="1">
      <c r="A106" s="5" t="str">
        <f>HYPERLINK("http://www.analog.com/zh/ad9268#details", "AD9268-80")</f>
        <v>AD9268-80</v>
      </c>
      <c r="B106">
        <v>16</v>
      </c>
      <c r="C106" t="s">
        <v>84</v>
      </c>
      <c r="D106">
        <v>2</v>
      </c>
      <c r="E106">
        <v>2</v>
      </c>
      <c r="F106">
        <v>2</v>
      </c>
      <c r="G106" t="s">
        <v>8</v>
      </c>
      <c r="H106" t="s">
        <v>261</v>
      </c>
      <c r="I106" t="s">
        <v>31</v>
      </c>
      <c r="J106" t="s">
        <v>116</v>
      </c>
      <c r="K106" t="s">
        <v>262</v>
      </c>
      <c r="L106" t="s">
        <v>263</v>
      </c>
    </row>
    <row r="107" spans="1:12" ht="15" hidden="1">
      <c r="A107" s="5" t="str">
        <f>HYPERLINK("http://www.analog.com/zh/ad9268#details", "AD9268-125")</f>
        <v>AD9268-125</v>
      </c>
      <c r="B107">
        <v>16</v>
      </c>
      <c r="C107" t="s">
        <v>45</v>
      </c>
      <c r="D107">
        <v>2</v>
      </c>
      <c r="E107">
        <v>3</v>
      </c>
      <c r="F107">
        <v>2</v>
      </c>
      <c r="G107" t="s">
        <v>8</v>
      </c>
      <c r="H107" t="s">
        <v>66</v>
      </c>
      <c r="I107" t="s">
        <v>31</v>
      </c>
      <c r="J107" t="s">
        <v>116</v>
      </c>
      <c r="K107" t="s">
        <v>264</v>
      </c>
      <c r="L107" t="s">
        <v>263</v>
      </c>
    </row>
    <row r="108" spans="1:12" ht="15" hidden="1">
      <c r="A108" s="5" t="str">
        <f>HYPERLINK("http://www.analog.com/zh/ad9268#details", "AD9268-105")</f>
        <v>AD9268-105</v>
      </c>
      <c r="B108">
        <v>16</v>
      </c>
      <c r="C108" t="s">
        <v>99</v>
      </c>
      <c r="D108" t="s">
        <v>8</v>
      </c>
      <c r="E108">
        <v>3</v>
      </c>
      <c r="F108" t="s">
        <v>8</v>
      </c>
      <c r="G108" t="s">
        <v>8</v>
      </c>
      <c r="H108" t="s">
        <v>265</v>
      </c>
      <c r="I108" t="s">
        <v>31</v>
      </c>
      <c r="J108" t="s">
        <v>116</v>
      </c>
      <c r="K108" t="s">
        <v>266</v>
      </c>
      <c r="L108" t="s">
        <v>263</v>
      </c>
    </row>
    <row r="109" spans="1:12" ht="15" hidden="1">
      <c r="A109" s="5" t="str">
        <f>HYPERLINK("http://www.analog.com/zh/ad9258#details", "AD9258-80")</f>
        <v>AD9258-80</v>
      </c>
      <c r="B109">
        <v>14</v>
      </c>
      <c r="C109" t="s">
        <v>84</v>
      </c>
      <c r="D109">
        <v>2</v>
      </c>
      <c r="E109">
        <v>0.55000000000000004</v>
      </c>
      <c r="F109">
        <v>2</v>
      </c>
      <c r="G109" t="s">
        <v>8</v>
      </c>
      <c r="H109" t="s">
        <v>261</v>
      </c>
      <c r="I109" t="s">
        <v>31</v>
      </c>
      <c r="J109" t="s">
        <v>116</v>
      </c>
      <c r="K109" t="s">
        <v>267</v>
      </c>
      <c r="L109" t="s">
        <v>263</v>
      </c>
    </row>
    <row r="110" spans="1:12" ht="15" hidden="1">
      <c r="A110" s="5" t="str">
        <f>HYPERLINK("http://www.analog.com/zh/ad9258#details", "AD9258-125")</f>
        <v>AD9258-125</v>
      </c>
      <c r="B110">
        <v>14</v>
      </c>
      <c r="C110" t="s">
        <v>45</v>
      </c>
      <c r="D110">
        <v>2</v>
      </c>
      <c r="E110">
        <v>0.8</v>
      </c>
      <c r="F110">
        <v>2</v>
      </c>
      <c r="G110" t="s">
        <v>8</v>
      </c>
      <c r="H110" t="s">
        <v>66</v>
      </c>
      <c r="I110" t="s">
        <v>31</v>
      </c>
      <c r="J110" t="s">
        <v>116</v>
      </c>
      <c r="K110" t="s">
        <v>268</v>
      </c>
      <c r="L110" t="s">
        <v>263</v>
      </c>
    </row>
    <row r="111" spans="1:12" ht="15" hidden="1">
      <c r="A111" s="5" t="str">
        <f>HYPERLINK("http://www.analog.com/zh/ad9258#details", "AD9258-105")</f>
        <v>AD9258-105</v>
      </c>
      <c r="B111">
        <v>14</v>
      </c>
      <c r="C111" t="s">
        <v>99</v>
      </c>
      <c r="D111" t="s">
        <v>8</v>
      </c>
      <c r="E111">
        <v>0.7</v>
      </c>
      <c r="F111" t="s">
        <v>8</v>
      </c>
      <c r="G111" t="s">
        <v>8</v>
      </c>
      <c r="H111" t="s">
        <v>269</v>
      </c>
      <c r="I111" t="s">
        <v>31</v>
      </c>
      <c r="J111" t="s">
        <v>116</v>
      </c>
      <c r="K111" t="s">
        <v>270</v>
      </c>
      <c r="L111" t="s">
        <v>263</v>
      </c>
    </row>
    <row r="112" spans="1:12" ht="15" hidden="1">
      <c r="A112" s="5" t="str">
        <f>HYPERLINK("http://www.analog.com/zh/ad9239#details", "AD9239-250")</f>
        <v>AD9239-250</v>
      </c>
      <c r="B112">
        <v>12</v>
      </c>
      <c r="C112" t="s">
        <v>75</v>
      </c>
      <c r="D112">
        <v>4</v>
      </c>
      <c r="E112">
        <v>0.7</v>
      </c>
      <c r="F112">
        <v>1.25</v>
      </c>
      <c r="G112" t="s">
        <v>8</v>
      </c>
      <c r="H112">
        <v>1.6339999999999999</v>
      </c>
      <c r="I112" t="s">
        <v>31</v>
      </c>
      <c r="J112" t="s">
        <v>183</v>
      </c>
      <c r="K112" t="s">
        <v>271</v>
      </c>
      <c r="L112" t="s">
        <v>272</v>
      </c>
    </row>
    <row r="113" spans="1:12" ht="15" hidden="1">
      <c r="A113" s="5" t="str">
        <f>HYPERLINK("http://www.analog.com/zh/ad9239#details", "AD9239-210")</f>
        <v>AD9239-210</v>
      </c>
      <c r="B113">
        <v>12</v>
      </c>
      <c r="C113" t="s">
        <v>120</v>
      </c>
      <c r="D113" t="s">
        <v>8</v>
      </c>
      <c r="E113">
        <v>0.7</v>
      </c>
      <c r="F113" t="s">
        <v>8</v>
      </c>
      <c r="G113" t="s">
        <v>8</v>
      </c>
      <c r="H113">
        <v>1.298</v>
      </c>
      <c r="I113" t="s">
        <v>31</v>
      </c>
      <c r="J113" t="s">
        <v>183</v>
      </c>
      <c r="K113" t="s">
        <v>273</v>
      </c>
      <c r="L113" t="s">
        <v>272</v>
      </c>
    </row>
    <row r="114" spans="1:12" ht="15" hidden="1">
      <c r="A114" s="5" t="str">
        <f>HYPERLINK("http://www.analog.com/zh/ad9239#details", "AD9239-170")</f>
        <v>AD9239-170</v>
      </c>
      <c r="B114">
        <v>12</v>
      </c>
      <c r="C114" t="s">
        <v>78</v>
      </c>
      <c r="D114">
        <v>4</v>
      </c>
      <c r="E114">
        <v>0.45</v>
      </c>
      <c r="F114">
        <v>1.25</v>
      </c>
      <c r="G114" t="s">
        <v>8</v>
      </c>
      <c r="H114">
        <v>1.6339999999999999</v>
      </c>
      <c r="I114" t="s">
        <v>31</v>
      </c>
      <c r="J114" t="s">
        <v>183</v>
      </c>
      <c r="K114" t="s">
        <v>274</v>
      </c>
      <c r="L114" t="s">
        <v>272</v>
      </c>
    </row>
    <row r="115" spans="1:12" ht="15" hidden="1">
      <c r="A115" s="5" t="str">
        <f>HYPERLINK("http://www.analog.com/zh/ad9230-11#details", "AD9230-11")</f>
        <v>AD9230-11</v>
      </c>
      <c r="B115">
        <v>11</v>
      </c>
      <c r="C115" t="s">
        <v>153</v>
      </c>
      <c r="D115">
        <v>1</v>
      </c>
      <c r="E115">
        <v>0.5</v>
      </c>
      <c r="F115">
        <v>1.5</v>
      </c>
      <c r="G115" t="s">
        <v>8</v>
      </c>
      <c r="H115" t="s">
        <v>275</v>
      </c>
      <c r="I115" t="s">
        <v>31</v>
      </c>
      <c r="J115" t="s">
        <v>276</v>
      </c>
      <c r="K115" t="s">
        <v>277</v>
      </c>
      <c r="L115" t="s">
        <v>278</v>
      </c>
    </row>
    <row r="116" spans="1:12" ht="15" hidden="1">
      <c r="A116" s="5" t="str">
        <f>HYPERLINK("http://www.analog.com/zh/ad9627#details", "AD9627-80")</f>
        <v>AD9627-80</v>
      </c>
      <c r="B116">
        <v>12</v>
      </c>
      <c r="C116" t="s">
        <v>84</v>
      </c>
      <c r="D116">
        <v>2</v>
      </c>
      <c r="E116">
        <v>0.4</v>
      </c>
      <c r="F116">
        <v>2</v>
      </c>
      <c r="G116" t="s">
        <v>8</v>
      </c>
      <c r="H116" t="s">
        <v>279</v>
      </c>
      <c r="I116" t="s">
        <v>31</v>
      </c>
      <c r="J116" t="s">
        <v>116</v>
      </c>
      <c r="K116" t="s">
        <v>8</v>
      </c>
      <c r="L116" t="s">
        <v>263</v>
      </c>
    </row>
    <row r="117" spans="1:12" ht="15" hidden="1">
      <c r="A117" s="5" t="str">
        <f>HYPERLINK("http://www.analog.com/zh/ad9627#details", "AD9627-150")</f>
        <v>AD9627-150</v>
      </c>
      <c r="B117">
        <v>12</v>
      </c>
      <c r="C117" t="s">
        <v>280</v>
      </c>
      <c r="D117">
        <v>2</v>
      </c>
      <c r="E117">
        <v>0.5</v>
      </c>
      <c r="F117">
        <v>2</v>
      </c>
      <c r="G117" t="s">
        <v>8</v>
      </c>
      <c r="H117" t="s">
        <v>281</v>
      </c>
      <c r="I117" t="s">
        <v>31</v>
      </c>
      <c r="J117" t="s">
        <v>116</v>
      </c>
      <c r="K117" t="s">
        <v>282</v>
      </c>
      <c r="L117" t="s">
        <v>263</v>
      </c>
    </row>
    <row r="118" spans="1:12" ht="15" hidden="1">
      <c r="A118" s="5" t="str">
        <f>HYPERLINK("http://www.analog.com/zh/ad9627#details", "AD9627-125")</f>
        <v>AD9627-125</v>
      </c>
      <c r="B118">
        <v>12</v>
      </c>
      <c r="C118" t="s">
        <v>45</v>
      </c>
      <c r="D118" t="s">
        <v>8</v>
      </c>
      <c r="E118">
        <v>0.4</v>
      </c>
      <c r="F118" t="s">
        <v>8</v>
      </c>
      <c r="G118" t="s">
        <v>8</v>
      </c>
      <c r="H118" t="s">
        <v>281</v>
      </c>
      <c r="I118" t="s">
        <v>31</v>
      </c>
      <c r="J118" t="s">
        <v>116</v>
      </c>
      <c r="K118" t="s">
        <v>283</v>
      </c>
      <c r="L118" t="s">
        <v>263</v>
      </c>
    </row>
    <row r="119" spans="1:12" ht="15" hidden="1">
      <c r="A119" s="5" t="str">
        <f>HYPERLINK("http://www.analog.com/zh/ad9627#details", "AD9627-105")</f>
        <v>AD9627-105</v>
      </c>
      <c r="B119">
        <v>11</v>
      </c>
      <c r="C119" t="s">
        <v>99</v>
      </c>
      <c r="D119">
        <v>2</v>
      </c>
      <c r="E119">
        <v>0.4</v>
      </c>
      <c r="F119">
        <v>2</v>
      </c>
      <c r="G119" t="s">
        <v>8</v>
      </c>
      <c r="H119" t="s">
        <v>284</v>
      </c>
      <c r="I119" t="s">
        <v>31</v>
      </c>
      <c r="J119" t="s">
        <v>116</v>
      </c>
      <c r="K119" t="s">
        <v>285</v>
      </c>
      <c r="L119" t="s">
        <v>263</v>
      </c>
    </row>
    <row r="120" spans="1:12" ht="15" hidden="1">
      <c r="A120" s="5" t="str">
        <f>HYPERLINK("http://www.analog.com/zh/ad9626#details", "AD9626-250")</f>
        <v>AD9626-250</v>
      </c>
      <c r="B120">
        <v>12</v>
      </c>
      <c r="C120" t="s">
        <v>75</v>
      </c>
      <c r="D120">
        <v>1</v>
      </c>
      <c r="E120">
        <v>0.7</v>
      </c>
      <c r="F120">
        <v>1.5</v>
      </c>
      <c r="G120" t="s">
        <v>8</v>
      </c>
      <c r="H120" t="s">
        <v>286</v>
      </c>
      <c r="I120" t="s">
        <v>31</v>
      </c>
      <c r="J120" t="s">
        <v>116</v>
      </c>
      <c r="K120" t="s">
        <v>287</v>
      </c>
      <c r="L120" t="s">
        <v>278</v>
      </c>
    </row>
    <row r="121" spans="1:12" ht="15" hidden="1">
      <c r="A121" s="5" t="str">
        <f>HYPERLINK("http://www.analog.com/zh/ad9626#details", "AD9626-210")</f>
        <v>AD9626-210</v>
      </c>
      <c r="B121">
        <v>12</v>
      </c>
      <c r="C121" t="s">
        <v>120</v>
      </c>
      <c r="D121" t="s">
        <v>8</v>
      </c>
      <c r="E121">
        <v>0.6</v>
      </c>
      <c r="F121" t="s">
        <v>8</v>
      </c>
      <c r="G121" t="s">
        <v>8</v>
      </c>
      <c r="H121" t="s">
        <v>288</v>
      </c>
      <c r="I121" t="s">
        <v>31</v>
      </c>
      <c r="J121" t="s">
        <v>116</v>
      </c>
      <c r="K121" t="s">
        <v>289</v>
      </c>
      <c r="L121" t="s">
        <v>278</v>
      </c>
    </row>
    <row r="122" spans="1:12" ht="15" hidden="1">
      <c r="A122" s="5" t="str">
        <f>HYPERLINK("http://www.analog.com/zh/ad9626#details", "AD9626-170")</f>
        <v>AD9626-170</v>
      </c>
      <c r="B122">
        <v>12</v>
      </c>
      <c r="C122" t="s">
        <v>78</v>
      </c>
      <c r="D122">
        <v>1</v>
      </c>
      <c r="E122">
        <v>0.7</v>
      </c>
      <c r="F122">
        <v>1.5</v>
      </c>
      <c r="G122" t="s">
        <v>8</v>
      </c>
      <c r="H122" t="s">
        <v>290</v>
      </c>
      <c r="I122" t="s">
        <v>31</v>
      </c>
      <c r="J122" t="s">
        <v>116</v>
      </c>
      <c r="K122" t="s">
        <v>285</v>
      </c>
      <c r="L122" t="s">
        <v>278</v>
      </c>
    </row>
    <row r="123" spans="1:12" ht="15" hidden="1">
      <c r="A123" s="5" t="str">
        <f>HYPERLINK("http://www.analog.com/zh/ad9601#details", "AD9601-200")</f>
        <v>AD9601-200</v>
      </c>
      <c r="B123">
        <v>10</v>
      </c>
      <c r="C123" t="s">
        <v>153</v>
      </c>
      <c r="D123">
        <v>1</v>
      </c>
      <c r="E123">
        <v>0.2</v>
      </c>
      <c r="F123">
        <v>1.5</v>
      </c>
      <c r="G123" t="s">
        <v>8</v>
      </c>
      <c r="H123" t="s">
        <v>291</v>
      </c>
      <c r="I123" t="s">
        <v>31</v>
      </c>
      <c r="J123" t="s">
        <v>116</v>
      </c>
      <c r="K123" t="s">
        <v>292</v>
      </c>
      <c r="L123" t="s">
        <v>278</v>
      </c>
    </row>
    <row r="124" spans="1:12" ht="15" hidden="1">
      <c r="A124" s="5" t="str">
        <f>HYPERLINK("http://www.analog.com/zh/ad9600#details", "AD9600-150")</f>
        <v>AD9600-150</v>
      </c>
      <c r="B124">
        <v>10</v>
      </c>
      <c r="C124" t="s">
        <v>280</v>
      </c>
      <c r="D124">
        <v>2</v>
      </c>
      <c r="E124">
        <v>0.1</v>
      </c>
      <c r="F124">
        <v>2</v>
      </c>
      <c r="G124" t="s">
        <v>8</v>
      </c>
      <c r="H124" t="s">
        <v>281</v>
      </c>
      <c r="I124" t="s">
        <v>31</v>
      </c>
      <c r="J124" t="s">
        <v>116</v>
      </c>
      <c r="K124" t="s">
        <v>293</v>
      </c>
      <c r="L124" t="s">
        <v>263</v>
      </c>
    </row>
    <row r="125" spans="1:12" ht="15" hidden="1">
      <c r="A125" s="5" t="str">
        <f>HYPERLINK("http://www.analog.com/zh/ad9600#details", "AD9600-125")</f>
        <v>AD9600-125</v>
      </c>
      <c r="B125">
        <v>10</v>
      </c>
      <c r="C125" t="s">
        <v>45</v>
      </c>
      <c r="D125" t="s">
        <v>8</v>
      </c>
      <c r="E125">
        <v>0.1</v>
      </c>
      <c r="F125" t="s">
        <v>8</v>
      </c>
      <c r="G125" t="s">
        <v>8</v>
      </c>
      <c r="H125" t="s">
        <v>294</v>
      </c>
      <c r="I125" t="s">
        <v>31</v>
      </c>
      <c r="J125" t="s">
        <v>42</v>
      </c>
      <c r="K125" t="s">
        <v>295</v>
      </c>
      <c r="L125" t="s">
        <v>263</v>
      </c>
    </row>
    <row r="126" spans="1:12" ht="15" hidden="1">
      <c r="A126" s="5" t="str">
        <f>HYPERLINK("http://www.analog.com/zh/ad9600#details", "AD9600-105")</f>
        <v>AD9600-105</v>
      </c>
      <c r="B126">
        <v>10</v>
      </c>
      <c r="C126" t="s">
        <v>99</v>
      </c>
      <c r="D126">
        <v>2</v>
      </c>
      <c r="E126">
        <v>0.1</v>
      </c>
      <c r="F126">
        <v>2</v>
      </c>
      <c r="G126" t="s">
        <v>8</v>
      </c>
      <c r="H126" t="s">
        <v>281</v>
      </c>
      <c r="I126" t="s">
        <v>31</v>
      </c>
      <c r="J126" t="s">
        <v>116</v>
      </c>
      <c r="K126" t="s">
        <v>296</v>
      </c>
      <c r="L126" t="s">
        <v>263</v>
      </c>
    </row>
    <row r="127" spans="1:12" ht="15" hidden="1">
      <c r="A127" s="5" t="str">
        <f>HYPERLINK("http://www.analog.com/zh/ad9640#details", "AD9640-80")</f>
        <v>AD9640-80</v>
      </c>
      <c r="B127">
        <v>14</v>
      </c>
      <c r="C127" t="s">
        <v>84</v>
      </c>
      <c r="D127">
        <v>2</v>
      </c>
      <c r="E127">
        <v>2</v>
      </c>
      <c r="F127">
        <v>2</v>
      </c>
      <c r="G127" t="s">
        <v>8</v>
      </c>
      <c r="H127" t="s">
        <v>297</v>
      </c>
      <c r="I127" t="s">
        <v>31</v>
      </c>
      <c r="J127" t="s">
        <v>116</v>
      </c>
      <c r="K127" t="s">
        <v>298</v>
      </c>
      <c r="L127" t="s">
        <v>299</v>
      </c>
    </row>
    <row r="128" spans="1:12" ht="15" hidden="1">
      <c r="A128" s="5" t="str">
        <f>HYPERLINK("http://www.analog.com/zh/ad9640#details", "AD9640-150")</f>
        <v>AD9640-150</v>
      </c>
      <c r="B128">
        <v>14</v>
      </c>
      <c r="C128" t="s">
        <v>280</v>
      </c>
      <c r="D128">
        <v>2</v>
      </c>
      <c r="E128">
        <v>2</v>
      </c>
      <c r="F128">
        <v>2</v>
      </c>
      <c r="G128" t="s">
        <v>8</v>
      </c>
      <c r="H128" t="s">
        <v>300</v>
      </c>
      <c r="I128" t="s">
        <v>31</v>
      </c>
      <c r="J128" t="s">
        <v>116</v>
      </c>
      <c r="K128" t="s">
        <v>301</v>
      </c>
      <c r="L128" t="s">
        <v>299</v>
      </c>
    </row>
    <row r="129" spans="1:12" ht="15" hidden="1">
      <c r="A129" s="5" t="str">
        <f>HYPERLINK("http://www.analog.com/zh/ad9640#details", "AD9640-125")</f>
        <v>AD9640-125</v>
      </c>
      <c r="B129">
        <v>14</v>
      </c>
      <c r="C129" t="s">
        <v>45</v>
      </c>
      <c r="D129" t="s">
        <v>8</v>
      </c>
      <c r="E129">
        <v>2</v>
      </c>
      <c r="F129" t="s">
        <v>8</v>
      </c>
      <c r="G129" t="s">
        <v>8</v>
      </c>
      <c r="H129" t="s">
        <v>302</v>
      </c>
      <c r="I129" t="s">
        <v>31</v>
      </c>
      <c r="J129" t="s">
        <v>116</v>
      </c>
      <c r="K129" t="s">
        <v>303</v>
      </c>
      <c r="L129" t="s">
        <v>299</v>
      </c>
    </row>
    <row r="130" spans="1:12" ht="15" hidden="1">
      <c r="A130" s="5" t="str">
        <f>HYPERLINK("http://www.analog.com/zh/ad9640#details", "AD9640-105")</f>
        <v>AD9640-105</v>
      </c>
      <c r="B130">
        <v>14</v>
      </c>
      <c r="C130" t="s">
        <v>99</v>
      </c>
      <c r="D130" t="s">
        <v>8</v>
      </c>
      <c r="E130">
        <v>2</v>
      </c>
      <c r="F130" t="s">
        <v>8</v>
      </c>
      <c r="G130" t="s">
        <v>8</v>
      </c>
      <c r="H130" t="s">
        <v>304</v>
      </c>
      <c r="I130" t="s">
        <v>31</v>
      </c>
      <c r="J130" t="s">
        <v>116</v>
      </c>
      <c r="K130" t="s">
        <v>305</v>
      </c>
      <c r="L130" t="s">
        <v>299</v>
      </c>
    </row>
    <row r="131" spans="1:12" ht="15" hidden="1">
      <c r="A131" s="5" t="str">
        <f>HYPERLINK("http://www.analog.com/zh/ad9211#details", "AD9211-300")</f>
        <v>AD9211-300</v>
      </c>
      <c r="B131">
        <v>10</v>
      </c>
      <c r="C131" t="s">
        <v>306</v>
      </c>
      <c r="D131">
        <v>1</v>
      </c>
      <c r="E131">
        <v>0.2</v>
      </c>
      <c r="F131">
        <v>1.25</v>
      </c>
      <c r="G131" t="s">
        <v>8</v>
      </c>
      <c r="H131" t="s">
        <v>307</v>
      </c>
      <c r="I131" t="s">
        <v>31</v>
      </c>
      <c r="J131" t="s">
        <v>42</v>
      </c>
      <c r="K131" t="s">
        <v>308</v>
      </c>
      <c r="L131" t="s">
        <v>278</v>
      </c>
    </row>
    <row r="132" spans="1:12" ht="15" hidden="1">
      <c r="A132" s="5" t="str">
        <f>HYPERLINK("http://www.analog.com/zh/ad9211#details", "AD9211-250")</f>
        <v>AD9211-250</v>
      </c>
      <c r="B132">
        <v>10</v>
      </c>
      <c r="C132" t="s">
        <v>75</v>
      </c>
      <c r="D132" t="s">
        <v>8</v>
      </c>
      <c r="E132">
        <v>0.2</v>
      </c>
      <c r="F132" t="s">
        <v>8</v>
      </c>
      <c r="G132" t="s">
        <v>8</v>
      </c>
      <c r="H132" t="s">
        <v>309</v>
      </c>
      <c r="I132" t="s">
        <v>31</v>
      </c>
      <c r="J132" t="s">
        <v>42</v>
      </c>
      <c r="K132" t="s">
        <v>310</v>
      </c>
      <c r="L132" t="s">
        <v>278</v>
      </c>
    </row>
    <row r="133" spans="1:12" ht="15" hidden="1">
      <c r="A133" s="5" t="str">
        <f>HYPERLINK("http://www.analog.com/zh/ad9211#details", "AD9211-200")</f>
        <v>AD9211-200</v>
      </c>
      <c r="B133">
        <v>10</v>
      </c>
      <c r="C133" t="s">
        <v>153</v>
      </c>
      <c r="D133">
        <v>1</v>
      </c>
      <c r="E133">
        <v>0.2</v>
      </c>
      <c r="F133">
        <v>1.25</v>
      </c>
      <c r="G133" t="s">
        <v>8</v>
      </c>
      <c r="H133" t="s">
        <v>311</v>
      </c>
      <c r="I133" t="s">
        <v>31</v>
      </c>
      <c r="J133" t="s">
        <v>42</v>
      </c>
      <c r="K133" t="s">
        <v>292</v>
      </c>
      <c r="L133" t="s">
        <v>278</v>
      </c>
    </row>
    <row r="134" spans="1:12" ht="15" hidden="1">
      <c r="A134" s="5" t="str">
        <f>HYPERLINK("http://www.analog.com/zh/ad9230#details", "AD9230-250")</f>
        <v>AD9230-250</v>
      </c>
      <c r="B134">
        <v>12</v>
      </c>
      <c r="C134" t="s">
        <v>75</v>
      </c>
      <c r="D134">
        <v>1</v>
      </c>
      <c r="E134">
        <v>0.5</v>
      </c>
      <c r="F134">
        <v>1.5</v>
      </c>
      <c r="G134" t="s">
        <v>8</v>
      </c>
      <c r="H134" t="s">
        <v>312</v>
      </c>
      <c r="I134" t="s">
        <v>31</v>
      </c>
      <c r="J134" t="s">
        <v>276</v>
      </c>
      <c r="K134" t="s">
        <v>313</v>
      </c>
      <c r="L134" t="s">
        <v>278</v>
      </c>
    </row>
    <row r="135" spans="1:12" ht="15" hidden="1">
      <c r="A135" s="5" t="str">
        <f>HYPERLINK("http://www.analog.com/zh/ad9230#details", "AD9230-210")</f>
        <v>AD9230-210</v>
      </c>
      <c r="B135">
        <v>12</v>
      </c>
      <c r="C135" t="s">
        <v>120</v>
      </c>
      <c r="D135" t="s">
        <v>8</v>
      </c>
      <c r="E135">
        <v>0.4</v>
      </c>
      <c r="F135" t="s">
        <v>8</v>
      </c>
      <c r="G135" t="s">
        <v>8</v>
      </c>
      <c r="H135" t="s">
        <v>314</v>
      </c>
      <c r="I135" t="s">
        <v>31</v>
      </c>
      <c r="J135" t="s">
        <v>42</v>
      </c>
      <c r="K135" t="s">
        <v>315</v>
      </c>
      <c r="L135" t="s">
        <v>278</v>
      </c>
    </row>
    <row r="136" spans="1:12" ht="15" hidden="1">
      <c r="A136" s="5" t="str">
        <f>HYPERLINK("http://www.analog.com/zh/ad9230#details", "AD9230-170")</f>
        <v>AD9230-170</v>
      </c>
      <c r="B136">
        <v>12</v>
      </c>
      <c r="C136" t="s">
        <v>78</v>
      </c>
      <c r="D136">
        <v>1</v>
      </c>
      <c r="E136">
        <v>0.5</v>
      </c>
      <c r="F136">
        <v>1.25</v>
      </c>
      <c r="G136" t="s">
        <v>8</v>
      </c>
      <c r="H136" t="s">
        <v>316</v>
      </c>
      <c r="I136" t="s">
        <v>31</v>
      </c>
      <c r="J136" t="s">
        <v>276</v>
      </c>
      <c r="K136" t="s">
        <v>317</v>
      </c>
      <c r="L136" t="s">
        <v>278</v>
      </c>
    </row>
    <row r="137" spans="1:12" ht="15" hidden="1">
      <c r="A137" s="5" t="str">
        <f>HYPERLINK("http://www.analog.com/zh/ad9254#details", "AD9254")</f>
        <v>AD9254</v>
      </c>
      <c r="B137">
        <v>14</v>
      </c>
      <c r="C137" t="s">
        <v>280</v>
      </c>
      <c r="D137">
        <v>1</v>
      </c>
      <c r="E137">
        <v>1.5</v>
      </c>
      <c r="F137">
        <v>2</v>
      </c>
      <c r="G137" t="s">
        <v>8</v>
      </c>
      <c r="H137" t="s">
        <v>318</v>
      </c>
      <c r="I137" t="s">
        <v>31</v>
      </c>
      <c r="J137" t="s">
        <v>116</v>
      </c>
      <c r="K137" t="s">
        <v>319</v>
      </c>
      <c r="L137" t="s">
        <v>320</v>
      </c>
    </row>
    <row r="138" spans="1:12" ht="15" hidden="1">
      <c r="A138" s="5" t="str">
        <f>HYPERLINK("http://www.analog.com/zh/ad9252#details", "AD9252")</f>
        <v>AD9252</v>
      </c>
      <c r="B138">
        <v>14</v>
      </c>
      <c r="C138" t="s">
        <v>321</v>
      </c>
      <c r="D138">
        <v>8</v>
      </c>
      <c r="E138">
        <v>1.5</v>
      </c>
      <c r="F138">
        <v>2</v>
      </c>
      <c r="G138" t="s">
        <v>8</v>
      </c>
      <c r="H138" t="s">
        <v>322</v>
      </c>
      <c r="I138" t="s">
        <v>31</v>
      </c>
      <c r="J138" t="s">
        <v>47</v>
      </c>
      <c r="K138" t="s">
        <v>323</v>
      </c>
      <c r="L138" t="s">
        <v>263</v>
      </c>
    </row>
    <row r="139" spans="1:12" ht="15" hidden="1">
      <c r="A139" s="5" t="str">
        <f>HYPERLINK("http://www.analog.com/zh/ad9222#details", "AD9222-65")</f>
        <v>AD9222-65</v>
      </c>
      <c r="B139">
        <v>12</v>
      </c>
      <c r="C139" t="s">
        <v>72</v>
      </c>
      <c r="D139">
        <v>8</v>
      </c>
      <c r="E139">
        <v>0.4</v>
      </c>
      <c r="F139">
        <v>2</v>
      </c>
      <c r="G139" t="s">
        <v>8</v>
      </c>
      <c r="H139" t="s">
        <v>324</v>
      </c>
      <c r="I139" t="s">
        <v>31</v>
      </c>
      <c r="J139" t="s">
        <v>47</v>
      </c>
      <c r="K139" t="s">
        <v>325</v>
      </c>
      <c r="L139" t="s">
        <v>263</v>
      </c>
    </row>
    <row r="140" spans="1:12" ht="15" hidden="1">
      <c r="A140" s="5" t="str">
        <f>HYPERLINK("http://www.analog.com/zh/ad9222#details", "AD9222-50")</f>
        <v>AD9222-50</v>
      </c>
      <c r="B140">
        <v>12</v>
      </c>
      <c r="C140" t="s">
        <v>321</v>
      </c>
      <c r="D140" t="s">
        <v>8</v>
      </c>
      <c r="E140">
        <v>0.4</v>
      </c>
      <c r="F140" t="s">
        <v>8</v>
      </c>
      <c r="G140" t="s">
        <v>8</v>
      </c>
      <c r="H140" t="s">
        <v>294</v>
      </c>
      <c r="I140" t="s">
        <v>31</v>
      </c>
      <c r="J140" t="s">
        <v>47</v>
      </c>
      <c r="K140" t="s">
        <v>326</v>
      </c>
      <c r="L140" t="s">
        <v>263</v>
      </c>
    </row>
    <row r="141" spans="1:12" ht="15" hidden="1">
      <c r="A141" s="5" t="str">
        <f>HYPERLINK("http://www.analog.com/zh/ad9222#details", "AD9222-40")</f>
        <v>AD9222-40</v>
      </c>
      <c r="B141">
        <v>12</v>
      </c>
      <c r="C141" t="s">
        <v>92</v>
      </c>
      <c r="D141">
        <v>8</v>
      </c>
      <c r="E141">
        <v>0.4</v>
      </c>
      <c r="F141">
        <v>2</v>
      </c>
      <c r="G141" t="s">
        <v>8</v>
      </c>
      <c r="H141" t="s">
        <v>327</v>
      </c>
      <c r="I141" t="s">
        <v>31</v>
      </c>
      <c r="J141" t="s">
        <v>47</v>
      </c>
      <c r="K141" t="s">
        <v>328</v>
      </c>
      <c r="L141" t="s">
        <v>263</v>
      </c>
    </row>
    <row r="142" spans="1:12" ht="15" hidden="1">
      <c r="A142" s="5" t="str">
        <f>HYPERLINK("http://www.analog.com/zh/ad9212#details", "AD9212-65")</f>
        <v>AD9212-65</v>
      </c>
      <c r="B142">
        <v>10</v>
      </c>
      <c r="C142" t="s">
        <v>72</v>
      </c>
      <c r="D142">
        <v>8</v>
      </c>
      <c r="E142">
        <v>0.4</v>
      </c>
      <c r="F142">
        <v>2</v>
      </c>
      <c r="G142" t="s">
        <v>8</v>
      </c>
      <c r="H142" t="s">
        <v>329</v>
      </c>
      <c r="I142" t="s">
        <v>31</v>
      </c>
      <c r="J142" t="s">
        <v>47</v>
      </c>
      <c r="K142" t="s">
        <v>292</v>
      </c>
      <c r="L142" t="s">
        <v>263</v>
      </c>
    </row>
    <row r="143" spans="1:12" ht="15" hidden="1">
      <c r="A143" s="5" t="str">
        <f>HYPERLINK("http://www.analog.com/zh/ad9212#details", "AD9212-40")</f>
        <v>AD9212-40</v>
      </c>
      <c r="B143">
        <v>10</v>
      </c>
      <c r="C143" t="s">
        <v>92</v>
      </c>
      <c r="D143">
        <v>8</v>
      </c>
      <c r="E143">
        <v>0.15</v>
      </c>
      <c r="F143">
        <v>2</v>
      </c>
      <c r="G143" t="s">
        <v>8</v>
      </c>
      <c r="H143" t="s">
        <v>330</v>
      </c>
      <c r="I143" t="s">
        <v>31</v>
      </c>
      <c r="J143" t="s">
        <v>47</v>
      </c>
      <c r="K143" t="s">
        <v>331</v>
      </c>
      <c r="L143" t="s">
        <v>263</v>
      </c>
    </row>
    <row r="144" spans="1:12" ht="15" hidden="1">
      <c r="A144" s="5" t="str">
        <f>HYPERLINK("http://www.analog.com/zh/ad9460#details", "AD9460-80")</f>
        <v>AD9460-80</v>
      </c>
      <c r="B144">
        <v>16</v>
      </c>
      <c r="C144" t="s">
        <v>84</v>
      </c>
      <c r="D144">
        <v>1</v>
      </c>
      <c r="E144">
        <v>3</v>
      </c>
      <c r="F144">
        <v>4</v>
      </c>
      <c r="G144" t="s">
        <v>8</v>
      </c>
      <c r="H144">
        <v>1.8</v>
      </c>
      <c r="I144" t="s">
        <v>31</v>
      </c>
      <c r="J144" t="s">
        <v>116</v>
      </c>
      <c r="K144" t="s">
        <v>332</v>
      </c>
      <c r="L144" t="s">
        <v>333</v>
      </c>
    </row>
    <row r="145" spans="1:12" ht="15" hidden="1">
      <c r="A145" s="5" t="str">
        <f>HYPERLINK("http://www.analog.com/zh/ad9460#details", "AD9460-105")</f>
        <v>AD9460-105</v>
      </c>
      <c r="B145">
        <v>16</v>
      </c>
      <c r="C145" t="s">
        <v>99</v>
      </c>
      <c r="D145">
        <v>1</v>
      </c>
      <c r="E145">
        <v>3</v>
      </c>
      <c r="F145">
        <v>4</v>
      </c>
      <c r="G145" t="s">
        <v>8</v>
      </c>
      <c r="H145">
        <v>2.2000000000000002</v>
      </c>
      <c r="I145" t="s">
        <v>31</v>
      </c>
      <c r="J145" t="s">
        <v>116</v>
      </c>
      <c r="K145" t="s">
        <v>334</v>
      </c>
      <c r="L145" t="s">
        <v>333</v>
      </c>
    </row>
    <row r="146" spans="1:12" ht="15" hidden="1">
      <c r="A146" s="5" t="str">
        <f>HYPERLINK("http://www.analog.com/zh/ad9287#details", "AD9287")</f>
        <v>AD9287</v>
      </c>
      <c r="B146">
        <v>8</v>
      </c>
      <c r="C146" t="s">
        <v>335</v>
      </c>
      <c r="D146">
        <v>4</v>
      </c>
      <c r="E146">
        <v>0.2</v>
      </c>
      <c r="F146">
        <v>2</v>
      </c>
      <c r="G146" t="s">
        <v>8</v>
      </c>
      <c r="H146" t="s">
        <v>336</v>
      </c>
      <c r="I146" t="s">
        <v>31</v>
      </c>
      <c r="J146" t="s">
        <v>183</v>
      </c>
      <c r="K146" t="s">
        <v>337</v>
      </c>
      <c r="L146" t="s">
        <v>168</v>
      </c>
    </row>
    <row r="147" spans="1:12" ht="15" hidden="1">
      <c r="A147" s="5" t="str">
        <f>HYPERLINK("http://www.analog.com/zh/ad9259#details", "AD9259")</f>
        <v>AD9259</v>
      </c>
      <c r="B147">
        <v>14</v>
      </c>
      <c r="C147" t="s">
        <v>321</v>
      </c>
      <c r="D147">
        <v>4</v>
      </c>
      <c r="E147">
        <v>1.5</v>
      </c>
      <c r="F147">
        <v>2</v>
      </c>
      <c r="G147" t="s">
        <v>8</v>
      </c>
      <c r="H147" t="s">
        <v>338</v>
      </c>
      <c r="I147" t="s">
        <v>31</v>
      </c>
      <c r="J147" t="s">
        <v>183</v>
      </c>
      <c r="K147" t="s">
        <v>339</v>
      </c>
      <c r="L147" t="s">
        <v>168</v>
      </c>
    </row>
    <row r="148" spans="1:12" ht="15" hidden="1">
      <c r="A148" s="5" t="str">
        <f>HYPERLINK("http://www.analog.com/zh/ad9461#details", "AD9461")</f>
        <v>AD9461</v>
      </c>
      <c r="B148">
        <v>16</v>
      </c>
      <c r="C148" t="s">
        <v>340</v>
      </c>
      <c r="D148">
        <v>1</v>
      </c>
      <c r="E148">
        <v>5</v>
      </c>
      <c r="F148">
        <v>4</v>
      </c>
      <c r="G148" t="s">
        <v>8</v>
      </c>
      <c r="H148">
        <v>2.4</v>
      </c>
      <c r="I148" t="s">
        <v>31</v>
      </c>
      <c r="J148" t="s">
        <v>116</v>
      </c>
      <c r="K148" t="s">
        <v>341</v>
      </c>
      <c r="L148" t="s">
        <v>333</v>
      </c>
    </row>
    <row r="149" spans="1:12" ht="15" hidden="1">
      <c r="A149" s="5" t="str">
        <f>HYPERLINK("http://www.analog.com/zh/ad9246#details", "AD9246-80")</f>
        <v>AD9246-80</v>
      </c>
      <c r="B149">
        <v>14</v>
      </c>
      <c r="C149" t="s">
        <v>84</v>
      </c>
      <c r="D149" t="s">
        <v>8</v>
      </c>
      <c r="E149">
        <v>1.5</v>
      </c>
      <c r="F149" t="s">
        <v>8</v>
      </c>
      <c r="G149" t="s">
        <v>8</v>
      </c>
      <c r="H149" t="s">
        <v>342</v>
      </c>
      <c r="I149" t="s">
        <v>31</v>
      </c>
      <c r="J149" t="s">
        <v>116</v>
      </c>
      <c r="K149" t="s">
        <v>343</v>
      </c>
      <c r="L149" t="s">
        <v>320</v>
      </c>
    </row>
    <row r="150" spans="1:12" ht="15" hidden="1">
      <c r="A150" s="5" t="str">
        <f>HYPERLINK("http://www.analog.com/zh/ad9246#details", "AD9246-125")</f>
        <v>AD9246-125</v>
      </c>
      <c r="B150">
        <v>14</v>
      </c>
      <c r="C150" t="s">
        <v>45</v>
      </c>
      <c r="D150">
        <v>1</v>
      </c>
      <c r="E150">
        <v>1.5</v>
      </c>
      <c r="F150">
        <v>2</v>
      </c>
      <c r="G150" t="s">
        <v>8</v>
      </c>
      <c r="H150" t="s">
        <v>344</v>
      </c>
      <c r="I150" t="s">
        <v>31</v>
      </c>
      <c r="J150" t="s">
        <v>116</v>
      </c>
      <c r="K150" t="s">
        <v>345</v>
      </c>
      <c r="L150" t="s">
        <v>320</v>
      </c>
    </row>
    <row r="151" spans="1:12" ht="15" hidden="1">
      <c r="A151" s="5" t="str">
        <f>HYPERLINK("http://www.analog.com/zh/ad9246#details", "AD9246-105")</f>
        <v>AD9246-105</v>
      </c>
      <c r="B151">
        <v>14</v>
      </c>
      <c r="C151" t="s">
        <v>99</v>
      </c>
      <c r="D151">
        <v>1</v>
      </c>
      <c r="E151">
        <v>1.3</v>
      </c>
      <c r="F151">
        <v>2</v>
      </c>
      <c r="G151" t="s">
        <v>8</v>
      </c>
      <c r="H151" t="s">
        <v>344</v>
      </c>
      <c r="I151" t="s">
        <v>31</v>
      </c>
      <c r="J151" t="s">
        <v>116</v>
      </c>
      <c r="K151" t="s">
        <v>346</v>
      </c>
      <c r="L151" t="s">
        <v>320</v>
      </c>
    </row>
    <row r="152" spans="1:12" ht="15" hidden="1">
      <c r="A152" s="5" t="str">
        <f>HYPERLINK("http://www.analog.com/zh/ad9233#details", "AD9233-80")</f>
        <v>AD9233-80</v>
      </c>
      <c r="B152">
        <v>12</v>
      </c>
      <c r="C152" t="s">
        <v>84</v>
      </c>
      <c r="D152" t="s">
        <v>8</v>
      </c>
      <c r="E152">
        <v>0.5</v>
      </c>
      <c r="F152" t="s">
        <v>8</v>
      </c>
      <c r="G152" t="s">
        <v>8</v>
      </c>
      <c r="H152" t="s">
        <v>342</v>
      </c>
      <c r="I152" t="s">
        <v>31</v>
      </c>
      <c r="J152" t="s">
        <v>116</v>
      </c>
      <c r="K152" t="s">
        <v>347</v>
      </c>
      <c r="L152" t="s">
        <v>320</v>
      </c>
    </row>
    <row r="153" spans="1:12" ht="15" hidden="1">
      <c r="A153" s="5" t="str">
        <f>HYPERLINK("http://www.analog.com/zh/ad9233#details", "AD9233-125")</f>
        <v>AD9233-125</v>
      </c>
      <c r="B153">
        <v>12</v>
      </c>
      <c r="C153" t="s">
        <v>45</v>
      </c>
      <c r="D153">
        <v>1</v>
      </c>
      <c r="E153">
        <v>0.5</v>
      </c>
      <c r="F153">
        <v>2</v>
      </c>
      <c r="G153" t="s">
        <v>8</v>
      </c>
      <c r="H153" t="s">
        <v>261</v>
      </c>
      <c r="I153" t="s">
        <v>31</v>
      </c>
      <c r="J153" t="s">
        <v>116</v>
      </c>
      <c r="K153" t="s">
        <v>348</v>
      </c>
      <c r="L153" t="s">
        <v>320</v>
      </c>
    </row>
    <row r="154" spans="1:12" ht="15" hidden="1">
      <c r="A154" s="5" t="str">
        <f>HYPERLINK("http://www.analog.com/zh/ad9233#details", "AD9233-105")</f>
        <v>AD9233-105</v>
      </c>
      <c r="B154">
        <v>12</v>
      </c>
      <c r="C154" t="s">
        <v>99</v>
      </c>
      <c r="D154">
        <v>1</v>
      </c>
      <c r="E154">
        <v>0.5</v>
      </c>
      <c r="F154">
        <v>2</v>
      </c>
      <c r="G154" t="s">
        <v>8</v>
      </c>
      <c r="H154" t="s">
        <v>349</v>
      </c>
      <c r="I154" t="s">
        <v>31</v>
      </c>
      <c r="J154" t="s">
        <v>116</v>
      </c>
      <c r="K154" t="s">
        <v>350</v>
      </c>
      <c r="L154" t="s">
        <v>320</v>
      </c>
    </row>
    <row r="155" spans="1:12" ht="15" hidden="1">
      <c r="A155" s="5" t="str">
        <f>HYPERLINK("http://www.analog.com/zh/ad9228#details", "AD9228-65")</f>
        <v>AD9228-65</v>
      </c>
      <c r="B155">
        <v>12</v>
      </c>
      <c r="C155" t="s">
        <v>72</v>
      </c>
      <c r="D155">
        <v>4</v>
      </c>
      <c r="E155">
        <v>0.4</v>
      </c>
      <c r="F155">
        <v>2</v>
      </c>
      <c r="G155" t="s">
        <v>8</v>
      </c>
      <c r="H155" t="s">
        <v>351</v>
      </c>
      <c r="I155" t="s">
        <v>31</v>
      </c>
      <c r="J155" t="s">
        <v>47</v>
      </c>
      <c r="K155" t="s">
        <v>352</v>
      </c>
      <c r="L155" t="s">
        <v>168</v>
      </c>
    </row>
    <row r="156" spans="1:12" ht="15" hidden="1">
      <c r="A156" s="5" t="str">
        <f>HYPERLINK("http://www.analog.com/zh/ad9228#details", "AD9228-40")</f>
        <v>AD9228-40</v>
      </c>
      <c r="B156">
        <v>12</v>
      </c>
      <c r="C156" t="s">
        <v>92</v>
      </c>
      <c r="D156">
        <v>4</v>
      </c>
      <c r="E156">
        <v>0.4</v>
      </c>
      <c r="F156">
        <v>2</v>
      </c>
      <c r="G156" t="s">
        <v>8</v>
      </c>
      <c r="H156" t="s">
        <v>351</v>
      </c>
      <c r="I156" t="s">
        <v>31</v>
      </c>
      <c r="J156" t="s">
        <v>47</v>
      </c>
      <c r="K156" t="s">
        <v>353</v>
      </c>
      <c r="L156" t="s">
        <v>168</v>
      </c>
    </row>
    <row r="157" spans="1:12" ht="15" hidden="1">
      <c r="A157" s="5" t="str">
        <f>HYPERLINK("http://www.analog.com/zh/ad9219#details", "AD9219-65")</f>
        <v>AD9219-65</v>
      </c>
      <c r="B157">
        <v>10</v>
      </c>
      <c r="C157" t="s">
        <v>72</v>
      </c>
      <c r="D157">
        <v>4</v>
      </c>
      <c r="E157">
        <v>0.3</v>
      </c>
      <c r="F157">
        <v>2</v>
      </c>
      <c r="G157" t="s">
        <v>8</v>
      </c>
      <c r="H157" t="s">
        <v>354</v>
      </c>
      <c r="I157" t="s">
        <v>31</v>
      </c>
      <c r="J157" t="s">
        <v>47</v>
      </c>
      <c r="K157" t="s">
        <v>355</v>
      </c>
      <c r="L157" t="s">
        <v>168</v>
      </c>
    </row>
    <row r="158" spans="1:12" ht="15" hidden="1">
      <c r="A158" s="5" t="str">
        <f>HYPERLINK("http://www.analog.com/zh/ad9219#details", "AD9219-40")</f>
        <v>AD9219-40</v>
      </c>
      <c r="B158">
        <v>10</v>
      </c>
      <c r="C158" t="s">
        <v>92</v>
      </c>
      <c r="D158">
        <v>4</v>
      </c>
      <c r="E158">
        <v>0.15</v>
      </c>
      <c r="F158">
        <v>2</v>
      </c>
      <c r="G158" t="s">
        <v>8</v>
      </c>
      <c r="H158" t="s">
        <v>46</v>
      </c>
      <c r="I158" t="s">
        <v>31</v>
      </c>
      <c r="J158" t="s">
        <v>47</v>
      </c>
      <c r="K158" t="s">
        <v>337</v>
      </c>
      <c r="L158" t="s">
        <v>168</v>
      </c>
    </row>
    <row r="159" spans="1:12" ht="15" hidden="1">
      <c r="A159" s="5" t="str">
        <f>HYPERLINK("http://www.analog.com/zh/ad9446#details", "AD9446-80")</f>
        <v>AD9446-80</v>
      </c>
      <c r="B159">
        <v>16</v>
      </c>
      <c r="C159" t="s">
        <v>84</v>
      </c>
      <c r="D159">
        <v>1</v>
      </c>
      <c r="E159">
        <v>3</v>
      </c>
      <c r="F159">
        <v>3.2</v>
      </c>
      <c r="G159" t="s">
        <v>8</v>
      </c>
      <c r="H159">
        <v>2.6</v>
      </c>
      <c r="I159" t="s">
        <v>31</v>
      </c>
      <c r="J159" t="s">
        <v>116</v>
      </c>
      <c r="K159" t="s">
        <v>332</v>
      </c>
      <c r="L159" t="s">
        <v>333</v>
      </c>
    </row>
    <row r="160" spans="1:12" ht="15" hidden="1">
      <c r="A160" s="5" t="str">
        <f>HYPERLINK("http://www.analog.com/zh/ad9446#details", "AD9446-100")</f>
        <v>AD9446-100</v>
      </c>
      <c r="B160">
        <v>16</v>
      </c>
      <c r="C160" t="s">
        <v>335</v>
      </c>
      <c r="D160">
        <v>1</v>
      </c>
      <c r="E160">
        <v>3</v>
      </c>
      <c r="F160">
        <v>3.2</v>
      </c>
      <c r="G160" t="s">
        <v>8</v>
      </c>
      <c r="H160">
        <v>2.8</v>
      </c>
      <c r="I160" t="s">
        <v>31</v>
      </c>
      <c r="J160" t="s">
        <v>116</v>
      </c>
      <c r="K160" t="s">
        <v>334</v>
      </c>
      <c r="L160" t="s">
        <v>333</v>
      </c>
    </row>
    <row r="161" spans="1:12" ht="15" hidden="1">
      <c r="A161" s="5" t="str">
        <f>HYPERLINK("http://www.analog.com/zh/ad9445#details", "AD9445-125")</f>
        <v>AD9445-125</v>
      </c>
      <c r="B161">
        <v>14</v>
      </c>
      <c r="C161" t="s">
        <v>45</v>
      </c>
      <c r="D161">
        <v>1</v>
      </c>
      <c r="E161">
        <v>0.8</v>
      </c>
      <c r="F161">
        <v>3.2</v>
      </c>
      <c r="G161" t="s">
        <v>8</v>
      </c>
      <c r="H161">
        <v>2.6</v>
      </c>
      <c r="I161" t="s">
        <v>31</v>
      </c>
      <c r="J161" t="s">
        <v>116</v>
      </c>
      <c r="K161" t="s">
        <v>319</v>
      </c>
      <c r="L161" t="s">
        <v>333</v>
      </c>
    </row>
    <row r="162" spans="1:12" ht="15" hidden="1">
      <c r="A162" s="5" t="str">
        <f>HYPERLINK("http://www.analog.com/zh/ad9445#details", "AD9445-105")</f>
        <v>AD9445-105</v>
      </c>
      <c r="B162">
        <v>14</v>
      </c>
      <c r="C162" t="s">
        <v>99</v>
      </c>
      <c r="D162">
        <v>1</v>
      </c>
      <c r="E162">
        <v>0.65</v>
      </c>
      <c r="F162">
        <v>3.2</v>
      </c>
      <c r="G162" t="s">
        <v>8</v>
      </c>
      <c r="H162">
        <v>2.6</v>
      </c>
      <c r="I162" t="s">
        <v>31</v>
      </c>
      <c r="J162" t="s">
        <v>116</v>
      </c>
      <c r="K162" t="s">
        <v>356</v>
      </c>
      <c r="L162" t="s">
        <v>333</v>
      </c>
    </row>
    <row r="163" spans="1:12" ht="15" hidden="1">
      <c r="A163" s="5" t="str">
        <f>HYPERLINK("http://www.analog.com/zh/ad9237#details", "AD9237-65")</f>
        <v>AD9237-65</v>
      </c>
      <c r="B163">
        <v>12</v>
      </c>
      <c r="C163" t="s">
        <v>72</v>
      </c>
      <c r="D163">
        <v>1</v>
      </c>
      <c r="E163">
        <v>0.9</v>
      </c>
      <c r="F163">
        <v>4</v>
      </c>
      <c r="G163" t="s">
        <v>8</v>
      </c>
      <c r="H163" t="s">
        <v>357</v>
      </c>
      <c r="I163" t="s">
        <v>31</v>
      </c>
      <c r="J163" t="s">
        <v>116</v>
      </c>
      <c r="K163" t="s">
        <v>8</v>
      </c>
      <c r="L163" t="s">
        <v>358</v>
      </c>
    </row>
    <row r="164" spans="1:12" ht="15" hidden="1">
      <c r="A164" s="5" t="str">
        <f>HYPERLINK("http://www.analog.com/zh/ad9237#details", "AD9237-40")</f>
        <v>AD9237-40</v>
      </c>
      <c r="B164">
        <v>12</v>
      </c>
      <c r="C164" t="s">
        <v>92</v>
      </c>
      <c r="D164">
        <v>1</v>
      </c>
      <c r="E164">
        <v>0.9</v>
      </c>
      <c r="F164">
        <v>2</v>
      </c>
      <c r="G164" t="s">
        <v>8</v>
      </c>
      <c r="H164" t="s">
        <v>240</v>
      </c>
      <c r="I164" t="s">
        <v>31</v>
      </c>
      <c r="J164" t="s">
        <v>116</v>
      </c>
      <c r="K164" t="s">
        <v>359</v>
      </c>
      <c r="L164" t="s">
        <v>358</v>
      </c>
    </row>
    <row r="165" spans="1:12" ht="15" hidden="1">
      <c r="A165" s="5" t="str">
        <f>HYPERLINK("http://www.analog.com/zh/ad9237#details", "AD9237-20")</f>
        <v>AD9237-20</v>
      </c>
      <c r="B165">
        <v>12</v>
      </c>
      <c r="C165" t="s">
        <v>178</v>
      </c>
      <c r="D165">
        <v>1</v>
      </c>
      <c r="E165">
        <v>0.9</v>
      </c>
      <c r="F165">
        <v>2</v>
      </c>
      <c r="G165" t="s">
        <v>8</v>
      </c>
      <c r="H165" t="s">
        <v>360</v>
      </c>
      <c r="I165" t="s">
        <v>31</v>
      </c>
      <c r="J165" t="s">
        <v>116</v>
      </c>
      <c r="K165" t="s">
        <v>8</v>
      </c>
      <c r="L165" t="s">
        <v>358</v>
      </c>
    </row>
    <row r="166" spans="1:12" ht="15" hidden="1">
      <c r="A166" s="5" t="str">
        <f>HYPERLINK("http://www.analog.com/zh/ad9229#details", "AD9229-65")</f>
        <v>AD9229-65</v>
      </c>
      <c r="B166">
        <v>12</v>
      </c>
      <c r="C166" t="s">
        <v>72</v>
      </c>
      <c r="D166">
        <v>4</v>
      </c>
      <c r="E166">
        <v>0.4</v>
      </c>
      <c r="F166">
        <v>2</v>
      </c>
      <c r="G166" t="s">
        <v>8</v>
      </c>
      <c r="H166">
        <v>1.4650000000000001</v>
      </c>
      <c r="I166" t="s">
        <v>31</v>
      </c>
      <c r="J166" t="s">
        <v>47</v>
      </c>
      <c r="K166" t="s">
        <v>361</v>
      </c>
      <c r="L166" t="s">
        <v>168</v>
      </c>
    </row>
    <row r="167" spans="1:12" ht="15" hidden="1">
      <c r="A167" s="5" t="str">
        <f>HYPERLINK("http://www.analog.com/zh/ad9229#details", "AD9229-50")</f>
        <v>AD9229-50</v>
      </c>
      <c r="B167">
        <v>12</v>
      </c>
      <c r="C167" t="s">
        <v>321</v>
      </c>
      <c r="D167">
        <v>4</v>
      </c>
      <c r="E167">
        <v>0.6</v>
      </c>
      <c r="F167">
        <v>2</v>
      </c>
      <c r="G167" t="s">
        <v>8</v>
      </c>
      <c r="H167">
        <v>1.083</v>
      </c>
      <c r="I167" t="s">
        <v>31</v>
      </c>
      <c r="J167" t="s">
        <v>47</v>
      </c>
      <c r="K167" t="s">
        <v>362</v>
      </c>
      <c r="L167" t="s">
        <v>168</v>
      </c>
    </row>
    <row r="168" spans="1:12" ht="15" hidden="1">
      <c r="A168" s="5" t="str">
        <f>HYPERLINK("http://www.analog.com/zh/ad9248#details", "AD9248-65")</f>
        <v>AD9248-65</v>
      </c>
      <c r="B168">
        <v>14</v>
      </c>
      <c r="C168" t="s">
        <v>72</v>
      </c>
      <c r="D168">
        <v>2</v>
      </c>
      <c r="E168">
        <v>2.2999999999999998</v>
      </c>
      <c r="F168">
        <v>2</v>
      </c>
      <c r="G168" t="s">
        <v>8</v>
      </c>
      <c r="H168" t="s">
        <v>363</v>
      </c>
      <c r="I168" t="s">
        <v>31</v>
      </c>
      <c r="J168" t="s">
        <v>116</v>
      </c>
      <c r="K168" t="s">
        <v>364</v>
      </c>
      <c r="L168" t="s">
        <v>365</v>
      </c>
    </row>
    <row r="169" spans="1:12" ht="15" hidden="1">
      <c r="A169" s="5" t="str">
        <f>HYPERLINK("http://www.analog.com/zh/ad9248#details", "AD9248-40")</f>
        <v>AD9248-40</v>
      </c>
      <c r="B169">
        <v>14</v>
      </c>
      <c r="C169" t="s">
        <v>92</v>
      </c>
      <c r="D169" t="s">
        <v>8</v>
      </c>
      <c r="E169">
        <v>2.2999999999999998</v>
      </c>
      <c r="F169" t="s">
        <v>8</v>
      </c>
      <c r="G169" t="s">
        <v>8</v>
      </c>
      <c r="H169" t="s">
        <v>275</v>
      </c>
      <c r="I169" t="s">
        <v>31</v>
      </c>
      <c r="J169" t="s">
        <v>116</v>
      </c>
      <c r="K169" t="s">
        <v>366</v>
      </c>
      <c r="L169" t="s">
        <v>365</v>
      </c>
    </row>
    <row r="170" spans="1:12" ht="15" hidden="1">
      <c r="A170" s="5" t="str">
        <f>HYPERLINK("http://www.analog.com/zh/ad9248#details", "AD9248-20")</f>
        <v>AD9248-20</v>
      </c>
      <c r="B170">
        <v>14</v>
      </c>
      <c r="C170" t="s">
        <v>178</v>
      </c>
      <c r="D170">
        <v>2</v>
      </c>
      <c r="E170">
        <v>2.2999999999999998</v>
      </c>
      <c r="F170">
        <v>2</v>
      </c>
      <c r="G170" t="s">
        <v>8</v>
      </c>
      <c r="H170" t="s">
        <v>367</v>
      </c>
      <c r="I170" t="s">
        <v>31</v>
      </c>
      <c r="J170" t="s">
        <v>116</v>
      </c>
      <c r="K170" t="s">
        <v>368</v>
      </c>
      <c r="L170" t="s">
        <v>365</v>
      </c>
    </row>
    <row r="171" spans="1:12" ht="15" hidden="1">
      <c r="A171" s="5" t="str">
        <f>HYPERLINK("http://www.analog.com/zh/ad9481#details", "AD9481")</f>
        <v>AD9481</v>
      </c>
      <c r="B171">
        <v>8</v>
      </c>
      <c r="C171" t="s">
        <v>75</v>
      </c>
      <c r="D171">
        <v>1</v>
      </c>
      <c r="E171">
        <v>0.26</v>
      </c>
      <c r="F171">
        <v>1.5</v>
      </c>
      <c r="G171" t="s">
        <v>8</v>
      </c>
      <c r="H171" t="s">
        <v>369</v>
      </c>
      <c r="I171" t="s">
        <v>31</v>
      </c>
      <c r="J171" t="s">
        <v>116</v>
      </c>
      <c r="K171" t="s">
        <v>355</v>
      </c>
      <c r="L171" t="s">
        <v>370</v>
      </c>
    </row>
    <row r="172" spans="1:12" ht="15" hidden="1">
      <c r="A172" s="5" t="str">
        <f>HYPERLINK("http://www.analog.com/zh/ad9444#details", "AD9444")</f>
        <v>AD9444</v>
      </c>
      <c r="B172">
        <v>14</v>
      </c>
      <c r="C172" t="s">
        <v>84</v>
      </c>
      <c r="D172">
        <v>1</v>
      </c>
      <c r="E172">
        <v>0.6</v>
      </c>
      <c r="F172">
        <v>2</v>
      </c>
      <c r="G172" t="s">
        <v>8</v>
      </c>
      <c r="H172">
        <v>1.4</v>
      </c>
      <c r="I172" t="s">
        <v>31</v>
      </c>
      <c r="J172" t="s">
        <v>116</v>
      </c>
      <c r="K172" t="s">
        <v>371</v>
      </c>
      <c r="L172" t="s">
        <v>372</v>
      </c>
    </row>
    <row r="173" spans="1:12" ht="15" hidden="1">
      <c r="A173" s="5" t="str">
        <f>HYPERLINK("http://www.analog.com/zh/ad9289#details", "AD9289")</f>
        <v>AD9289</v>
      </c>
      <c r="B173">
        <v>8</v>
      </c>
      <c r="C173" t="s">
        <v>72</v>
      </c>
      <c r="D173">
        <v>4</v>
      </c>
      <c r="E173">
        <v>0.25</v>
      </c>
      <c r="F173">
        <v>2</v>
      </c>
      <c r="G173" t="s">
        <v>8</v>
      </c>
      <c r="H173" t="s">
        <v>373</v>
      </c>
      <c r="I173" t="s">
        <v>31</v>
      </c>
      <c r="J173" t="s">
        <v>183</v>
      </c>
      <c r="K173" t="s">
        <v>374</v>
      </c>
      <c r="L173" t="s">
        <v>375</v>
      </c>
    </row>
    <row r="174" spans="1:12" ht="15" hidden="1">
      <c r="A174" s="5" t="str">
        <f>HYPERLINK("http://www.analog.com/zh/ad9216#details", "AD9216-80")</f>
        <v>AD9216-80</v>
      </c>
      <c r="B174">
        <v>10</v>
      </c>
      <c r="C174" t="s">
        <v>84</v>
      </c>
      <c r="D174" t="s">
        <v>8</v>
      </c>
      <c r="E174">
        <v>0.5</v>
      </c>
      <c r="F174" t="s">
        <v>8</v>
      </c>
      <c r="G174" t="s">
        <v>8</v>
      </c>
      <c r="H174" t="s">
        <v>342</v>
      </c>
      <c r="I174" t="s">
        <v>31</v>
      </c>
      <c r="J174" t="s">
        <v>116</v>
      </c>
      <c r="K174" t="s">
        <v>8</v>
      </c>
      <c r="L174" t="s">
        <v>376</v>
      </c>
    </row>
    <row r="175" spans="1:12" ht="15" hidden="1">
      <c r="A175" s="5" t="str">
        <f>HYPERLINK("http://www.analog.com/zh/ad9216#details", "AD9216-65")</f>
        <v>AD9216-65</v>
      </c>
      <c r="B175">
        <v>10</v>
      </c>
      <c r="C175" t="s">
        <v>72</v>
      </c>
      <c r="D175">
        <v>2</v>
      </c>
      <c r="E175">
        <v>0.5</v>
      </c>
      <c r="F175">
        <v>2</v>
      </c>
      <c r="G175" t="s">
        <v>8</v>
      </c>
      <c r="H175" t="s">
        <v>161</v>
      </c>
      <c r="I175" t="s">
        <v>31</v>
      </c>
      <c r="J175" t="s">
        <v>116</v>
      </c>
      <c r="K175" t="s">
        <v>377</v>
      </c>
      <c r="L175" t="s">
        <v>376</v>
      </c>
    </row>
    <row r="176" spans="1:12" ht="15" hidden="1">
      <c r="A176" s="5" t="str">
        <f>HYPERLINK("http://www.analog.com/zh/ad9216#details", "AD9216-105")</f>
        <v>AD9216-105</v>
      </c>
      <c r="B176">
        <v>10</v>
      </c>
      <c r="C176" t="s">
        <v>99</v>
      </c>
      <c r="D176">
        <v>2</v>
      </c>
      <c r="E176">
        <v>1</v>
      </c>
      <c r="F176">
        <v>2</v>
      </c>
      <c r="G176" t="s">
        <v>8</v>
      </c>
      <c r="H176" t="s">
        <v>378</v>
      </c>
      <c r="I176" t="s">
        <v>31</v>
      </c>
      <c r="J176" t="s">
        <v>116</v>
      </c>
      <c r="K176" t="s">
        <v>379</v>
      </c>
      <c r="L176" t="s">
        <v>376</v>
      </c>
    </row>
    <row r="177" spans="1:12" ht="15" hidden="1">
      <c r="A177" s="5" t="str">
        <f>HYPERLINK("http://www.analog.com/zh/ad9480#details", "AD9480")</f>
        <v>AD9480</v>
      </c>
      <c r="B177">
        <v>8</v>
      </c>
      <c r="C177" t="s">
        <v>75</v>
      </c>
      <c r="D177">
        <v>1</v>
      </c>
      <c r="E177">
        <v>0.26</v>
      </c>
      <c r="F177">
        <v>1.1000000000000001</v>
      </c>
      <c r="G177" t="s">
        <v>8</v>
      </c>
      <c r="H177" t="s">
        <v>380</v>
      </c>
      <c r="I177" t="s">
        <v>31</v>
      </c>
      <c r="J177" t="s">
        <v>116</v>
      </c>
      <c r="K177" t="s">
        <v>381</v>
      </c>
      <c r="L177" t="s">
        <v>370</v>
      </c>
    </row>
    <row r="178" spans="1:12" ht="15" hidden="1">
      <c r="A178" s="5" t="str">
        <f>HYPERLINK("http://www.analog.com/zh/ad9236#details", "AD9236")</f>
        <v>AD9236</v>
      </c>
      <c r="B178">
        <v>12</v>
      </c>
      <c r="C178" t="s">
        <v>84</v>
      </c>
      <c r="D178">
        <v>1</v>
      </c>
      <c r="E178">
        <v>0.35</v>
      </c>
      <c r="F178">
        <v>2</v>
      </c>
      <c r="G178" t="s">
        <v>8</v>
      </c>
      <c r="H178" t="s">
        <v>382</v>
      </c>
      <c r="I178" t="s">
        <v>31</v>
      </c>
      <c r="J178" t="s">
        <v>116</v>
      </c>
      <c r="K178" t="s">
        <v>207</v>
      </c>
      <c r="L178" t="s">
        <v>383</v>
      </c>
    </row>
    <row r="179" spans="1:12" ht="15" hidden="1">
      <c r="A179" s="5" t="str">
        <f>HYPERLINK("http://www.analog.com/zh/ad9215#details", "AD9215-80")</f>
        <v>AD9215-80</v>
      </c>
      <c r="B179">
        <v>10</v>
      </c>
      <c r="C179" t="s">
        <v>84</v>
      </c>
      <c r="D179" t="s">
        <v>8</v>
      </c>
      <c r="E179">
        <v>0.5</v>
      </c>
      <c r="F179" t="s">
        <v>8</v>
      </c>
      <c r="G179" t="s">
        <v>8</v>
      </c>
      <c r="H179" t="s">
        <v>384</v>
      </c>
      <c r="I179" t="s">
        <v>31</v>
      </c>
      <c r="J179" t="s">
        <v>116</v>
      </c>
      <c r="K179" t="s">
        <v>385</v>
      </c>
      <c r="L179" t="s">
        <v>386</v>
      </c>
    </row>
    <row r="180" spans="1:12" ht="15" hidden="1">
      <c r="A180" s="5" t="str">
        <f>HYPERLINK("http://www.analog.com/zh/ad9215#details", "AD9215-65")</f>
        <v>AD9215-65</v>
      </c>
      <c r="B180">
        <v>10</v>
      </c>
      <c r="C180" t="s">
        <v>72</v>
      </c>
      <c r="D180">
        <v>1</v>
      </c>
      <c r="E180">
        <v>0.5</v>
      </c>
      <c r="F180">
        <v>2</v>
      </c>
      <c r="G180" t="s">
        <v>8</v>
      </c>
      <c r="H180" t="s">
        <v>387</v>
      </c>
      <c r="I180" t="s">
        <v>31</v>
      </c>
      <c r="J180" t="s">
        <v>116</v>
      </c>
      <c r="K180" t="s">
        <v>388</v>
      </c>
      <c r="L180" t="s">
        <v>386</v>
      </c>
    </row>
    <row r="181" spans="1:12" ht="15" hidden="1">
      <c r="A181" s="5" t="str">
        <f>HYPERLINK("http://www.analog.com/zh/ad9215#details", "AD9215-105")</f>
        <v>AD9215-105</v>
      </c>
      <c r="B181">
        <v>10</v>
      </c>
      <c r="C181" t="s">
        <v>99</v>
      </c>
      <c r="D181">
        <v>1</v>
      </c>
      <c r="E181">
        <v>0.65</v>
      </c>
      <c r="F181">
        <v>2</v>
      </c>
      <c r="G181" t="s">
        <v>8</v>
      </c>
      <c r="H181" t="s">
        <v>389</v>
      </c>
      <c r="I181" t="s">
        <v>31</v>
      </c>
      <c r="J181" t="s">
        <v>116</v>
      </c>
      <c r="K181" t="s">
        <v>377</v>
      </c>
      <c r="L181" t="s">
        <v>386</v>
      </c>
    </row>
    <row r="182" spans="1:12" ht="15" hidden="1">
      <c r="A182" s="5" t="str">
        <f>HYPERLINK("http://www.analog.com/zh/ad9244#details", "AD9244-65")</f>
        <v>AD9244-65</v>
      </c>
      <c r="B182">
        <v>14</v>
      </c>
      <c r="C182" t="s">
        <v>72</v>
      </c>
      <c r="D182">
        <v>1</v>
      </c>
      <c r="E182">
        <v>1.4</v>
      </c>
      <c r="F182">
        <v>2</v>
      </c>
      <c r="G182" t="s">
        <v>8</v>
      </c>
      <c r="H182" t="s">
        <v>390</v>
      </c>
      <c r="I182" t="s">
        <v>31</v>
      </c>
      <c r="J182" t="s">
        <v>116</v>
      </c>
      <c r="K182" t="s">
        <v>391</v>
      </c>
      <c r="L182" t="s">
        <v>392</v>
      </c>
    </row>
    <row r="183" spans="1:12" ht="15" hidden="1">
      <c r="A183" s="5" t="str">
        <f>HYPERLINK("http://www.analog.com/zh/ad9244#details", "AD9244-40")</f>
        <v>AD9244-40</v>
      </c>
      <c r="B183">
        <v>14</v>
      </c>
      <c r="C183" t="s">
        <v>92</v>
      </c>
      <c r="D183">
        <v>1</v>
      </c>
      <c r="E183">
        <v>1.3</v>
      </c>
      <c r="F183">
        <v>2</v>
      </c>
      <c r="G183" t="s">
        <v>8</v>
      </c>
      <c r="H183" t="s">
        <v>393</v>
      </c>
      <c r="I183" t="s">
        <v>31</v>
      </c>
      <c r="J183" t="s">
        <v>116</v>
      </c>
      <c r="K183" t="s">
        <v>394</v>
      </c>
      <c r="L183" t="s">
        <v>392</v>
      </c>
    </row>
    <row r="184" spans="1:12" ht="15" hidden="1">
      <c r="A184" s="5" t="str">
        <f>HYPERLINK("http://www.analog.com/zh/ad9238#details", "AD9238-65")</f>
        <v>AD9238-65</v>
      </c>
      <c r="B184">
        <v>12</v>
      </c>
      <c r="C184" t="s">
        <v>72</v>
      </c>
      <c r="D184">
        <v>2</v>
      </c>
      <c r="E184">
        <v>0.55000000000000004</v>
      </c>
      <c r="F184">
        <v>2</v>
      </c>
      <c r="G184" t="s">
        <v>8</v>
      </c>
      <c r="H184" t="s">
        <v>380</v>
      </c>
      <c r="I184" t="s">
        <v>31</v>
      </c>
      <c r="J184" t="s">
        <v>116</v>
      </c>
      <c r="K184" t="s">
        <v>395</v>
      </c>
      <c r="L184" t="s">
        <v>365</v>
      </c>
    </row>
    <row r="185" spans="1:12" ht="15" hidden="1">
      <c r="A185" s="5" t="str">
        <f>HYPERLINK("http://www.analog.com/zh/ad9238#details", "AD9238-40")</f>
        <v>AD9238-40</v>
      </c>
      <c r="B185">
        <v>12</v>
      </c>
      <c r="C185" t="s">
        <v>92</v>
      </c>
      <c r="D185" t="s">
        <v>8</v>
      </c>
      <c r="E185">
        <v>0.5</v>
      </c>
      <c r="F185" t="s">
        <v>8</v>
      </c>
      <c r="G185" t="s">
        <v>8</v>
      </c>
      <c r="H185" t="s">
        <v>396</v>
      </c>
      <c r="I185" t="s">
        <v>31</v>
      </c>
      <c r="J185" t="s">
        <v>116</v>
      </c>
      <c r="K185" t="s">
        <v>397</v>
      </c>
      <c r="L185" t="s">
        <v>365</v>
      </c>
    </row>
    <row r="186" spans="1:12" ht="15" hidden="1">
      <c r="A186" s="5" t="str">
        <f>HYPERLINK("http://www.analog.com/zh/ad9238#details", "AD9238-20")</f>
        <v>AD9238-20</v>
      </c>
      <c r="B186">
        <v>12</v>
      </c>
      <c r="C186" t="s">
        <v>178</v>
      </c>
      <c r="D186">
        <v>2</v>
      </c>
      <c r="E186">
        <v>0.4</v>
      </c>
      <c r="F186">
        <v>2</v>
      </c>
      <c r="G186" t="s">
        <v>8</v>
      </c>
      <c r="H186" t="s">
        <v>115</v>
      </c>
      <c r="I186" t="s">
        <v>31</v>
      </c>
      <c r="J186" t="s">
        <v>116</v>
      </c>
      <c r="K186" t="s">
        <v>398</v>
      </c>
      <c r="L186" t="s">
        <v>365</v>
      </c>
    </row>
    <row r="187" spans="1:12" ht="15" hidden="1">
      <c r="A187" s="5" t="str">
        <f>HYPERLINK("http://www.analog.com/zh/ad9430#details", "AD9430-210")</f>
        <v>AD9430-210</v>
      </c>
      <c r="B187">
        <v>12</v>
      </c>
      <c r="C187" t="s">
        <v>120</v>
      </c>
      <c r="D187">
        <v>1</v>
      </c>
      <c r="E187">
        <v>0.3</v>
      </c>
      <c r="F187">
        <v>1.536</v>
      </c>
      <c r="G187" t="s">
        <v>8</v>
      </c>
      <c r="H187">
        <v>1.7</v>
      </c>
      <c r="I187" t="s">
        <v>31</v>
      </c>
      <c r="J187" t="s">
        <v>116</v>
      </c>
      <c r="K187" t="s">
        <v>319</v>
      </c>
      <c r="L187" t="s">
        <v>372</v>
      </c>
    </row>
    <row r="188" spans="1:12" ht="15" hidden="1">
      <c r="A188" s="5" t="str">
        <f>HYPERLINK("http://www.analog.com/zh/ad9430#details", "AD9430-170")</f>
        <v>AD9430-170</v>
      </c>
      <c r="B188">
        <v>12</v>
      </c>
      <c r="C188" t="s">
        <v>78</v>
      </c>
      <c r="D188">
        <v>1</v>
      </c>
      <c r="E188">
        <v>0.5</v>
      </c>
      <c r="F188">
        <v>1.536</v>
      </c>
      <c r="G188" t="s">
        <v>8</v>
      </c>
      <c r="H188">
        <v>1.43</v>
      </c>
      <c r="I188" t="s">
        <v>31</v>
      </c>
      <c r="J188" t="s">
        <v>116</v>
      </c>
      <c r="K188" t="s">
        <v>399</v>
      </c>
      <c r="L188" t="s">
        <v>372</v>
      </c>
    </row>
    <row r="189" spans="1:12" ht="15" hidden="1">
      <c r="A189" s="5" t="str">
        <f>HYPERLINK("http://www.analog.com/zh/ad6645-mil#details", "AD6645-MIL")</f>
        <v>AD6645-MIL</v>
      </c>
      <c r="B189">
        <v>14</v>
      </c>
      <c r="C189" t="s">
        <v>84</v>
      </c>
      <c r="D189">
        <v>1</v>
      </c>
      <c r="E189" t="s">
        <v>8</v>
      </c>
      <c r="F189">
        <v>0.4</v>
      </c>
      <c r="G189" t="s">
        <v>8</v>
      </c>
      <c r="H189">
        <v>1.75</v>
      </c>
      <c r="I189" t="s">
        <v>107</v>
      </c>
      <c r="J189" t="s">
        <v>116</v>
      </c>
      <c r="K189" t="s">
        <v>8</v>
      </c>
      <c r="L189" t="s">
        <v>400</v>
      </c>
    </row>
    <row r="190" spans="1:12" ht="15" hidden="1">
      <c r="A190" s="5" t="str">
        <f>HYPERLINK("http://www.analog.com/zh/ad6645#details", "AD6645-80")</f>
        <v>AD6645-80</v>
      </c>
      <c r="B190">
        <v>14</v>
      </c>
      <c r="C190" t="s">
        <v>84</v>
      </c>
      <c r="D190">
        <v>1</v>
      </c>
      <c r="E190">
        <v>0.5</v>
      </c>
      <c r="F190">
        <v>2.2000000000000002</v>
      </c>
      <c r="G190" t="s">
        <v>8</v>
      </c>
      <c r="H190">
        <v>1.75</v>
      </c>
      <c r="I190" t="s">
        <v>31</v>
      </c>
      <c r="J190" t="s">
        <v>116</v>
      </c>
      <c r="K190" t="s">
        <v>401</v>
      </c>
      <c r="L190" t="s">
        <v>402</v>
      </c>
    </row>
    <row r="191" spans="1:12" ht="15" hidden="1">
      <c r="A191" s="5" t="str">
        <f>HYPERLINK("http://www.analog.com/zh/ad6645#details", "AD6645-105")</f>
        <v>AD6645-105</v>
      </c>
      <c r="B191">
        <v>14</v>
      </c>
      <c r="C191" t="s">
        <v>99</v>
      </c>
      <c r="D191">
        <v>1</v>
      </c>
      <c r="E191">
        <v>1.5</v>
      </c>
      <c r="F191">
        <v>2.2000000000000002</v>
      </c>
      <c r="G191" t="s">
        <v>8</v>
      </c>
      <c r="H191">
        <v>1.75</v>
      </c>
      <c r="I191" t="s">
        <v>31</v>
      </c>
      <c r="J191" t="s">
        <v>116</v>
      </c>
      <c r="K191" t="s">
        <v>227</v>
      </c>
      <c r="L191" t="s">
        <v>402</v>
      </c>
    </row>
    <row r="192" spans="1:12" ht="15" hidden="1">
      <c r="A192" s="5" t="str">
        <f>HYPERLINK("http://www.analog.com/zh/ad9433#details", "AD9433-125")</f>
        <v>AD9433-125</v>
      </c>
      <c r="B192">
        <v>12</v>
      </c>
      <c r="C192" t="s">
        <v>45</v>
      </c>
      <c r="D192">
        <v>1</v>
      </c>
      <c r="E192">
        <v>0.5</v>
      </c>
      <c r="F192">
        <v>2</v>
      </c>
      <c r="G192" t="s">
        <v>8</v>
      </c>
      <c r="H192">
        <v>1.5</v>
      </c>
      <c r="I192" t="s">
        <v>31</v>
      </c>
      <c r="J192" t="s">
        <v>116</v>
      </c>
      <c r="K192" t="s">
        <v>403</v>
      </c>
      <c r="L192" t="s">
        <v>404</v>
      </c>
    </row>
    <row r="193" spans="1:12" ht="15" hidden="1">
      <c r="A193" s="5" t="str">
        <f>HYPERLINK("http://www.analog.com/zh/ad9433#details", "AD9433-105")</f>
        <v>AD9433-105</v>
      </c>
      <c r="B193">
        <v>12</v>
      </c>
      <c r="C193" t="s">
        <v>99</v>
      </c>
      <c r="D193">
        <v>1</v>
      </c>
      <c r="E193">
        <v>0.5</v>
      </c>
      <c r="F193">
        <v>2</v>
      </c>
      <c r="G193" t="s">
        <v>8</v>
      </c>
      <c r="H193">
        <v>1.425</v>
      </c>
      <c r="I193" t="s">
        <v>31</v>
      </c>
      <c r="J193" t="s">
        <v>116</v>
      </c>
      <c r="K193" t="s">
        <v>405</v>
      </c>
      <c r="L193" t="s">
        <v>404</v>
      </c>
    </row>
    <row r="194" spans="1:12" ht="15" hidden="1">
      <c r="A194" s="5" t="str">
        <f>HYPERLINK("http://www.analog.com/zh/ad9218#details", "AD9218-80")</f>
        <v>AD9218-80</v>
      </c>
      <c r="B194">
        <v>10</v>
      </c>
      <c r="C194" t="s">
        <v>84</v>
      </c>
      <c r="D194" t="s">
        <v>8</v>
      </c>
      <c r="E194">
        <v>0.75</v>
      </c>
      <c r="F194" t="s">
        <v>8</v>
      </c>
      <c r="G194" t="s">
        <v>8</v>
      </c>
      <c r="H194" t="s">
        <v>406</v>
      </c>
      <c r="I194" t="s">
        <v>31</v>
      </c>
      <c r="J194" t="s">
        <v>116</v>
      </c>
      <c r="K194" t="s">
        <v>407</v>
      </c>
      <c r="L194" t="s">
        <v>392</v>
      </c>
    </row>
    <row r="195" spans="1:12" ht="15" hidden="1">
      <c r="A195" s="5" t="str">
        <f>HYPERLINK("http://www.analog.com/zh/ad9218#details", "AD9218-65")</f>
        <v>AD9218-65</v>
      </c>
      <c r="B195">
        <v>10</v>
      </c>
      <c r="C195" t="s">
        <v>72</v>
      </c>
      <c r="D195" t="s">
        <v>8</v>
      </c>
      <c r="E195">
        <v>1</v>
      </c>
      <c r="F195" t="s">
        <v>8</v>
      </c>
      <c r="G195" t="s">
        <v>8</v>
      </c>
      <c r="H195" t="s">
        <v>286</v>
      </c>
      <c r="I195" t="s">
        <v>31</v>
      </c>
      <c r="J195" t="s">
        <v>116</v>
      </c>
      <c r="K195" t="s">
        <v>408</v>
      </c>
      <c r="L195" t="s">
        <v>392</v>
      </c>
    </row>
    <row r="196" spans="1:12" ht="15" hidden="1">
      <c r="A196" s="5" t="str">
        <f>HYPERLINK("http://www.analog.com/zh/ad9218#details", "AD9218-40")</f>
        <v>AD9218-40</v>
      </c>
      <c r="B196">
        <v>10</v>
      </c>
      <c r="C196" t="s">
        <v>92</v>
      </c>
      <c r="D196">
        <v>2</v>
      </c>
      <c r="E196">
        <v>0.3</v>
      </c>
      <c r="F196">
        <v>2</v>
      </c>
      <c r="G196" t="s">
        <v>8</v>
      </c>
      <c r="H196" t="s">
        <v>409</v>
      </c>
      <c r="I196" t="s">
        <v>31</v>
      </c>
      <c r="J196" t="s">
        <v>116</v>
      </c>
      <c r="K196" t="s">
        <v>410</v>
      </c>
      <c r="L196" t="s">
        <v>392</v>
      </c>
    </row>
    <row r="197" spans="1:12" ht="15" hidden="1">
      <c r="A197" s="5" t="str">
        <f>HYPERLINK("http://www.analog.com/zh/ad9218#details", "AD9218-105")</f>
        <v>AD9218-105</v>
      </c>
      <c r="B197">
        <v>10</v>
      </c>
      <c r="C197" t="s">
        <v>99</v>
      </c>
      <c r="D197">
        <v>2</v>
      </c>
      <c r="E197">
        <v>2</v>
      </c>
      <c r="F197">
        <v>1</v>
      </c>
      <c r="G197" t="s">
        <v>8</v>
      </c>
      <c r="H197" t="s">
        <v>406</v>
      </c>
      <c r="I197" t="s">
        <v>31</v>
      </c>
      <c r="J197" t="s">
        <v>116</v>
      </c>
      <c r="K197" t="s">
        <v>411</v>
      </c>
      <c r="L197" t="s">
        <v>392</v>
      </c>
    </row>
    <row r="198" spans="1:12" ht="15" hidden="1">
      <c r="A198" s="5" t="str">
        <f>HYPERLINK("http://www.analog.com/zh/ad9235#details", "AD9235-65")</f>
        <v>AD9235-65</v>
      </c>
      <c r="B198">
        <v>12</v>
      </c>
      <c r="C198" t="s">
        <v>72</v>
      </c>
      <c r="D198">
        <v>1</v>
      </c>
      <c r="E198">
        <v>0.7</v>
      </c>
      <c r="F198">
        <v>2</v>
      </c>
      <c r="G198" t="s">
        <v>8</v>
      </c>
      <c r="H198" t="s">
        <v>349</v>
      </c>
      <c r="I198" t="s">
        <v>31</v>
      </c>
      <c r="J198" t="s">
        <v>116</v>
      </c>
      <c r="K198" t="s">
        <v>397</v>
      </c>
      <c r="L198" t="s">
        <v>412</v>
      </c>
    </row>
    <row r="199" spans="1:12" ht="15" hidden="1">
      <c r="A199" s="5" t="str">
        <f>HYPERLINK("http://www.analog.com/zh/ad9235#details", "AD9235-40")</f>
        <v>AD9235-40</v>
      </c>
      <c r="B199">
        <v>12</v>
      </c>
      <c r="C199" t="s">
        <v>92</v>
      </c>
      <c r="D199" t="s">
        <v>8</v>
      </c>
      <c r="E199">
        <v>0.5</v>
      </c>
      <c r="F199" t="s">
        <v>8</v>
      </c>
      <c r="G199" t="s">
        <v>8</v>
      </c>
      <c r="H199" t="s">
        <v>413</v>
      </c>
      <c r="I199" t="s">
        <v>31</v>
      </c>
      <c r="J199" t="s">
        <v>116</v>
      </c>
      <c r="K199" t="s">
        <v>414</v>
      </c>
      <c r="L199" t="s">
        <v>412</v>
      </c>
    </row>
    <row r="200" spans="1:12" ht="15" hidden="1">
      <c r="A200" s="5" t="str">
        <f>HYPERLINK("http://www.analog.com/zh/ad9235#details", "AD9235-20")</f>
        <v>AD9235-20</v>
      </c>
      <c r="B200">
        <v>12</v>
      </c>
      <c r="C200" t="s">
        <v>178</v>
      </c>
      <c r="D200">
        <v>1</v>
      </c>
      <c r="E200">
        <v>0.45</v>
      </c>
      <c r="F200">
        <v>2</v>
      </c>
      <c r="G200" t="s">
        <v>8</v>
      </c>
      <c r="H200" t="s">
        <v>415</v>
      </c>
      <c r="I200" t="s">
        <v>31</v>
      </c>
      <c r="J200" t="s">
        <v>116</v>
      </c>
      <c r="K200" t="s">
        <v>416</v>
      </c>
      <c r="L200" t="s">
        <v>412</v>
      </c>
    </row>
    <row r="201" spans="1:12" ht="15" hidden="1">
      <c r="A201" s="5" t="str">
        <f>HYPERLINK("http://www.analog.com/zh/ad10465#details", "AD10465")</f>
        <v>AD10465</v>
      </c>
      <c r="B201">
        <v>14</v>
      </c>
      <c r="C201" t="s">
        <v>72</v>
      </c>
      <c r="D201">
        <v>2</v>
      </c>
      <c r="E201" t="s">
        <v>8</v>
      </c>
      <c r="F201">
        <v>4</v>
      </c>
      <c r="G201" t="s">
        <v>8</v>
      </c>
      <c r="H201">
        <v>3.5</v>
      </c>
      <c r="I201" t="s">
        <v>31</v>
      </c>
      <c r="J201" t="s">
        <v>116</v>
      </c>
      <c r="K201" t="s">
        <v>417</v>
      </c>
      <c r="L201" t="s">
        <v>418</v>
      </c>
    </row>
    <row r="202" spans="1:12" ht="15" hidden="1">
      <c r="A202" s="5" t="str">
        <f>HYPERLINK("http://www.analog.com/zh/ad9410#details", "AD9410")</f>
        <v>AD9410</v>
      </c>
      <c r="B202">
        <v>10</v>
      </c>
      <c r="C202" t="s">
        <v>120</v>
      </c>
      <c r="D202">
        <v>1</v>
      </c>
      <c r="E202">
        <v>1.65</v>
      </c>
      <c r="F202">
        <v>1.5</v>
      </c>
      <c r="G202" t="s">
        <v>8</v>
      </c>
      <c r="H202">
        <v>2.4</v>
      </c>
      <c r="I202" t="s">
        <v>31</v>
      </c>
      <c r="J202" t="s">
        <v>116</v>
      </c>
      <c r="K202" t="s">
        <v>419</v>
      </c>
      <c r="L202" t="s">
        <v>420</v>
      </c>
    </row>
    <row r="203" spans="1:12" ht="15" hidden="1">
      <c r="A203" s="5" t="str">
        <f>HYPERLINK("http://www.analog.com/zh/ad9214#details", "AD9214-80")</f>
        <v>AD9214-80</v>
      </c>
      <c r="B203">
        <v>10</v>
      </c>
      <c r="C203" t="s">
        <v>84</v>
      </c>
      <c r="D203" t="s">
        <v>8</v>
      </c>
      <c r="E203">
        <v>0.75</v>
      </c>
      <c r="F203" t="s">
        <v>8</v>
      </c>
      <c r="G203" t="s">
        <v>8</v>
      </c>
      <c r="H203" t="s">
        <v>421</v>
      </c>
      <c r="I203" t="s">
        <v>31</v>
      </c>
      <c r="J203" t="s">
        <v>116</v>
      </c>
      <c r="K203" t="s">
        <v>422</v>
      </c>
      <c r="L203" t="s">
        <v>423</v>
      </c>
    </row>
    <row r="204" spans="1:12" ht="15" hidden="1">
      <c r="A204" s="5" t="str">
        <f>HYPERLINK("http://www.analog.com/zh/ad9214#details", "AD9214-65")</f>
        <v>AD9214-65</v>
      </c>
      <c r="B204">
        <v>10</v>
      </c>
      <c r="C204" t="s">
        <v>72</v>
      </c>
      <c r="D204">
        <v>1</v>
      </c>
      <c r="E204">
        <v>0.75</v>
      </c>
      <c r="F204">
        <v>2</v>
      </c>
      <c r="G204" t="s">
        <v>8</v>
      </c>
      <c r="H204" t="s">
        <v>421</v>
      </c>
      <c r="I204" t="s">
        <v>31</v>
      </c>
      <c r="J204" t="s">
        <v>116</v>
      </c>
      <c r="K204" t="s">
        <v>424</v>
      </c>
      <c r="L204" t="s">
        <v>423</v>
      </c>
    </row>
    <row r="205" spans="1:12" ht="15" hidden="1">
      <c r="A205" s="5" t="str">
        <f>HYPERLINK("http://www.analog.com/zh/ad9214#details", "AD9214-105")</f>
        <v>AD9214-105</v>
      </c>
      <c r="B205">
        <v>10</v>
      </c>
      <c r="C205" t="s">
        <v>99</v>
      </c>
      <c r="D205">
        <v>1</v>
      </c>
      <c r="E205">
        <v>1.5</v>
      </c>
      <c r="F205">
        <v>2</v>
      </c>
      <c r="G205" t="s">
        <v>8</v>
      </c>
      <c r="H205" t="s">
        <v>425</v>
      </c>
      <c r="I205" t="s">
        <v>31</v>
      </c>
      <c r="J205" t="s">
        <v>116</v>
      </c>
      <c r="K205" t="s">
        <v>426</v>
      </c>
      <c r="L205" t="s">
        <v>423</v>
      </c>
    </row>
    <row r="206" spans="1:12" ht="15" hidden="1">
      <c r="A206" s="5" t="str">
        <f>HYPERLINK("http://www.analog.com/zh/ad10200#details", "AD10200")</f>
        <v>AD10200</v>
      </c>
      <c r="B206">
        <v>12</v>
      </c>
      <c r="C206" t="s">
        <v>99</v>
      </c>
      <c r="D206">
        <v>2</v>
      </c>
      <c r="E206">
        <v>0.75</v>
      </c>
      <c r="F206">
        <v>2.048</v>
      </c>
      <c r="G206" t="s">
        <v>8</v>
      </c>
      <c r="H206">
        <v>2.2000000000000002</v>
      </c>
      <c r="I206" t="s">
        <v>107</v>
      </c>
      <c r="J206" t="s">
        <v>116</v>
      </c>
      <c r="K206" t="s">
        <v>8</v>
      </c>
      <c r="L206" t="s">
        <v>427</v>
      </c>
    </row>
    <row r="207" spans="1:12" ht="15" hidden="1">
      <c r="A207" s="5" t="str">
        <f>HYPERLINK("http://www.analog.com/zh/ad9226#details", "AD9226")</f>
        <v>AD9226</v>
      </c>
      <c r="B207">
        <v>12</v>
      </c>
      <c r="C207" t="s">
        <v>72</v>
      </c>
      <c r="D207">
        <v>1</v>
      </c>
      <c r="E207">
        <v>0.6</v>
      </c>
      <c r="F207">
        <v>2</v>
      </c>
      <c r="G207" t="s">
        <v>8</v>
      </c>
      <c r="H207" t="s">
        <v>428</v>
      </c>
      <c r="I207" t="s">
        <v>31</v>
      </c>
      <c r="J207" t="s">
        <v>116</v>
      </c>
      <c r="K207" t="s">
        <v>429</v>
      </c>
      <c r="L207" t="s">
        <v>430</v>
      </c>
    </row>
    <row r="208" spans="1:12" ht="15" hidden="1">
      <c r="A208" s="5" t="str">
        <f>HYPERLINK("http://www.analog.com/zh/ad6644#details", "AD6644-65")</f>
        <v>AD6644-65</v>
      </c>
      <c r="B208">
        <v>14</v>
      </c>
      <c r="C208" t="s">
        <v>72</v>
      </c>
      <c r="D208">
        <v>1</v>
      </c>
      <c r="E208">
        <v>0.5</v>
      </c>
      <c r="F208">
        <v>2.2000000000000002</v>
      </c>
      <c r="G208" t="s">
        <v>8</v>
      </c>
      <c r="H208">
        <v>1.5</v>
      </c>
      <c r="I208" t="s">
        <v>431</v>
      </c>
      <c r="J208" t="s">
        <v>116</v>
      </c>
      <c r="K208" t="s">
        <v>432</v>
      </c>
      <c r="L208" t="s">
        <v>433</v>
      </c>
    </row>
    <row r="209" spans="1:12" ht="15" hidden="1">
      <c r="A209" s="5" t="str">
        <f>HYPERLINK("http://www.analog.com/zh/ad6644#details", "AD6644-40")</f>
        <v>AD6644-40</v>
      </c>
      <c r="B209">
        <v>14</v>
      </c>
      <c r="C209" t="s">
        <v>92</v>
      </c>
      <c r="D209">
        <v>1</v>
      </c>
      <c r="E209">
        <v>0.5</v>
      </c>
      <c r="F209">
        <v>2.2000000000000002</v>
      </c>
      <c r="G209" t="s">
        <v>8</v>
      </c>
      <c r="H209">
        <v>1.5</v>
      </c>
      <c r="I209" t="s">
        <v>431</v>
      </c>
      <c r="J209" t="s">
        <v>116</v>
      </c>
      <c r="K209" t="s">
        <v>434</v>
      </c>
      <c r="L209" t="s">
        <v>433</v>
      </c>
    </row>
    <row r="210" spans="1:12" ht="15" hidden="1">
      <c r="A210" s="5" t="str">
        <f>HYPERLINK("http://www.analog.com/zh/ad9432#details", "AD9432-80")</f>
        <v>AD9432-80</v>
      </c>
      <c r="B210">
        <v>12</v>
      </c>
      <c r="C210" t="s">
        <v>84</v>
      </c>
      <c r="D210">
        <v>1</v>
      </c>
      <c r="E210">
        <v>0.5</v>
      </c>
      <c r="F210">
        <v>2</v>
      </c>
      <c r="G210" t="s">
        <v>8</v>
      </c>
      <c r="H210">
        <v>1</v>
      </c>
      <c r="I210" t="s">
        <v>31</v>
      </c>
      <c r="J210" t="s">
        <v>116</v>
      </c>
      <c r="K210" t="s">
        <v>435</v>
      </c>
      <c r="L210" t="s">
        <v>436</v>
      </c>
    </row>
    <row r="211" spans="1:12" ht="15" hidden="1">
      <c r="A211" s="5" t="str">
        <f>HYPERLINK("http://www.analog.com/zh/ad9432#details", "AD9432-105")</f>
        <v>AD9432-105</v>
      </c>
      <c r="B211">
        <v>12</v>
      </c>
      <c r="C211" t="s">
        <v>99</v>
      </c>
      <c r="D211">
        <v>1</v>
      </c>
      <c r="E211">
        <v>0.5</v>
      </c>
      <c r="F211">
        <v>2</v>
      </c>
      <c r="G211" t="s">
        <v>8</v>
      </c>
      <c r="H211">
        <v>1.1000000000000001</v>
      </c>
      <c r="I211" t="s">
        <v>31</v>
      </c>
      <c r="J211" t="s">
        <v>116</v>
      </c>
      <c r="K211" t="s">
        <v>437</v>
      </c>
      <c r="L211" t="s">
        <v>436</v>
      </c>
    </row>
    <row r="212" spans="1:12" ht="15" hidden="1">
      <c r="A212" s="5" t="str">
        <f>HYPERLINK("http://www.analog.com/zh/ad9203#details", "AD9203")</f>
        <v>AD9203</v>
      </c>
      <c r="B212">
        <v>10</v>
      </c>
      <c r="C212" t="s">
        <v>92</v>
      </c>
      <c r="D212">
        <v>1</v>
      </c>
      <c r="E212">
        <v>0.65</v>
      </c>
      <c r="F212">
        <v>2</v>
      </c>
      <c r="G212" t="s">
        <v>8</v>
      </c>
      <c r="H212" t="s">
        <v>438</v>
      </c>
      <c r="I212" t="s">
        <v>31</v>
      </c>
      <c r="J212" t="s">
        <v>116</v>
      </c>
      <c r="K212" t="s">
        <v>439</v>
      </c>
      <c r="L212" t="s">
        <v>440</v>
      </c>
    </row>
    <row r="213" spans="1:12" ht="15" hidden="1">
      <c r="A213" s="5" t="str">
        <f>HYPERLINK("http://www.analog.com/zh/ad9288#details", "AD9288-40")</f>
        <v>AD9288-40</v>
      </c>
      <c r="B213">
        <v>8</v>
      </c>
      <c r="C213" t="s">
        <v>92</v>
      </c>
      <c r="D213">
        <v>2</v>
      </c>
      <c r="E213">
        <v>0.5</v>
      </c>
      <c r="F213">
        <v>1.3</v>
      </c>
      <c r="G213" t="s">
        <v>8</v>
      </c>
      <c r="H213" t="s">
        <v>441</v>
      </c>
      <c r="I213" t="s">
        <v>31</v>
      </c>
      <c r="J213" t="s">
        <v>116</v>
      </c>
      <c r="K213" t="s">
        <v>442</v>
      </c>
      <c r="L213" t="s">
        <v>392</v>
      </c>
    </row>
    <row r="214" spans="1:12" ht="15" hidden="1">
      <c r="A214" s="5" t="str">
        <f>HYPERLINK("http://www.analog.com/zh/ad9288#details", "AD9288-100")</f>
        <v>AD9288-100</v>
      </c>
      <c r="B214">
        <v>8</v>
      </c>
      <c r="C214" t="s">
        <v>335</v>
      </c>
      <c r="D214">
        <v>2</v>
      </c>
      <c r="E214">
        <v>0.5</v>
      </c>
      <c r="F214">
        <v>1.3</v>
      </c>
      <c r="G214" t="s">
        <v>8</v>
      </c>
      <c r="H214" t="s">
        <v>118</v>
      </c>
      <c r="I214" t="s">
        <v>31</v>
      </c>
      <c r="J214" t="s">
        <v>116</v>
      </c>
      <c r="K214" t="s">
        <v>443</v>
      </c>
      <c r="L214" t="s">
        <v>392</v>
      </c>
    </row>
    <row r="215" spans="1:12" ht="15" hidden="1">
      <c r="A215" s="5" t="str">
        <f>HYPERLINK("http://www.analog.com/zh/ad9054a#details", "AD9054A-200")</f>
        <v>AD9054A-200</v>
      </c>
      <c r="B215">
        <v>8</v>
      </c>
      <c r="C215" t="s">
        <v>153</v>
      </c>
      <c r="D215">
        <v>1</v>
      </c>
      <c r="E215">
        <v>0.6</v>
      </c>
      <c r="F215">
        <v>1</v>
      </c>
      <c r="G215" t="s">
        <v>8</v>
      </c>
      <c r="H215" t="s">
        <v>444</v>
      </c>
      <c r="I215" t="s">
        <v>8</v>
      </c>
      <c r="J215" t="s">
        <v>116</v>
      </c>
      <c r="K215" t="s">
        <v>8</v>
      </c>
      <c r="L215" t="s">
        <v>8</v>
      </c>
    </row>
    <row r="216" spans="1:12" ht="15" hidden="1">
      <c r="A216" s="5" t="str">
        <f>HYPERLINK("http://www.analog.com/zh/ad9054a#details", "AD9054A-135")</f>
        <v>AD9054A-135</v>
      </c>
      <c r="B216">
        <v>8</v>
      </c>
      <c r="C216" t="s">
        <v>445</v>
      </c>
      <c r="D216">
        <v>1</v>
      </c>
      <c r="E216">
        <v>0.6</v>
      </c>
      <c r="F216">
        <v>1</v>
      </c>
      <c r="G216" t="s">
        <v>8</v>
      </c>
      <c r="H216" t="s">
        <v>363</v>
      </c>
      <c r="I216" t="s">
        <v>8</v>
      </c>
      <c r="J216" t="s">
        <v>116</v>
      </c>
      <c r="K216" t="s">
        <v>8</v>
      </c>
      <c r="L216" t="s">
        <v>8</v>
      </c>
    </row>
    <row r="217" spans="1:12" ht="15" hidden="1">
      <c r="A217" s="5" t="str">
        <f>HYPERLINK("http://www.analog.com/zh/ad9283#details", "AD9283-80")</f>
        <v>AD9283-80</v>
      </c>
      <c r="B217">
        <v>8</v>
      </c>
      <c r="C217" t="s">
        <v>321</v>
      </c>
      <c r="D217">
        <v>1</v>
      </c>
      <c r="E217">
        <v>0.75</v>
      </c>
      <c r="F217">
        <v>1.0640000000000001</v>
      </c>
      <c r="G217" t="s">
        <v>8</v>
      </c>
      <c r="H217" t="s">
        <v>446</v>
      </c>
      <c r="I217" t="s">
        <v>31</v>
      </c>
      <c r="J217" t="s">
        <v>116</v>
      </c>
      <c r="K217" t="s">
        <v>447</v>
      </c>
      <c r="L217" t="s">
        <v>448</v>
      </c>
    </row>
    <row r="218" spans="1:12" ht="15" hidden="1">
      <c r="A218" s="5" t="str">
        <f>HYPERLINK("http://www.analog.com/zh/ad9283#details", "AD9283-50")</f>
        <v>AD9283-50</v>
      </c>
      <c r="B218">
        <v>8</v>
      </c>
      <c r="C218" t="s">
        <v>321</v>
      </c>
      <c r="D218">
        <v>1</v>
      </c>
      <c r="E218">
        <v>0.75</v>
      </c>
      <c r="F218">
        <v>1.0640000000000001</v>
      </c>
      <c r="G218" t="s">
        <v>8</v>
      </c>
      <c r="H218" t="s">
        <v>449</v>
      </c>
      <c r="I218" t="s">
        <v>31</v>
      </c>
      <c r="J218" t="s">
        <v>116</v>
      </c>
      <c r="K218" t="s">
        <v>450</v>
      </c>
      <c r="L218" t="s">
        <v>448</v>
      </c>
    </row>
    <row r="219" spans="1:12" ht="15" hidden="1">
      <c r="A219" s="5" t="str">
        <f>HYPERLINK("http://www.analog.com/zh/ad9283#details", "AD9283-100")</f>
        <v>AD9283-100</v>
      </c>
      <c r="B219">
        <v>8</v>
      </c>
      <c r="C219" t="s">
        <v>335</v>
      </c>
      <c r="D219">
        <v>1</v>
      </c>
      <c r="E219">
        <v>0.75</v>
      </c>
      <c r="F219">
        <v>1.0640000000000001</v>
      </c>
      <c r="G219" t="s">
        <v>8</v>
      </c>
      <c r="H219" t="s">
        <v>446</v>
      </c>
      <c r="I219" t="s">
        <v>31</v>
      </c>
      <c r="J219" t="s">
        <v>116</v>
      </c>
      <c r="K219" t="s">
        <v>451</v>
      </c>
      <c r="L219" t="s">
        <v>448</v>
      </c>
    </row>
    <row r="220" spans="1:12" ht="15" hidden="1">
      <c r="A220" s="5" t="str">
        <f>HYPERLINK("http://www.analog.com/zh/ad9225#details", "AD9225")</f>
        <v>AD9225</v>
      </c>
      <c r="B220">
        <v>12</v>
      </c>
      <c r="C220" t="s">
        <v>160</v>
      </c>
      <c r="D220">
        <v>1</v>
      </c>
      <c r="E220">
        <v>1</v>
      </c>
      <c r="F220">
        <v>4</v>
      </c>
      <c r="G220" t="s">
        <v>8</v>
      </c>
      <c r="H220" t="s">
        <v>314</v>
      </c>
      <c r="I220" t="s">
        <v>31</v>
      </c>
      <c r="J220" t="s">
        <v>116</v>
      </c>
      <c r="K220" t="s">
        <v>452</v>
      </c>
      <c r="L220" t="s">
        <v>453</v>
      </c>
    </row>
    <row r="221" spans="1:12" ht="15" hidden="1">
      <c r="A221" s="5" t="str">
        <f>HYPERLINK("http://www.analog.com/zh/ad9224#details", "AD9224")</f>
        <v>AD9224</v>
      </c>
      <c r="B221">
        <v>12</v>
      </c>
      <c r="C221" t="s">
        <v>92</v>
      </c>
      <c r="D221">
        <v>1</v>
      </c>
      <c r="E221">
        <v>1.5</v>
      </c>
      <c r="F221">
        <v>4</v>
      </c>
      <c r="G221" t="s">
        <v>8</v>
      </c>
      <c r="H221" t="s">
        <v>454</v>
      </c>
      <c r="I221" t="s">
        <v>31</v>
      </c>
      <c r="J221" t="s">
        <v>116</v>
      </c>
      <c r="K221" t="s">
        <v>455</v>
      </c>
      <c r="L221" t="s">
        <v>423</v>
      </c>
    </row>
    <row r="222" spans="1:12" ht="15" hidden="1">
      <c r="A222" s="5" t="str">
        <f>HYPERLINK("http://www.analog.com/zh/ad9051#details", "AD9051")</f>
        <v>AD9051</v>
      </c>
      <c r="B222">
        <v>10</v>
      </c>
      <c r="C222" t="s">
        <v>456</v>
      </c>
      <c r="D222">
        <v>1</v>
      </c>
      <c r="E222">
        <v>0.75</v>
      </c>
      <c r="F222">
        <v>1.3</v>
      </c>
      <c r="G222" t="s">
        <v>8</v>
      </c>
      <c r="H222" t="s">
        <v>147</v>
      </c>
      <c r="I222" t="s">
        <v>8</v>
      </c>
      <c r="J222" t="s">
        <v>116</v>
      </c>
      <c r="K222" t="s">
        <v>457</v>
      </c>
      <c r="L222" t="s">
        <v>423</v>
      </c>
    </row>
    <row r="223" spans="1:12" ht="15" hidden="1">
      <c r="A223" s="5" t="str">
        <f>HYPERLINK("http://www.analog.com/zh/ad9281#details", "AD9281")</f>
        <v>AD9281</v>
      </c>
      <c r="B223">
        <v>8</v>
      </c>
      <c r="C223" t="s">
        <v>458</v>
      </c>
      <c r="D223">
        <v>2</v>
      </c>
      <c r="E223">
        <v>0.25</v>
      </c>
      <c r="F223">
        <v>2.25</v>
      </c>
      <c r="G223" t="s">
        <v>8</v>
      </c>
      <c r="H223" t="s">
        <v>459</v>
      </c>
      <c r="I223" t="s">
        <v>31</v>
      </c>
      <c r="J223" t="s">
        <v>116</v>
      </c>
      <c r="K223" t="s">
        <v>217</v>
      </c>
      <c r="L223" t="s">
        <v>423</v>
      </c>
    </row>
    <row r="224" spans="1:12" ht="15" hidden="1">
      <c r="A224" s="5" t="str">
        <f>HYPERLINK("http://www.analog.com/zh/ad9201#details", "AD9201")</f>
        <v>AD9201</v>
      </c>
      <c r="B224">
        <v>10</v>
      </c>
      <c r="C224" t="s">
        <v>178</v>
      </c>
      <c r="D224">
        <v>2</v>
      </c>
      <c r="E224">
        <v>1.2</v>
      </c>
      <c r="F224">
        <v>2.25</v>
      </c>
      <c r="G224" t="s">
        <v>8</v>
      </c>
      <c r="H224" t="s">
        <v>460</v>
      </c>
      <c r="I224" t="s">
        <v>31</v>
      </c>
      <c r="J224" t="s">
        <v>116</v>
      </c>
      <c r="K224" t="s">
        <v>461</v>
      </c>
      <c r="L224" t="s">
        <v>423</v>
      </c>
    </row>
    <row r="225" spans="1:12" ht="15" hidden="1">
      <c r="A225" s="5" t="str">
        <f>HYPERLINK("http://www.analog.com/zh/ad6640#details", "AD6640")</f>
        <v>AD6640</v>
      </c>
      <c r="B225">
        <v>12</v>
      </c>
      <c r="C225" t="s">
        <v>72</v>
      </c>
      <c r="D225">
        <v>1</v>
      </c>
      <c r="E225">
        <v>1.25</v>
      </c>
      <c r="F225">
        <v>2</v>
      </c>
      <c r="G225" t="s">
        <v>8</v>
      </c>
      <c r="H225" t="s">
        <v>462</v>
      </c>
      <c r="I225" t="s">
        <v>31</v>
      </c>
      <c r="J225" t="s">
        <v>116</v>
      </c>
      <c r="K225" t="s">
        <v>463</v>
      </c>
      <c r="L225" t="s">
        <v>464</v>
      </c>
    </row>
    <row r="226" spans="1:12" ht="15">
      <c r="A226" s="5" t="str">
        <f>HYPERLINK("http://www.analog.com/zh/ad7720#details", "AD7720")</f>
        <v>AD7720</v>
      </c>
      <c r="B226">
        <v>16</v>
      </c>
      <c r="C226" t="s">
        <v>465</v>
      </c>
      <c r="D226">
        <v>1</v>
      </c>
      <c r="E226">
        <v>2</v>
      </c>
      <c r="F226">
        <v>2.62</v>
      </c>
      <c r="G226" t="s">
        <v>8</v>
      </c>
      <c r="H226" t="s">
        <v>466</v>
      </c>
      <c r="I226" t="s">
        <v>31</v>
      </c>
      <c r="J226" t="s">
        <v>183</v>
      </c>
      <c r="K226" t="s">
        <v>467</v>
      </c>
      <c r="L226" t="s">
        <v>440</v>
      </c>
    </row>
    <row r="227" spans="1:12" ht="15" hidden="1">
      <c r="A227" s="5" t="str">
        <f>HYPERLINK("http://www.analog.com/zh/ad9280#details", "AD9280")</f>
        <v>AD9280</v>
      </c>
      <c r="B227">
        <v>8</v>
      </c>
      <c r="C227" t="s">
        <v>468</v>
      </c>
      <c r="D227">
        <v>1</v>
      </c>
      <c r="E227">
        <v>0.3</v>
      </c>
      <c r="F227">
        <v>2</v>
      </c>
      <c r="G227" t="s">
        <v>8</v>
      </c>
      <c r="H227" t="s">
        <v>415</v>
      </c>
      <c r="I227" t="s">
        <v>31</v>
      </c>
      <c r="J227" t="s">
        <v>116</v>
      </c>
      <c r="K227" t="s">
        <v>469</v>
      </c>
      <c r="L227" t="s">
        <v>423</v>
      </c>
    </row>
    <row r="228" spans="1:12" ht="15" hidden="1">
      <c r="A228" s="5" t="str">
        <f>HYPERLINK("http://www.analog.com/zh/ad9240#details", "AD9240")</f>
        <v>AD9240</v>
      </c>
      <c r="B228">
        <v>14</v>
      </c>
      <c r="C228" t="s">
        <v>239</v>
      </c>
      <c r="D228">
        <v>1</v>
      </c>
      <c r="E228">
        <v>2.5</v>
      </c>
      <c r="F228">
        <v>5</v>
      </c>
      <c r="G228" t="s">
        <v>8</v>
      </c>
      <c r="H228" t="s">
        <v>378</v>
      </c>
      <c r="I228" t="s">
        <v>156</v>
      </c>
      <c r="J228" t="s">
        <v>116</v>
      </c>
      <c r="K228" t="s">
        <v>470</v>
      </c>
      <c r="L228" t="s">
        <v>471</v>
      </c>
    </row>
    <row r="229" spans="1:12" ht="15" hidden="1">
      <c r="A229" s="5" t="str">
        <f>HYPERLINK("http://www.analog.com/zh/ad9200#details", "AD9200")</f>
        <v>AD9200</v>
      </c>
      <c r="B229">
        <v>10</v>
      </c>
      <c r="C229" t="s">
        <v>178</v>
      </c>
      <c r="D229">
        <v>1</v>
      </c>
      <c r="E229">
        <v>0.75</v>
      </c>
      <c r="F229">
        <v>2</v>
      </c>
      <c r="G229" t="s">
        <v>8</v>
      </c>
      <c r="H229" t="s">
        <v>360</v>
      </c>
      <c r="I229" t="s">
        <v>31</v>
      </c>
      <c r="J229" t="s">
        <v>116</v>
      </c>
      <c r="K229" t="s">
        <v>450</v>
      </c>
      <c r="L229" t="s">
        <v>472</v>
      </c>
    </row>
    <row r="230" spans="1:12" ht="15" hidden="1">
      <c r="A230" s="5" t="str">
        <f>HYPERLINK("http://www.analog.com/zh/ad9059#details", "AD9059")</f>
        <v>AD9059</v>
      </c>
      <c r="B230">
        <v>8</v>
      </c>
      <c r="C230" t="s">
        <v>456</v>
      </c>
      <c r="D230">
        <v>2</v>
      </c>
      <c r="E230">
        <v>0.75</v>
      </c>
      <c r="F230">
        <v>1</v>
      </c>
      <c r="G230" t="s">
        <v>8</v>
      </c>
      <c r="H230" t="s">
        <v>473</v>
      </c>
      <c r="I230" t="s">
        <v>31</v>
      </c>
      <c r="J230" t="s">
        <v>116</v>
      </c>
      <c r="K230" t="s">
        <v>474</v>
      </c>
      <c r="L230" t="s">
        <v>423</v>
      </c>
    </row>
    <row r="231" spans="1:12" ht="15" hidden="1">
      <c r="A231" s="5" t="str">
        <f>HYPERLINK("http://www.analog.com/zh/ad9057#details", "AD9057-80")</f>
        <v>AD9057-80</v>
      </c>
      <c r="B231">
        <v>8</v>
      </c>
      <c r="C231" t="s">
        <v>84</v>
      </c>
      <c r="D231">
        <v>1</v>
      </c>
      <c r="E231">
        <v>0.75</v>
      </c>
      <c r="F231">
        <v>1</v>
      </c>
      <c r="G231" t="s">
        <v>8</v>
      </c>
      <c r="H231" t="s">
        <v>475</v>
      </c>
      <c r="I231" t="s">
        <v>107</v>
      </c>
      <c r="J231" t="s">
        <v>116</v>
      </c>
      <c r="K231" t="s">
        <v>476</v>
      </c>
      <c r="L231" t="s">
        <v>448</v>
      </c>
    </row>
    <row r="232" spans="1:12" ht="15" hidden="1">
      <c r="A232" s="5" t="str">
        <f>HYPERLINK("http://www.analog.com/zh/ad9057#details", "AD9057-60")</f>
        <v>AD9057-60</v>
      </c>
      <c r="B232">
        <v>8</v>
      </c>
      <c r="C232" t="s">
        <v>456</v>
      </c>
      <c r="D232" t="s">
        <v>8</v>
      </c>
      <c r="E232">
        <v>0.75</v>
      </c>
      <c r="F232" t="s">
        <v>8</v>
      </c>
      <c r="G232" t="s">
        <v>8</v>
      </c>
      <c r="H232" t="s">
        <v>413</v>
      </c>
      <c r="I232" t="s">
        <v>107</v>
      </c>
      <c r="J232" t="s">
        <v>116</v>
      </c>
      <c r="K232" t="s">
        <v>477</v>
      </c>
      <c r="L232" t="s">
        <v>448</v>
      </c>
    </row>
    <row r="233" spans="1:12" ht="15" hidden="1">
      <c r="A233" s="5" t="str">
        <f>HYPERLINK("http://www.analog.com/zh/ad9057#details", "AD9057-40")</f>
        <v>AD9057-40</v>
      </c>
      <c r="B233">
        <v>8</v>
      </c>
      <c r="C233" t="s">
        <v>92</v>
      </c>
      <c r="D233">
        <v>1</v>
      </c>
      <c r="E233">
        <v>0.75</v>
      </c>
      <c r="F233">
        <v>1</v>
      </c>
      <c r="G233" t="s">
        <v>8</v>
      </c>
      <c r="H233" t="s">
        <v>475</v>
      </c>
      <c r="I233" t="s">
        <v>107</v>
      </c>
      <c r="J233" t="s">
        <v>116</v>
      </c>
      <c r="K233" t="s">
        <v>478</v>
      </c>
      <c r="L233" t="s">
        <v>448</v>
      </c>
    </row>
    <row r="234" spans="1:12" ht="15" hidden="1">
      <c r="A234" s="5" t="str">
        <f>HYPERLINK("http://www.analog.com/zh/ad10242#details", "AD10242")</f>
        <v>AD10242</v>
      </c>
      <c r="B234">
        <v>12</v>
      </c>
      <c r="C234" t="s">
        <v>92</v>
      </c>
      <c r="D234">
        <v>2</v>
      </c>
      <c r="E234">
        <v>0.3</v>
      </c>
      <c r="F234">
        <v>4</v>
      </c>
      <c r="G234" t="s">
        <v>8</v>
      </c>
      <c r="H234">
        <v>2</v>
      </c>
      <c r="I234" t="s">
        <v>107</v>
      </c>
      <c r="J234" t="s">
        <v>116</v>
      </c>
      <c r="K234" t="s">
        <v>8</v>
      </c>
      <c r="L234" t="s">
        <v>418</v>
      </c>
    </row>
    <row r="235" spans="1:12" ht="15" hidden="1">
      <c r="A235" s="5" t="str">
        <f>HYPERLINK("http://www.analog.com/zh/ad9220#details", "AD9220")</f>
        <v>AD9220</v>
      </c>
      <c r="B235">
        <v>12</v>
      </c>
      <c r="C235" t="s">
        <v>239</v>
      </c>
      <c r="D235">
        <v>1</v>
      </c>
      <c r="E235">
        <v>0.5</v>
      </c>
      <c r="F235">
        <v>5</v>
      </c>
      <c r="G235" t="s">
        <v>8</v>
      </c>
      <c r="H235" t="s">
        <v>288</v>
      </c>
      <c r="I235" t="s">
        <v>31</v>
      </c>
      <c r="J235" t="s">
        <v>116</v>
      </c>
      <c r="K235" t="s">
        <v>479</v>
      </c>
      <c r="L235" t="s">
        <v>453</v>
      </c>
    </row>
    <row r="236" spans="1:12" ht="15" hidden="1">
      <c r="A236" s="5" t="str">
        <f>HYPERLINK("http://www.analog.com/zh/ad876#details", "AD876")</f>
        <v>AD876</v>
      </c>
      <c r="B236">
        <v>10</v>
      </c>
      <c r="C236" t="s">
        <v>178</v>
      </c>
      <c r="D236">
        <v>1</v>
      </c>
      <c r="E236">
        <v>1</v>
      </c>
      <c r="F236">
        <v>2.9</v>
      </c>
      <c r="G236" t="s">
        <v>8</v>
      </c>
      <c r="H236" t="s">
        <v>480</v>
      </c>
      <c r="I236" t="s">
        <v>481</v>
      </c>
      <c r="J236" t="s">
        <v>116</v>
      </c>
      <c r="K236" t="s">
        <v>482</v>
      </c>
      <c r="L236" t="s">
        <v>483</v>
      </c>
    </row>
  </sheetData>
  <autoFilter ref="A1:L236">
    <filterColumn colId="1">
      <filters>
        <filter val="16"/>
      </filters>
    </filterColumn>
    <filterColumn colId="2">
      <filters>
        <filter val="12.5M"/>
        <filter val="20M"/>
        <filter val="40M"/>
      </filters>
    </filterColumn>
    <filterColumn colId="3">
      <filters blank="1">
        <filter val="1"/>
      </filters>
    </filterColumn>
  </autoFilter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6"/>
  <sheetViews>
    <sheetView workbookViewId="0">
      <selection sqref="A1:A1048576"/>
    </sheetView>
  </sheetViews>
  <sheetFormatPr defaultRowHeight="13.5"/>
  <cols>
    <col min="1" max="2" width="15" customWidth="1"/>
    <col min="3" max="3" width="20" customWidth="1"/>
    <col min="4" max="4" width="15" customWidth="1"/>
    <col min="5" max="5" width="19" customWidth="1"/>
    <col min="6" max="6" width="18" customWidth="1"/>
    <col min="7" max="7" width="25" customWidth="1"/>
    <col min="8" max="9" width="15" customWidth="1"/>
    <col min="10" max="10" width="22" customWidth="1"/>
    <col min="11" max="11" width="25" customWidth="1"/>
    <col min="12" max="12" width="15" customWidth="1"/>
  </cols>
  <sheetData>
    <row r="1" spans="1:12" ht="1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ht="15">
      <c r="A2" s="7" t="s">
        <v>8</v>
      </c>
      <c r="B2" s="7" t="s">
        <v>23</v>
      </c>
      <c r="C2" s="7" t="s">
        <v>24</v>
      </c>
      <c r="D2" s="7" t="s">
        <v>8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8</v>
      </c>
      <c r="J2" s="7" t="s">
        <v>8</v>
      </c>
      <c r="K2" s="7" t="s">
        <v>29</v>
      </c>
      <c r="L2" s="7" t="s">
        <v>8</v>
      </c>
    </row>
    <row r="3" spans="1:12" ht="15">
      <c r="A3" s="8" t="str">
        <f>HYPERLINK("http://www.analog.com/zh/ad9208#details", "AD9208")</f>
        <v>AD9208</v>
      </c>
      <c r="B3">
        <v>14</v>
      </c>
      <c r="C3">
        <v>3000000000</v>
      </c>
      <c r="D3">
        <v>2</v>
      </c>
      <c r="E3">
        <v>6</v>
      </c>
      <c r="F3">
        <v>1.7</v>
      </c>
      <c r="G3">
        <v>60.2</v>
      </c>
      <c r="H3">
        <v>3.3</v>
      </c>
      <c r="I3" t="s">
        <v>31</v>
      </c>
      <c r="J3" t="s">
        <v>32</v>
      </c>
      <c r="K3">
        <v>1326</v>
      </c>
      <c r="L3" t="s">
        <v>34</v>
      </c>
    </row>
    <row r="4" spans="1:12" ht="15">
      <c r="A4" s="8" t="str">
        <f>HYPERLINK("http://www.analog.com/zh/ad9694#details", "AD9694")</f>
        <v>AD9694</v>
      </c>
      <c r="B4">
        <v>14</v>
      </c>
      <c r="C4">
        <v>500000000</v>
      </c>
      <c r="D4">
        <v>4</v>
      </c>
      <c r="E4">
        <v>1</v>
      </c>
      <c r="F4">
        <v>1.8</v>
      </c>
      <c r="G4">
        <v>67.099999999999994</v>
      </c>
      <c r="H4">
        <v>1.66</v>
      </c>
      <c r="I4" t="s">
        <v>36</v>
      </c>
      <c r="J4" t="s">
        <v>32</v>
      </c>
      <c r="K4">
        <v>488.75</v>
      </c>
      <c r="L4" t="s">
        <v>38</v>
      </c>
    </row>
    <row r="5" spans="1:12" ht="15">
      <c r="A5" s="8" t="str">
        <f>HYPERLINK("http://www.analog.com/zh/ad9691#details", "AD9691")</f>
        <v>AD9691</v>
      </c>
      <c r="B5">
        <v>14</v>
      </c>
      <c r="C5">
        <v>1250000000</v>
      </c>
      <c r="D5">
        <v>2</v>
      </c>
      <c r="E5">
        <v>2.6</v>
      </c>
      <c r="F5">
        <v>1.58</v>
      </c>
      <c r="G5">
        <v>63.4</v>
      </c>
      <c r="H5">
        <v>3.8</v>
      </c>
      <c r="I5" t="s">
        <v>31</v>
      </c>
      <c r="J5" t="s">
        <v>32</v>
      </c>
      <c r="K5">
        <v>692.75</v>
      </c>
      <c r="L5" t="s">
        <v>41</v>
      </c>
    </row>
    <row r="6" spans="1:12" ht="15">
      <c r="A6" s="8" t="str">
        <f>HYPERLINK("http://www.analog.com/zh/ad9684#details", "AD9684")</f>
        <v>AD9684</v>
      </c>
      <c r="B6">
        <v>14</v>
      </c>
      <c r="C6">
        <v>500000000</v>
      </c>
      <c r="D6">
        <v>2</v>
      </c>
      <c r="E6">
        <v>2.5</v>
      </c>
      <c r="F6">
        <v>2.06</v>
      </c>
      <c r="G6">
        <v>69.2</v>
      </c>
      <c r="H6">
        <v>2.2000000000000002</v>
      </c>
      <c r="I6" t="s">
        <v>31</v>
      </c>
      <c r="J6" t="s">
        <v>484</v>
      </c>
      <c r="K6">
        <v>272</v>
      </c>
      <c r="L6" t="s">
        <v>44</v>
      </c>
    </row>
    <row r="7" spans="1:12" ht="15">
      <c r="A7" s="8" t="str">
        <f>HYPERLINK("http://www.analog.com/zh/ad9655#details", "AD9655")</f>
        <v>AD9655</v>
      </c>
      <c r="B7">
        <v>16</v>
      </c>
      <c r="C7">
        <v>125000000</v>
      </c>
      <c r="D7">
        <v>2</v>
      </c>
      <c r="E7">
        <v>4</v>
      </c>
      <c r="F7">
        <v>2.8</v>
      </c>
      <c r="G7">
        <v>79.599999999999994</v>
      </c>
      <c r="H7">
        <v>0.313</v>
      </c>
      <c r="I7" t="s">
        <v>31</v>
      </c>
      <c r="J7" t="s">
        <v>485</v>
      </c>
      <c r="K7">
        <v>143.47999999999999</v>
      </c>
      <c r="L7" t="s">
        <v>49</v>
      </c>
    </row>
    <row r="8" spans="1:12" ht="15">
      <c r="A8" s="8" t="str">
        <f>HYPERLINK("http://www.analog.com/zh/ad9680#details", "AD9680-820")</f>
        <v>AD9680-820</v>
      </c>
      <c r="B8">
        <v>14</v>
      </c>
      <c r="C8">
        <v>820000000</v>
      </c>
      <c r="D8">
        <v>2</v>
      </c>
      <c r="E8">
        <v>2.5</v>
      </c>
      <c r="F8">
        <v>1.7</v>
      </c>
      <c r="G8">
        <v>67.2</v>
      </c>
      <c r="H8">
        <v>2.9</v>
      </c>
      <c r="I8" t="s">
        <v>31</v>
      </c>
      <c r="J8" t="s">
        <v>32</v>
      </c>
      <c r="K8">
        <v>369.75</v>
      </c>
      <c r="L8" t="s">
        <v>52</v>
      </c>
    </row>
    <row r="9" spans="1:12" ht="15">
      <c r="A9" s="8" t="str">
        <f>HYPERLINK("http://www.analog.com/zh/ad9680#details", "AD9680-500")</f>
        <v>AD9680-500</v>
      </c>
      <c r="B9">
        <v>14</v>
      </c>
      <c r="C9">
        <v>500000000</v>
      </c>
      <c r="D9">
        <v>2</v>
      </c>
      <c r="E9">
        <v>2.5</v>
      </c>
      <c r="F9">
        <v>2.06</v>
      </c>
      <c r="G9">
        <v>69.2</v>
      </c>
      <c r="H9">
        <v>2.2000000000000002</v>
      </c>
      <c r="I9" t="s">
        <v>31</v>
      </c>
      <c r="J9" t="s">
        <v>32</v>
      </c>
      <c r="K9">
        <v>272</v>
      </c>
      <c r="L9" t="s">
        <v>52</v>
      </c>
    </row>
    <row r="10" spans="1:12" ht="15">
      <c r="A10" s="8" t="str">
        <f>HYPERLINK("http://www.analog.com/zh/ad9680#details", "AD9680-1250")</f>
        <v>AD9680-1250</v>
      </c>
      <c r="B10">
        <v>14</v>
      </c>
      <c r="C10">
        <v>1250000000</v>
      </c>
      <c r="D10">
        <v>2</v>
      </c>
      <c r="E10">
        <v>3</v>
      </c>
      <c r="F10">
        <v>1.58</v>
      </c>
      <c r="G10">
        <v>63.6</v>
      </c>
      <c r="H10">
        <v>3.7</v>
      </c>
      <c r="I10" t="s">
        <v>31</v>
      </c>
      <c r="J10" t="s">
        <v>32</v>
      </c>
      <c r="K10">
        <v>692.75</v>
      </c>
      <c r="L10" t="s">
        <v>52</v>
      </c>
    </row>
    <row r="11" spans="1:12" ht="15">
      <c r="A11" s="8" t="str">
        <f>HYPERLINK("http://www.analog.com/zh/ad9680#details", "AD9680-1000")</f>
        <v>AD9680-1000</v>
      </c>
      <c r="B11">
        <v>14</v>
      </c>
      <c r="C11">
        <v>1000000000</v>
      </c>
      <c r="D11">
        <v>2</v>
      </c>
      <c r="E11">
        <v>2.5</v>
      </c>
      <c r="F11">
        <v>1.7</v>
      </c>
      <c r="G11">
        <v>67.2</v>
      </c>
      <c r="H11">
        <v>3.3</v>
      </c>
      <c r="I11" t="s">
        <v>31</v>
      </c>
      <c r="J11" t="s">
        <v>32</v>
      </c>
      <c r="K11">
        <v>584.38</v>
      </c>
      <c r="L11" t="s">
        <v>52</v>
      </c>
    </row>
    <row r="12" spans="1:12" ht="15">
      <c r="A12" s="8" t="str">
        <f>HYPERLINK("http://www.analog.com/zh/ad9652#details", "AD9652")</f>
        <v>AD9652</v>
      </c>
      <c r="B12">
        <v>16</v>
      </c>
      <c r="C12">
        <v>310000000</v>
      </c>
      <c r="D12">
        <v>2</v>
      </c>
      <c r="E12">
        <v>4.5</v>
      </c>
      <c r="F12">
        <v>2.5</v>
      </c>
      <c r="G12">
        <v>75.400000000000006</v>
      </c>
      <c r="H12">
        <v>2.16</v>
      </c>
      <c r="I12" t="s">
        <v>31</v>
      </c>
      <c r="J12" t="s">
        <v>58</v>
      </c>
      <c r="K12">
        <v>231.25</v>
      </c>
      <c r="L12" t="s">
        <v>60</v>
      </c>
    </row>
    <row r="13" spans="1:12" ht="15">
      <c r="A13" s="8" t="str">
        <f>HYPERLINK("http://www.analog.com/zh/ad9625#details", "AD9625-2500")</f>
        <v>AD9625-2500</v>
      </c>
      <c r="B13">
        <v>12</v>
      </c>
      <c r="C13">
        <v>2500000000</v>
      </c>
      <c r="D13">
        <v>1</v>
      </c>
      <c r="E13">
        <v>1</v>
      </c>
      <c r="F13">
        <v>1.1000000000000001</v>
      </c>
      <c r="G13">
        <v>58.3</v>
      </c>
      <c r="H13">
        <v>3.9</v>
      </c>
      <c r="I13" t="s">
        <v>31</v>
      </c>
      <c r="J13" t="s">
        <v>32</v>
      </c>
      <c r="K13">
        <v>735</v>
      </c>
      <c r="L13" t="s">
        <v>63</v>
      </c>
    </row>
    <row r="14" spans="1:12" ht="15">
      <c r="A14" s="8" t="str">
        <f>HYPERLINK("http://www.analog.com/zh/ad9625#details", "AD9625-2000")</f>
        <v>AD9625-2000</v>
      </c>
      <c r="B14">
        <v>12</v>
      </c>
      <c r="C14">
        <v>2000000000</v>
      </c>
      <c r="D14">
        <v>1</v>
      </c>
      <c r="E14">
        <v>0.9</v>
      </c>
      <c r="F14">
        <v>1.1000000000000001</v>
      </c>
      <c r="G14">
        <v>59.5</v>
      </c>
      <c r="H14">
        <v>3.48</v>
      </c>
      <c r="I14" t="s">
        <v>31</v>
      </c>
      <c r="J14" t="s">
        <v>32</v>
      </c>
      <c r="K14">
        <v>624.75</v>
      </c>
      <c r="L14" t="s">
        <v>63</v>
      </c>
    </row>
    <row r="15" spans="1:12" ht="15">
      <c r="A15" s="8" t="str">
        <f>HYPERLINK("http://www.analog.com/zh/ad9656#details", "AD9656")</f>
        <v>AD9656</v>
      </c>
      <c r="B15">
        <v>16</v>
      </c>
      <c r="C15">
        <v>125000000</v>
      </c>
      <c r="D15">
        <v>4</v>
      </c>
      <c r="E15">
        <v>4.5</v>
      </c>
      <c r="F15">
        <v>2.8</v>
      </c>
      <c r="G15">
        <v>80.099999999999994</v>
      </c>
      <c r="H15">
        <v>0.78800000000000003</v>
      </c>
      <c r="I15" t="s">
        <v>31</v>
      </c>
      <c r="J15" t="s">
        <v>32</v>
      </c>
      <c r="K15">
        <v>258.27</v>
      </c>
      <c r="L15" t="s">
        <v>68</v>
      </c>
    </row>
    <row r="16" spans="1:12" ht="15">
      <c r="A16" s="8" t="str">
        <f>HYPERLINK("http://www.analog.com/zh/ad9681#details", "AD9681")</f>
        <v>AD9681</v>
      </c>
      <c r="B16">
        <v>14</v>
      </c>
      <c r="C16">
        <v>125000000</v>
      </c>
      <c r="D16">
        <v>8</v>
      </c>
      <c r="E16">
        <v>1.2</v>
      </c>
      <c r="F16">
        <v>2</v>
      </c>
      <c r="G16">
        <v>74.8</v>
      </c>
      <c r="H16">
        <v>0.879</v>
      </c>
      <c r="I16" t="s">
        <v>31</v>
      </c>
      <c r="J16" t="s">
        <v>485</v>
      </c>
      <c r="K16">
        <v>197.2</v>
      </c>
      <c r="L16" t="s">
        <v>71</v>
      </c>
    </row>
    <row r="17" spans="1:12" ht="15">
      <c r="A17" s="8" t="str">
        <f>HYPERLINK("http://www.analog.com/zh/ad9249#details", "AD9249")</f>
        <v>AD9249</v>
      </c>
      <c r="B17">
        <v>14</v>
      </c>
      <c r="C17">
        <v>65000000</v>
      </c>
      <c r="D17">
        <v>16</v>
      </c>
      <c r="E17">
        <v>0.9</v>
      </c>
      <c r="F17">
        <v>2</v>
      </c>
      <c r="G17">
        <v>75.400000000000006</v>
      </c>
      <c r="H17">
        <v>0.92400000000000004</v>
      </c>
      <c r="I17" t="s">
        <v>31</v>
      </c>
      <c r="J17" t="s">
        <v>485</v>
      </c>
      <c r="K17">
        <v>113.86</v>
      </c>
      <c r="L17" t="s">
        <v>71</v>
      </c>
    </row>
    <row r="18" spans="1:12" ht="15">
      <c r="A18" s="8" t="str">
        <f>HYPERLINK("http://www.analog.com/zh/ad9683#details", "AD9683-250")</f>
        <v>AD9683-250</v>
      </c>
      <c r="B18">
        <v>14</v>
      </c>
      <c r="C18">
        <v>250000000</v>
      </c>
      <c r="D18">
        <v>1</v>
      </c>
      <c r="E18">
        <v>1.5</v>
      </c>
      <c r="F18">
        <v>1.75</v>
      </c>
      <c r="G18">
        <v>72.099999999999994</v>
      </c>
      <c r="H18">
        <v>0.434</v>
      </c>
      <c r="I18" t="s">
        <v>31</v>
      </c>
      <c r="J18" t="s">
        <v>32</v>
      </c>
      <c r="K18">
        <v>69.650000000000006</v>
      </c>
      <c r="L18" t="s">
        <v>49</v>
      </c>
    </row>
    <row r="19" spans="1:12" ht="15">
      <c r="A19" s="8" t="str">
        <f>HYPERLINK("http://www.analog.com/zh/ad9683#details", "AD9683-170")</f>
        <v>AD9683-170</v>
      </c>
      <c r="B19">
        <v>14</v>
      </c>
      <c r="C19">
        <v>170000000</v>
      </c>
      <c r="D19">
        <v>1</v>
      </c>
      <c r="E19">
        <v>0.8</v>
      </c>
      <c r="F19">
        <v>1.75</v>
      </c>
      <c r="G19">
        <v>72.3</v>
      </c>
      <c r="H19">
        <v>0.36499999999999999</v>
      </c>
      <c r="I19" t="s">
        <v>31</v>
      </c>
      <c r="J19" t="s">
        <v>32</v>
      </c>
      <c r="K19">
        <v>38.4</v>
      </c>
      <c r="L19" t="s">
        <v>49</v>
      </c>
    </row>
    <row r="20" spans="1:12" ht="15">
      <c r="A20" s="8" t="str">
        <f>HYPERLINK("http://www.analog.com/zh/ad9250#details", "AD9250-250")</f>
        <v>AD9250-250</v>
      </c>
      <c r="B20">
        <v>14</v>
      </c>
      <c r="C20">
        <v>250000000</v>
      </c>
      <c r="D20">
        <v>2</v>
      </c>
      <c r="E20">
        <v>1.5</v>
      </c>
      <c r="F20">
        <v>1.75</v>
      </c>
      <c r="G20">
        <v>72.099999999999994</v>
      </c>
      <c r="H20">
        <v>711</v>
      </c>
      <c r="I20" t="s">
        <v>31</v>
      </c>
      <c r="J20" t="s">
        <v>32</v>
      </c>
      <c r="K20">
        <v>131.57</v>
      </c>
      <c r="L20" t="s">
        <v>82</v>
      </c>
    </row>
    <row r="21" spans="1:12" ht="15">
      <c r="A21" s="8" t="str">
        <f>HYPERLINK("http://www.analog.com/zh/ad9250#details", "AD9250-170")</f>
        <v>AD9250-170</v>
      </c>
      <c r="B21">
        <v>14</v>
      </c>
      <c r="C21">
        <v>170000000</v>
      </c>
      <c r="D21">
        <v>2</v>
      </c>
      <c r="E21">
        <v>1.5</v>
      </c>
      <c r="F21">
        <v>1.75</v>
      </c>
      <c r="G21">
        <v>72.5</v>
      </c>
      <c r="H21">
        <v>607</v>
      </c>
      <c r="I21" t="s">
        <v>31</v>
      </c>
      <c r="J21" t="s">
        <v>32</v>
      </c>
      <c r="K21">
        <v>72.489999999999995</v>
      </c>
      <c r="L21" t="s">
        <v>82</v>
      </c>
    </row>
    <row r="22" spans="1:12" ht="15">
      <c r="A22" s="8" t="str">
        <f>HYPERLINK("http://www.analog.com/zh/ad9635#details", "AD9635")</f>
        <v>AD9635</v>
      </c>
      <c r="B22">
        <v>12</v>
      </c>
      <c r="C22">
        <v>80000000</v>
      </c>
      <c r="D22">
        <v>2</v>
      </c>
      <c r="E22">
        <v>0.4</v>
      </c>
      <c r="F22">
        <v>2</v>
      </c>
      <c r="G22">
        <v>71</v>
      </c>
      <c r="H22">
        <v>0.115</v>
      </c>
      <c r="I22" t="s">
        <v>31</v>
      </c>
      <c r="J22" t="s">
        <v>485</v>
      </c>
      <c r="K22">
        <v>18.690000000000001</v>
      </c>
      <c r="L22" t="s">
        <v>49</v>
      </c>
    </row>
    <row r="23" spans="1:12" ht="15">
      <c r="A23" s="8" t="str">
        <f>HYPERLINK("http://www.analog.com/zh/ad9653#details", "AD9653")</f>
        <v>AD9653</v>
      </c>
      <c r="B23">
        <v>16</v>
      </c>
      <c r="C23">
        <v>125000000</v>
      </c>
      <c r="D23">
        <v>4</v>
      </c>
      <c r="E23">
        <v>3.5</v>
      </c>
      <c r="F23">
        <v>2</v>
      </c>
      <c r="G23">
        <v>78</v>
      </c>
      <c r="H23">
        <v>0.65700000000000003</v>
      </c>
      <c r="I23" t="s">
        <v>31</v>
      </c>
      <c r="J23" t="s">
        <v>58</v>
      </c>
      <c r="K23">
        <v>250</v>
      </c>
      <c r="L23" t="s">
        <v>82</v>
      </c>
    </row>
    <row r="24" spans="1:12" ht="15">
      <c r="A24" s="8" t="str">
        <f>HYPERLINK("http://www.analog.com/zh/ad9637#details", "AD9637-80")</f>
        <v>AD9637-80</v>
      </c>
      <c r="B24">
        <v>12</v>
      </c>
      <c r="C24">
        <v>80000000</v>
      </c>
      <c r="D24">
        <v>8</v>
      </c>
      <c r="E24">
        <v>0.5</v>
      </c>
      <c r="F24">
        <v>2</v>
      </c>
      <c r="G24">
        <v>71.5</v>
      </c>
      <c r="H24">
        <v>0.502</v>
      </c>
      <c r="I24" t="s">
        <v>31</v>
      </c>
      <c r="J24" t="s">
        <v>485</v>
      </c>
      <c r="K24">
        <v>56.95</v>
      </c>
      <c r="L24" t="s">
        <v>91</v>
      </c>
    </row>
    <row r="25" spans="1:12" ht="15">
      <c r="A25" s="8" t="str">
        <f>HYPERLINK("http://www.analog.com/zh/ad9637#details", "AD9637-40")</f>
        <v>AD9637-40</v>
      </c>
      <c r="B25">
        <v>12</v>
      </c>
      <c r="C25">
        <v>40000000</v>
      </c>
      <c r="D25">
        <v>8</v>
      </c>
      <c r="E25">
        <v>0.4</v>
      </c>
      <c r="F25">
        <v>2</v>
      </c>
      <c r="G25">
        <v>72</v>
      </c>
      <c r="H25">
        <v>0.34699999999999998</v>
      </c>
      <c r="I25" t="s">
        <v>31</v>
      </c>
      <c r="J25" t="s">
        <v>485</v>
      </c>
      <c r="K25">
        <v>40.46</v>
      </c>
      <c r="L25" t="s">
        <v>91</v>
      </c>
    </row>
    <row r="26" spans="1:12" ht="15">
      <c r="A26" s="8" t="str">
        <f>HYPERLINK("http://www.analog.com/zh/ad9633#details", "AD9633-80")</f>
        <v>AD9633-80</v>
      </c>
      <c r="B26">
        <v>12</v>
      </c>
      <c r="C26">
        <v>80000000</v>
      </c>
      <c r="D26">
        <v>4</v>
      </c>
      <c r="E26">
        <v>0.5</v>
      </c>
      <c r="F26">
        <v>2</v>
      </c>
      <c r="G26">
        <v>71.7</v>
      </c>
      <c r="H26">
        <v>0.33100000000000002</v>
      </c>
      <c r="I26" t="s">
        <v>31</v>
      </c>
      <c r="J26" t="s">
        <v>485</v>
      </c>
      <c r="K26">
        <v>44.2</v>
      </c>
      <c r="L26" t="s">
        <v>82</v>
      </c>
    </row>
    <row r="27" spans="1:12" ht="15">
      <c r="A27" s="8" t="str">
        <f>HYPERLINK("http://www.analog.com/zh/ad9633#details", "AD9633-125")</f>
        <v>AD9633-125</v>
      </c>
      <c r="B27">
        <v>12</v>
      </c>
      <c r="C27">
        <v>125000000</v>
      </c>
      <c r="D27">
        <v>4</v>
      </c>
      <c r="E27">
        <v>0.5</v>
      </c>
      <c r="F27">
        <v>2</v>
      </c>
      <c r="G27">
        <v>71.8</v>
      </c>
      <c r="H27">
        <v>0.43</v>
      </c>
      <c r="I27" t="s">
        <v>31</v>
      </c>
      <c r="J27" t="s">
        <v>485</v>
      </c>
      <c r="K27">
        <v>68.510000000000005</v>
      </c>
      <c r="L27" t="s">
        <v>82</v>
      </c>
    </row>
    <row r="28" spans="1:12" ht="15">
      <c r="A28" s="8" t="str">
        <f>HYPERLINK("http://www.analog.com/zh/ad9633#details", "AD9633-105")</f>
        <v>AD9633-105</v>
      </c>
      <c r="B28">
        <v>12</v>
      </c>
      <c r="C28">
        <v>105000000</v>
      </c>
      <c r="D28">
        <v>4</v>
      </c>
      <c r="E28">
        <v>0.5</v>
      </c>
      <c r="F28">
        <v>2</v>
      </c>
      <c r="G28">
        <v>71.7</v>
      </c>
      <c r="H28">
        <v>0.38500000000000001</v>
      </c>
      <c r="I28" t="s">
        <v>31</v>
      </c>
      <c r="J28" t="s">
        <v>485</v>
      </c>
      <c r="K28">
        <v>57.8</v>
      </c>
      <c r="L28" t="s">
        <v>82</v>
      </c>
    </row>
    <row r="29" spans="1:12" ht="15">
      <c r="A29" s="8" t="str">
        <f>HYPERLINK("http://www.analog.com/zh/ad9257#details", "AD9257-65")</f>
        <v>AD9257-65</v>
      </c>
      <c r="B29">
        <v>14</v>
      </c>
      <c r="C29">
        <v>65000000</v>
      </c>
      <c r="D29">
        <v>8</v>
      </c>
      <c r="E29">
        <v>1.1000000000000001</v>
      </c>
      <c r="F29">
        <v>2</v>
      </c>
      <c r="G29">
        <v>75.7</v>
      </c>
      <c r="H29">
        <v>0.46400000000000002</v>
      </c>
      <c r="I29" t="s">
        <v>31</v>
      </c>
      <c r="J29" t="s">
        <v>485</v>
      </c>
      <c r="K29">
        <v>71.400000000000006</v>
      </c>
      <c r="L29" t="s">
        <v>91</v>
      </c>
    </row>
    <row r="30" spans="1:12" ht="15">
      <c r="A30" s="8" t="str">
        <f>HYPERLINK("http://www.analog.com/zh/ad9257#details", "AD9257-40")</f>
        <v>AD9257-40</v>
      </c>
      <c r="B30">
        <v>14</v>
      </c>
      <c r="C30">
        <v>40000000</v>
      </c>
      <c r="D30">
        <v>8</v>
      </c>
      <c r="E30">
        <v>1.1000000000000001</v>
      </c>
      <c r="F30">
        <v>2</v>
      </c>
      <c r="G30">
        <v>75.900000000000006</v>
      </c>
      <c r="H30">
        <v>0.36</v>
      </c>
      <c r="I30" t="s">
        <v>31</v>
      </c>
      <c r="J30" t="s">
        <v>485</v>
      </c>
      <c r="K30">
        <v>46.67</v>
      </c>
      <c r="L30" t="s">
        <v>91</v>
      </c>
    </row>
    <row r="31" spans="1:12" ht="15">
      <c r="A31" s="8" t="str">
        <f>HYPERLINK("http://www.analog.com/zh/ad9253#details", "AD9253-EP")</f>
        <v>AD9253-EP</v>
      </c>
      <c r="B31">
        <v>14</v>
      </c>
      <c r="C31">
        <v>80000000</v>
      </c>
      <c r="D31">
        <v>4</v>
      </c>
      <c r="E31">
        <v>2</v>
      </c>
      <c r="F31">
        <v>2</v>
      </c>
      <c r="G31">
        <v>75.3</v>
      </c>
      <c r="H31">
        <v>0.44</v>
      </c>
      <c r="I31" t="s">
        <v>107</v>
      </c>
      <c r="J31" t="s">
        <v>485</v>
      </c>
      <c r="K31">
        <v>170</v>
      </c>
      <c r="L31" t="s">
        <v>82</v>
      </c>
    </row>
    <row r="32" spans="1:12" ht="15">
      <c r="A32" s="8" t="str">
        <f>HYPERLINK("http://www.analog.com/zh/ad9253#details", "AD9253-80")</f>
        <v>AD9253-80</v>
      </c>
      <c r="B32">
        <v>14</v>
      </c>
      <c r="C32">
        <v>80000000</v>
      </c>
      <c r="D32">
        <v>4</v>
      </c>
      <c r="E32">
        <v>1.5</v>
      </c>
      <c r="F32">
        <v>2</v>
      </c>
      <c r="G32">
        <v>75.400000000000006</v>
      </c>
      <c r="H32">
        <v>0.34899999999999998</v>
      </c>
      <c r="I32" t="s">
        <v>107</v>
      </c>
      <c r="J32" t="s">
        <v>485</v>
      </c>
      <c r="K32">
        <v>62.9</v>
      </c>
      <c r="L32" t="s">
        <v>82</v>
      </c>
    </row>
    <row r="33" spans="1:12" ht="15">
      <c r="A33" s="8" t="str">
        <f>HYPERLINK("http://www.analog.com/zh/ad9253#details", "AD9253-125")</f>
        <v>AD9253-125</v>
      </c>
      <c r="B33">
        <v>14</v>
      </c>
      <c r="C33">
        <v>125000000</v>
      </c>
      <c r="D33">
        <v>4</v>
      </c>
      <c r="E33">
        <v>2</v>
      </c>
      <c r="F33">
        <v>2</v>
      </c>
      <c r="G33">
        <v>75.3</v>
      </c>
      <c r="H33">
        <v>0.45700000000000002</v>
      </c>
      <c r="I33" t="s">
        <v>107</v>
      </c>
      <c r="J33" t="s">
        <v>485</v>
      </c>
      <c r="K33">
        <v>116.45</v>
      </c>
      <c r="L33" t="s">
        <v>82</v>
      </c>
    </row>
    <row r="34" spans="1:12" ht="15">
      <c r="A34" s="8" t="str">
        <f>HYPERLINK("http://www.analog.com/zh/ad9253#details", "AD9253-105")</f>
        <v>AD9253-105</v>
      </c>
      <c r="B34">
        <v>14</v>
      </c>
      <c r="C34">
        <v>105000000</v>
      </c>
      <c r="D34">
        <v>4</v>
      </c>
      <c r="E34">
        <v>2</v>
      </c>
      <c r="F34">
        <v>2</v>
      </c>
      <c r="G34">
        <v>75.099999999999994</v>
      </c>
      <c r="H34">
        <v>0.40500000000000003</v>
      </c>
      <c r="I34" t="s">
        <v>107</v>
      </c>
      <c r="J34" t="s">
        <v>485</v>
      </c>
      <c r="K34">
        <v>99.45</v>
      </c>
      <c r="L34" t="s">
        <v>82</v>
      </c>
    </row>
    <row r="35" spans="1:12" ht="15">
      <c r="A35" s="8" t="str">
        <f>HYPERLINK("http://www.analog.com/zh/ad9648#details", "AD9648-125")</f>
        <v>AD9648-125</v>
      </c>
      <c r="B35">
        <v>14</v>
      </c>
      <c r="C35">
        <v>125000000</v>
      </c>
      <c r="D35">
        <v>2</v>
      </c>
      <c r="E35">
        <v>1</v>
      </c>
      <c r="F35">
        <v>2</v>
      </c>
      <c r="G35">
        <v>75</v>
      </c>
      <c r="H35">
        <v>0.21199999999999999</v>
      </c>
      <c r="I35" t="s">
        <v>107</v>
      </c>
      <c r="J35" t="s">
        <v>116</v>
      </c>
      <c r="K35">
        <v>51.25</v>
      </c>
      <c r="L35" t="s">
        <v>91</v>
      </c>
    </row>
    <row r="36" spans="1:12" ht="15">
      <c r="A36" s="8" t="str">
        <f>HYPERLINK("http://www.analog.com/zh/ad9648#details", "AD9648-105")</f>
        <v>AD9648-105</v>
      </c>
      <c r="B36">
        <v>14</v>
      </c>
      <c r="C36">
        <v>105000000</v>
      </c>
      <c r="D36">
        <v>2</v>
      </c>
      <c r="E36">
        <v>1</v>
      </c>
      <c r="F36">
        <v>2</v>
      </c>
      <c r="G36">
        <v>75.400000000000006</v>
      </c>
      <c r="H36">
        <v>0.18</v>
      </c>
      <c r="I36" t="s">
        <v>107</v>
      </c>
      <c r="J36" t="s">
        <v>116</v>
      </c>
      <c r="K36">
        <v>42.29</v>
      </c>
      <c r="L36" t="s">
        <v>91</v>
      </c>
    </row>
    <row r="37" spans="1:12" ht="15">
      <c r="A37" s="8" t="str">
        <f>HYPERLINK("http://www.analog.com/zh/ad9642#details", "AD9642-250")</f>
        <v>AD9642-250</v>
      </c>
      <c r="B37">
        <v>14</v>
      </c>
      <c r="C37">
        <v>250000000</v>
      </c>
      <c r="D37">
        <v>1</v>
      </c>
      <c r="E37">
        <v>1</v>
      </c>
      <c r="F37">
        <v>1.75</v>
      </c>
      <c r="G37">
        <v>72.2</v>
      </c>
      <c r="H37">
        <v>0.36</v>
      </c>
      <c r="I37" t="s">
        <v>31</v>
      </c>
      <c r="J37" t="s">
        <v>484</v>
      </c>
      <c r="K37">
        <v>69.650000000000006</v>
      </c>
      <c r="L37" t="s">
        <v>49</v>
      </c>
    </row>
    <row r="38" spans="1:12" ht="15">
      <c r="A38" s="8" t="str">
        <f>HYPERLINK("http://www.analog.com/zh/ad9642#details", "AD9642-210")</f>
        <v>AD9642-210</v>
      </c>
      <c r="B38">
        <v>14</v>
      </c>
      <c r="C38">
        <v>210000000</v>
      </c>
      <c r="D38">
        <v>1</v>
      </c>
      <c r="E38">
        <v>0.75</v>
      </c>
      <c r="F38">
        <v>1.75</v>
      </c>
      <c r="G38">
        <v>72.400000000000006</v>
      </c>
      <c r="H38">
        <v>0.33300000000000002</v>
      </c>
      <c r="I38" t="s">
        <v>31</v>
      </c>
      <c r="J38" t="s">
        <v>484</v>
      </c>
      <c r="K38">
        <v>57.8</v>
      </c>
      <c r="L38" t="s">
        <v>49</v>
      </c>
    </row>
    <row r="39" spans="1:12" ht="15">
      <c r="A39" s="8" t="str">
        <f>HYPERLINK("http://www.analog.com/zh/ad9642#details", "AD9642-170")</f>
        <v>AD9642-170</v>
      </c>
      <c r="B39">
        <v>14</v>
      </c>
      <c r="C39">
        <v>170000000</v>
      </c>
      <c r="D39">
        <v>1</v>
      </c>
      <c r="E39">
        <v>0.6</v>
      </c>
      <c r="F39">
        <v>1.75</v>
      </c>
      <c r="G39">
        <v>72.5</v>
      </c>
      <c r="H39">
        <v>0.311</v>
      </c>
      <c r="I39" t="s">
        <v>31</v>
      </c>
      <c r="J39" t="s">
        <v>484</v>
      </c>
      <c r="K39">
        <v>38.4</v>
      </c>
      <c r="L39" t="s">
        <v>49</v>
      </c>
    </row>
    <row r="40" spans="1:12" ht="15">
      <c r="A40" s="8" t="str">
        <f>HYPERLINK("http://www.analog.com/zh/ad9634#details", "AD9634-250")</f>
        <v>AD9634-250</v>
      </c>
      <c r="B40">
        <v>12</v>
      </c>
      <c r="C40">
        <v>250000000</v>
      </c>
      <c r="D40">
        <v>1</v>
      </c>
      <c r="E40">
        <v>0.27</v>
      </c>
      <c r="F40">
        <v>1.75</v>
      </c>
      <c r="G40">
        <v>70.099999999999994</v>
      </c>
      <c r="H40">
        <v>0.36</v>
      </c>
      <c r="I40" t="s">
        <v>31</v>
      </c>
      <c r="J40" t="s">
        <v>484</v>
      </c>
      <c r="K40">
        <v>35.25</v>
      </c>
      <c r="L40" t="s">
        <v>49</v>
      </c>
    </row>
    <row r="41" spans="1:12" ht="15">
      <c r="A41" s="8" t="str">
        <f>HYPERLINK("http://www.analog.com/zh/ad9634#details", "AD9634-210")</f>
        <v>AD9634-210</v>
      </c>
      <c r="B41">
        <v>12</v>
      </c>
      <c r="C41">
        <v>210000000</v>
      </c>
      <c r="D41">
        <v>1</v>
      </c>
      <c r="E41">
        <v>0.2</v>
      </c>
      <c r="F41">
        <v>1.75</v>
      </c>
      <c r="G41">
        <v>70.2</v>
      </c>
      <c r="H41">
        <v>0.33300000000000002</v>
      </c>
      <c r="I41" t="s">
        <v>31</v>
      </c>
      <c r="J41" t="s">
        <v>484</v>
      </c>
      <c r="K41">
        <v>29.25</v>
      </c>
      <c r="L41" t="s">
        <v>49</v>
      </c>
    </row>
    <row r="42" spans="1:12" ht="15">
      <c r="A42" s="8" t="str">
        <f>HYPERLINK("http://www.analog.com/zh/ad9634#details", "AD9634-170")</f>
        <v>AD9634-170</v>
      </c>
      <c r="B42">
        <v>12</v>
      </c>
      <c r="C42">
        <v>170000000</v>
      </c>
      <c r="D42">
        <v>1</v>
      </c>
      <c r="E42">
        <v>0.2</v>
      </c>
      <c r="F42">
        <v>1.75</v>
      </c>
      <c r="G42">
        <v>70.3</v>
      </c>
      <c r="H42">
        <v>0.311</v>
      </c>
      <c r="I42" t="s">
        <v>31</v>
      </c>
      <c r="J42" t="s">
        <v>484</v>
      </c>
      <c r="K42">
        <v>20.350000000000001</v>
      </c>
      <c r="L42" t="s">
        <v>49</v>
      </c>
    </row>
    <row r="43" spans="1:12" ht="15">
      <c r="A43" s="8" t="str">
        <f>HYPERLINK("http://www.analog.com/zh/ad9628#details", "AD9628-125")</f>
        <v>AD9628-125</v>
      </c>
      <c r="B43">
        <v>12</v>
      </c>
      <c r="C43">
        <v>125000000</v>
      </c>
      <c r="D43">
        <v>2</v>
      </c>
      <c r="E43">
        <v>0.3</v>
      </c>
      <c r="F43">
        <v>2</v>
      </c>
      <c r="G43">
        <v>71.5</v>
      </c>
      <c r="H43">
        <v>0.20100000000000001</v>
      </c>
      <c r="I43" t="s">
        <v>31</v>
      </c>
      <c r="J43" t="s">
        <v>486</v>
      </c>
      <c r="K43">
        <v>31.32</v>
      </c>
      <c r="L43" t="s">
        <v>91</v>
      </c>
    </row>
    <row r="44" spans="1:12" ht="15">
      <c r="A44" s="8" t="str">
        <f>HYPERLINK("http://www.analog.com/zh/ad9628#details", "AD9628-105")</f>
        <v>AD9628-105</v>
      </c>
      <c r="B44">
        <v>12</v>
      </c>
      <c r="C44">
        <v>105000000</v>
      </c>
      <c r="D44">
        <v>2</v>
      </c>
      <c r="E44">
        <v>0.3</v>
      </c>
      <c r="F44">
        <v>2</v>
      </c>
      <c r="G44">
        <v>71.599999999999994</v>
      </c>
      <c r="H44">
        <v>0.17299999999999999</v>
      </c>
      <c r="I44" t="s">
        <v>31</v>
      </c>
      <c r="J44" t="s">
        <v>486</v>
      </c>
      <c r="K44">
        <v>27.57</v>
      </c>
      <c r="L44" t="s">
        <v>91</v>
      </c>
    </row>
    <row r="45" spans="1:12" ht="15">
      <c r="A45" s="8" t="str">
        <f>HYPERLINK("http://www.analog.com/zh/ad9608#details", "AD9608-125")</f>
        <v>AD9608-125</v>
      </c>
      <c r="B45">
        <v>10</v>
      </c>
      <c r="C45">
        <v>125000000</v>
      </c>
      <c r="D45">
        <v>2</v>
      </c>
      <c r="E45">
        <v>0.14000000000000001</v>
      </c>
      <c r="F45">
        <v>2</v>
      </c>
      <c r="G45">
        <v>61.7</v>
      </c>
      <c r="H45">
        <v>0.189</v>
      </c>
      <c r="I45" t="s">
        <v>31</v>
      </c>
      <c r="J45" t="s">
        <v>486</v>
      </c>
      <c r="K45">
        <v>18</v>
      </c>
      <c r="L45" t="s">
        <v>91</v>
      </c>
    </row>
    <row r="46" spans="1:12" ht="15">
      <c r="A46" s="8" t="str">
        <f>HYPERLINK("http://www.analog.com/zh/ad9608#details", "AD9608-105")</f>
        <v>AD9608-105</v>
      </c>
      <c r="B46">
        <v>10</v>
      </c>
      <c r="C46">
        <v>105000000</v>
      </c>
      <c r="D46">
        <v>2</v>
      </c>
      <c r="E46">
        <v>0.14000000000000001</v>
      </c>
      <c r="F46">
        <v>2</v>
      </c>
      <c r="G46">
        <v>61.7</v>
      </c>
      <c r="H46">
        <v>0.16500000000000001</v>
      </c>
      <c r="I46" t="s">
        <v>31</v>
      </c>
      <c r="J46" t="s">
        <v>486</v>
      </c>
      <c r="K46">
        <v>11.25</v>
      </c>
      <c r="L46" t="s">
        <v>91</v>
      </c>
    </row>
    <row r="47" spans="1:12" ht="15">
      <c r="A47" s="8" t="str">
        <f>HYPERLINK("http://www.analog.com/zh/ad9643#details", "AD9643-250")</f>
        <v>AD9643-250</v>
      </c>
      <c r="B47">
        <v>14</v>
      </c>
      <c r="C47">
        <v>250000000</v>
      </c>
      <c r="D47">
        <v>2</v>
      </c>
      <c r="E47">
        <v>1.5</v>
      </c>
      <c r="F47">
        <v>1.75</v>
      </c>
      <c r="G47">
        <v>72</v>
      </c>
      <c r="H47">
        <v>0.78500000000000003</v>
      </c>
      <c r="I47" t="s">
        <v>31</v>
      </c>
      <c r="J47" t="s">
        <v>484</v>
      </c>
      <c r="K47">
        <v>131.57</v>
      </c>
      <c r="L47" t="s">
        <v>91</v>
      </c>
    </row>
    <row r="48" spans="1:12" ht="15">
      <c r="A48" s="8" t="str">
        <f>HYPERLINK("http://www.analog.com/zh/ad9643#details", "AD9643-210")</f>
        <v>AD9643-210</v>
      </c>
      <c r="B48">
        <v>14</v>
      </c>
      <c r="C48">
        <v>250000000</v>
      </c>
      <c r="D48">
        <v>2</v>
      </c>
      <c r="E48">
        <v>1.5</v>
      </c>
      <c r="F48">
        <v>1.75</v>
      </c>
      <c r="G48">
        <v>72.599999999999994</v>
      </c>
      <c r="H48">
        <v>0.68</v>
      </c>
      <c r="I48" t="s">
        <v>31</v>
      </c>
      <c r="J48" t="s">
        <v>484</v>
      </c>
      <c r="K48">
        <v>109.74</v>
      </c>
      <c r="L48" t="s">
        <v>91</v>
      </c>
    </row>
    <row r="49" spans="1:12" ht="15">
      <c r="A49" s="8" t="str">
        <f>HYPERLINK("http://www.analog.com/zh/ad9643#details", "AD9643-170")</f>
        <v>AD9643-170</v>
      </c>
      <c r="B49">
        <v>14</v>
      </c>
      <c r="C49">
        <v>170000000</v>
      </c>
      <c r="D49">
        <v>2</v>
      </c>
      <c r="E49">
        <v>1.5</v>
      </c>
      <c r="F49">
        <v>1.75</v>
      </c>
      <c r="G49">
        <v>72.599999999999994</v>
      </c>
      <c r="H49">
        <v>0.61399999999999999</v>
      </c>
      <c r="I49" t="s">
        <v>31</v>
      </c>
      <c r="J49" t="s">
        <v>484</v>
      </c>
      <c r="K49">
        <v>109.74</v>
      </c>
      <c r="L49" t="s">
        <v>91</v>
      </c>
    </row>
    <row r="50" spans="1:12" ht="15">
      <c r="A50" s="8" t="str">
        <f>HYPERLINK("http://www.analog.com/zh/ad9484#details", "AD9484")</f>
        <v>AD9484</v>
      </c>
      <c r="B50">
        <v>8</v>
      </c>
      <c r="C50">
        <v>500000000</v>
      </c>
      <c r="D50">
        <v>1</v>
      </c>
      <c r="E50">
        <v>0.1</v>
      </c>
      <c r="F50">
        <v>1.5</v>
      </c>
      <c r="G50">
        <v>47</v>
      </c>
      <c r="H50">
        <v>0.67</v>
      </c>
      <c r="I50" t="s">
        <v>31</v>
      </c>
      <c r="J50" t="s">
        <v>484</v>
      </c>
      <c r="K50">
        <v>36</v>
      </c>
      <c r="L50" t="s">
        <v>141</v>
      </c>
    </row>
    <row r="51" spans="1:12" ht="15">
      <c r="A51" s="8" t="str">
        <f>HYPERLINK("http://www.analog.com/zh/ad9434#details", "AD9434-500")</f>
        <v>AD9434-500</v>
      </c>
      <c r="B51">
        <v>12</v>
      </c>
      <c r="C51">
        <v>500000000</v>
      </c>
      <c r="D51">
        <v>1</v>
      </c>
      <c r="E51">
        <v>0.6</v>
      </c>
      <c r="F51">
        <v>1.5</v>
      </c>
      <c r="G51">
        <v>65.900000000000006</v>
      </c>
      <c r="H51">
        <v>0.69</v>
      </c>
      <c r="I51" t="s">
        <v>31</v>
      </c>
      <c r="J51" t="s">
        <v>484</v>
      </c>
      <c r="K51">
        <v>124.95</v>
      </c>
      <c r="L51" t="s">
        <v>141</v>
      </c>
    </row>
    <row r="52" spans="1:12" ht="15">
      <c r="A52" s="8" t="str">
        <f>HYPERLINK("http://www.analog.com/zh/ad9434#details", "AD9434-370")</f>
        <v>AD9434-370</v>
      </c>
      <c r="B52">
        <v>12</v>
      </c>
      <c r="C52">
        <v>370000000</v>
      </c>
      <c r="D52">
        <v>1</v>
      </c>
      <c r="E52">
        <v>0.4</v>
      </c>
      <c r="F52">
        <v>1.5</v>
      </c>
      <c r="G52">
        <v>66.3</v>
      </c>
      <c r="H52">
        <v>0.625</v>
      </c>
      <c r="I52" t="s">
        <v>31</v>
      </c>
      <c r="J52" t="s">
        <v>484</v>
      </c>
      <c r="K52">
        <v>85</v>
      </c>
      <c r="L52" t="s">
        <v>141</v>
      </c>
    </row>
    <row r="53" spans="1:12" ht="15">
      <c r="A53" s="8" t="str">
        <f>HYPERLINK("http://www.analog.com/zh/ad9286#details", "AD9286")</f>
        <v>AD9286</v>
      </c>
      <c r="B53">
        <v>8</v>
      </c>
      <c r="C53">
        <v>500000000</v>
      </c>
      <c r="D53">
        <v>2</v>
      </c>
      <c r="E53">
        <v>0.1</v>
      </c>
      <c r="F53">
        <v>1.2</v>
      </c>
      <c r="G53">
        <v>49.3</v>
      </c>
      <c r="H53">
        <v>0.315</v>
      </c>
      <c r="I53" t="s">
        <v>31</v>
      </c>
      <c r="J53" t="s">
        <v>484</v>
      </c>
      <c r="K53">
        <v>36</v>
      </c>
      <c r="L53" t="s">
        <v>148</v>
      </c>
    </row>
    <row r="54" spans="1:12" ht="15">
      <c r="A54" s="8" t="str">
        <f>HYPERLINK("http://www.analog.com/zh/ad9284#details", "AD9284")</f>
        <v>AD9284</v>
      </c>
      <c r="B54">
        <v>8</v>
      </c>
      <c r="C54">
        <v>250000000</v>
      </c>
      <c r="D54">
        <v>2</v>
      </c>
      <c r="E54">
        <v>0.1</v>
      </c>
      <c r="F54">
        <v>1.2</v>
      </c>
      <c r="G54">
        <v>49.3</v>
      </c>
      <c r="H54">
        <v>0.314</v>
      </c>
      <c r="I54" t="s">
        <v>31</v>
      </c>
      <c r="J54" t="s">
        <v>484</v>
      </c>
      <c r="K54">
        <v>25</v>
      </c>
      <c r="L54" t="s">
        <v>148</v>
      </c>
    </row>
    <row r="55" spans="1:12" ht="15">
      <c r="A55" s="8" t="str">
        <f>HYPERLINK("http://www.analog.com/zh/ad9467#details", "AD9467-250")</f>
        <v>AD9467-250</v>
      </c>
      <c r="B55">
        <v>16</v>
      </c>
      <c r="C55">
        <v>250000000</v>
      </c>
      <c r="D55">
        <v>1</v>
      </c>
      <c r="E55">
        <v>3.5</v>
      </c>
      <c r="F55">
        <v>2.5</v>
      </c>
      <c r="G55">
        <v>76.400000000000006</v>
      </c>
      <c r="H55">
        <v>1.33</v>
      </c>
      <c r="I55" t="s">
        <v>107</v>
      </c>
      <c r="J55" t="s">
        <v>484</v>
      </c>
      <c r="K55">
        <v>119.85</v>
      </c>
      <c r="L55" t="s">
        <v>152</v>
      </c>
    </row>
    <row r="56" spans="1:12" ht="15">
      <c r="A56" s="8" t="str">
        <f>HYPERLINK("http://www.analog.com/zh/ad9467#details", "AD9467-200")</f>
        <v>AD9467-200</v>
      </c>
      <c r="B56">
        <v>16</v>
      </c>
      <c r="C56">
        <v>200000000</v>
      </c>
      <c r="D56">
        <v>1</v>
      </c>
      <c r="E56">
        <v>5</v>
      </c>
      <c r="F56">
        <v>2.5</v>
      </c>
      <c r="G56">
        <v>76.400000000000006</v>
      </c>
      <c r="H56">
        <v>1.26</v>
      </c>
      <c r="I56" t="s">
        <v>107</v>
      </c>
      <c r="J56" t="s">
        <v>484</v>
      </c>
      <c r="K56">
        <v>100.3</v>
      </c>
      <c r="L56" t="s">
        <v>152</v>
      </c>
    </row>
    <row r="57" spans="1:12" ht="15">
      <c r="A57" s="8" t="str">
        <f>HYPERLINK("http://www.analog.com/zh/ad9650#details", "AD9650-80")</f>
        <v>AD9650-80</v>
      </c>
      <c r="B57">
        <v>16</v>
      </c>
      <c r="C57">
        <v>80000000</v>
      </c>
      <c r="D57">
        <v>2</v>
      </c>
      <c r="E57">
        <v>3</v>
      </c>
      <c r="F57">
        <v>2.7</v>
      </c>
      <c r="G57">
        <v>83</v>
      </c>
      <c r="H57">
        <v>0.53300000000000003</v>
      </c>
      <c r="I57" t="s">
        <v>156</v>
      </c>
      <c r="J57" t="s">
        <v>116</v>
      </c>
      <c r="K57">
        <v>114.92</v>
      </c>
      <c r="L57" t="s">
        <v>158</v>
      </c>
    </row>
    <row r="58" spans="1:12" ht="15">
      <c r="A58" s="8" t="str">
        <f>HYPERLINK("http://www.analog.com/zh/ad9650#details", "AD9650-65")</f>
        <v>AD9650-65</v>
      </c>
      <c r="B58">
        <v>16</v>
      </c>
      <c r="C58">
        <v>65000000</v>
      </c>
      <c r="D58">
        <v>2</v>
      </c>
      <c r="E58">
        <v>3</v>
      </c>
      <c r="F58">
        <v>2.7</v>
      </c>
      <c r="G58">
        <v>83</v>
      </c>
      <c r="H58">
        <v>0.40500000000000003</v>
      </c>
      <c r="I58" t="s">
        <v>156</v>
      </c>
      <c r="J58" t="s">
        <v>116</v>
      </c>
      <c r="K58">
        <v>98.52</v>
      </c>
      <c r="L58" t="s">
        <v>158</v>
      </c>
    </row>
    <row r="59" spans="1:12" ht="15">
      <c r="A59" s="8" t="str">
        <f>HYPERLINK("http://www.analog.com/zh/ad9650#details", "AD9650-25")</f>
        <v>AD9650-25</v>
      </c>
      <c r="B59">
        <v>16</v>
      </c>
      <c r="C59">
        <v>25000000</v>
      </c>
      <c r="D59">
        <v>2</v>
      </c>
      <c r="E59">
        <v>3</v>
      </c>
      <c r="F59">
        <v>2.7</v>
      </c>
      <c r="G59">
        <v>83</v>
      </c>
      <c r="H59">
        <v>0.24</v>
      </c>
      <c r="I59" t="s">
        <v>156</v>
      </c>
      <c r="J59" t="s">
        <v>116</v>
      </c>
      <c r="K59">
        <v>53</v>
      </c>
      <c r="L59" t="s">
        <v>158</v>
      </c>
    </row>
    <row r="60" spans="1:12" ht="15">
      <c r="A60" s="8" t="str">
        <f>HYPERLINK("http://www.analog.com/zh/ad9650#details", "AD9650-105")</f>
        <v>AD9650-105</v>
      </c>
      <c r="B60">
        <v>16</v>
      </c>
      <c r="C60">
        <v>105000000</v>
      </c>
      <c r="D60">
        <v>2</v>
      </c>
      <c r="E60">
        <v>3</v>
      </c>
      <c r="F60">
        <v>2.7</v>
      </c>
      <c r="G60">
        <v>82.5</v>
      </c>
      <c r="H60">
        <v>0.66300000000000003</v>
      </c>
      <c r="I60" t="s">
        <v>156</v>
      </c>
      <c r="J60" t="s">
        <v>116</v>
      </c>
      <c r="K60">
        <v>135.15</v>
      </c>
      <c r="L60" t="s">
        <v>158</v>
      </c>
    </row>
    <row r="61" spans="1:12" ht="15">
      <c r="A61" s="8" t="str">
        <f>HYPERLINK("http://www.analog.com/zh/ad9644#details", "AD9644-80")</f>
        <v>AD9644-80</v>
      </c>
      <c r="B61">
        <v>14</v>
      </c>
      <c r="C61">
        <v>80000000</v>
      </c>
      <c r="D61" t="s">
        <v>8</v>
      </c>
      <c r="E61">
        <v>0.5</v>
      </c>
      <c r="F61">
        <v>1.75</v>
      </c>
      <c r="G61">
        <v>73.8</v>
      </c>
      <c r="H61">
        <v>0.42299999999999999</v>
      </c>
      <c r="I61" t="s">
        <v>31</v>
      </c>
      <c r="J61" t="s">
        <v>166</v>
      </c>
      <c r="K61">
        <v>41.65</v>
      </c>
      <c r="L61" t="s">
        <v>168</v>
      </c>
    </row>
    <row r="62" spans="1:12" ht="15">
      <c r="A62" s="8" t="str">
        <f>HYPERLINK("http://www.analog.com/zh/ad9644#details", "AD9644-155")</f>
        <v>AD9644-155</v>
      </c>
      <c r="B62">
        <v>14</v>
      </c>
      <c r="C62">
        <v>155000000</v>
      </c>
      <c r="D62" t="s">
        <v>8</v>
      </c>
      <c r="E62">
        <v>0.55000000000000004</v>
      </c>
      <c r="F62">
        <v>1.75</v>
      </c>
      <c r="G62">
        <v>71.900000000000006</v>
      </c>
      <c r="H62">
        <v>0.56699999999999995</v>
      </c>
      <c r="I62" t="s">
        <v>31</v>
      </c>
      <c r="J62" t="s">
        <v>166</v>
      </c>
      <c r="K62" t="s">
        <v>8</v>
      </c>
      <c r="L62" t="s">
        <v>168</v>
      </c>
    </row>
    <row r="63" spans="1:12" ht="15">
      <c r="A63" s="8" t="str">
        <f>HYPERLINK("http://www.analog.com/zh/ad9266#details", "AD9266-80")</f>
        <v>AD9266-80</v>
      </c>
      <c r="B63">
        <v>16</v>
      </c>
      <c r="C63">
        <v>80000000</v>
      </c>
      <c r="D63">
        <v>1</v>
      </c>
      <c r="E63">
        <v>3.5</v>
      </c>
      <c r="F63">
        <v>2</v>
      </c>
      <c r="G63">
        <v>77.599999999999994</v>
      </c>
      <c r="H63">
        <v>0.124</v>
      </c>
      <c r="I63" t="s">
        <v>107</v>
      </c>
      <c r="J63" t="s">
        <v>487</v>
      </c>
      <c r="K63">
        <v>48.33</v>
      </c>
      <c r="L63" t="s">
        <v>49</v>
      </c>
    </row>
    <row r="64" spans="1:12" ht="15">
      <c r="A64" s="8" t="str">
        <f>HYPERLINK("http://www.analog.com/zh/ad9266#details", "AD9266-65")</f>
        <v>AD9266-65</v>
      </c>
      <c r="B64">
        <v>16</v>
      </c>
      <c r="C64">
        <v>65000000</v>
      </c>
      <c r="D64">
        <v>1</v>
      </c>
      <c r="E64">
        <v>2.4</v>
      </c>
      <c r="F64">
        <v>2</v>
      </c>
      <c r="G64">
        <v>77.900000000000006</v>
      </c>
      <c r="H64">
        <v>0.107</v>
      </c>
      <c r="I64" t="s">
        <v>107</v>
      </c>
      <c r="J64" t="s">
        <v>487</v>
      </c>
      <c r="K64">
        <v>43.33</v>
      </c>
      <c r="L64" t="s">
        <v>49</v>
      </c>
    </row>
    <row r="65" spans="1:12" ht="15">
      <c r="A65" s="8" t="str">
        <f>HYPERLINK("http://www.analog.com/zh/ad9266#details", "AD9266-40")</f>
        <v>AD9266-40</v>
      </c>
      <c r="B65">
        <v>16</v>
      </c>
      <c r="C65">
        <v>40000000</v>
      </c>
      <c r="D65">
        <v>1</v>
      </c>
      <c r="E65">
        <v>1.8</v>
      </c>
      <c r="F65">
        <v>2</v>
      </c>
      <c r="G65">
        <v>76.400000000000006</v>
      </c>
      <c r="H65">
        <v>7.9000000000000001E-2</v>
      </c>
      <c r="I65" t="s">
        <v>107</v>
      </c>
      <c r="J65" t="s">
        <v>487</v>
      </c>
      <c r="K65">
        <v>35</v>
      </c>
      <c r="L65" t="s">
        <v>49</v>
      </c>
    </row>
    <row r="66" spans="1:12" ht="15">
      <c r="A66" s="8" t="str">
        <f>HYPERLINK("http://www.analog.com/zh/ad9266#details", "AD9266-20")</f>
        <v>AD9266-20</v>
      </c>
      <c r="B66">
        <v>16</v>
      </c>
      <c r="C66">
        <v>20000000</v>
      </c>
      <c r="D66">
        <v>1</v>
      </c>
      <c r="E66">
        <v>1.8</v>
      </c>
      <c r="F66">
        <v>2</v>
      </c>
      <c r="G66">
        <v>78.2</v>
      </c>
      <c r="H66">
        <v>0.06</v>
      </c>
      <c r="I66" t="s">
        <v>107</v>
      </c>
      <c r="J66" t="s">
        <v>487</v>
      </c>
      <c r="K66">
        <v>28</v>
      </c>
      <c r="L66" t="s">
        <v>49</v>
      </c>
    </row>
    <row r="67" spans="1:12" ht="15">
      <c r="A67" s="8" t="str">
        <f>HYPERLINK("http://www.analog.com/zh/ad9261#details", "AD9261-10")</f>
        <v>AD9261-10</v>
      </c>
      <c r="B67">
        <v>16</v>
      </c>
      <c r="C67">
        <v>160000000</v>
      </c>
      <c r="D67">
        <v>1</v>
      </c>
      <c r="E67">
        <v>1.5</v>
      </c>
      <c r="F67">
        <v>2</v>
      </c>
      <c r="G67" t="s">
        <v>8</v>
      </c>
      <c r="H67">
        <v>0.47299999999999998</v>
      </c>
      <c r="I67" t="s">
        <v>31</v>
      </c>
      <c r="J67" t="s">
        <v>183</v>
      </c>
      <c r="K67">
        <v>28</v>
      </c>
      <c r="L67" t="s">
        <v>184</v>
      </c>
    </row>
    <row r="68" spans="1:12" ht="15">
      <c r="A68" s="8" t="str">
        <f>HYPERLINK("http://www.analog.com/zh/ad9269#details", "AD9269-80")</f>
        <v>AD9269-80</v>
      </c>
      <c r="B68">
        <v>16</v>
      </c>
      <c r="C68">
        <v>80000000</v>
      </c>
      <c r="D68">
        <v>2</v>
      </c>
      <c r="E68">
        <v>3.3</v>
      </c>
      <c r="F68">
        <v>2</v>
      </c>
      <c r="G68" t="s">
        <v>8</v>
      </c>
      <c r="H68">
        <v>0.22459999999999999</v>
      </c>
      <c r="I68" t="s">
        <v>31</v>
      </c>
      <c r="J68" t="s">
        <v>116</v>
      </c>
      <c r="K68" t="s">
        <v>8</v>
      </c>
      <c r="L68" t="s">
        <v>91</v>
      </c>
    </row>
    <row r="69" spans="1:12" ht="15">
      <c r="A69" s="8" t="str">
        <f>HYPERLINK("http://www.analog.com/zh/ad9269#details", "AD9269-65")</f>
        <v>AD9269-65</v>
      </c>
      <c r="B69">
        <v>16</v>
      </c>
      <c r="C69">
        <v>65000000</v>
      </c>
      <c r="D69">
        <v>2</v>
      </c>
      <c r="E69">
        <v>2.2000000000000002</v>
      </c>
      <c r="F69">
        <v>2</v>
      </c>
      <c r="G69" t="s">
        <v>8</v>
      </c>
      <c r="H69">
        <v>0.19120000000000001</v>
      </c>
      <c r="I69" t="s">
        <v>31</v>
      </c>
      <c r="J69" t="s">
        <v>116</v>
      </c>
      <c r="K69" t="s">
        <v>8</v>
      </c>
      <c r="L69" t="s">
        <v>91</v>
      </c>
    </row>
    <row r="70" spans="1:12" ht="15">
      <c r="A70" s="8" t="str">
        <f>HYPERLINK("http://www.analog.com/zh/ad9269#details", "AD9269-40")</f>
        <v>AD9269-40</v>
      </c>
      <c r="B70">
        <v>16</v>
      </c>
      <c r="C70">
        <v>40000000</v>
      </c>
      <c r="D70">
        <v>2</v>
      </c>
      <c r="E70">
        <v>2</v>
      </c>
      <c r="F70">
        <v>2</v>
      </c>
      <c r="G70" t="s">
        <v>8</v>
      </c>
      <c r="H70">
        <v>0.1363</v>
      </c>
      <c r="I70" t="s">
        <v>31</v>
      </c>
      <c r="J70" t="s">
        <v>116</v>
      </c>
      <c r="K70">
        <v>59.5</v>
      </c>
      <c r="L70" t="s">
        <v>91</v>
      </c>
    </row>
    <row r="71" spans="1:12" ht="15">
      <c r="A71" s="8" t="str">
        <f>HYPERLINK("http://www.analog.com/zh/ad9269#details", "AD9269-20")</f>
        <v>AD9269-20</v>
      </c>
      <c r="B71">
        <v>16</v>
      </c>
      <c r="C71">
        <v>20000000</v>
      </c>
      <c r="D71">
        <v>2</v>
      </c>
      <c r="E71">
        <v>2</v>
      </c>
      <c r="F71">
        <v>2</v>
      </c>
      <c r="G71" t="s">
        <v>8</v>
      </c>
      <c r="H71">
        <v>9.69E-2</v>
      </c>
      <c r="I71" t="s">
        <v>31</v>
      </c>
      <c r="J71" t="s">
        <v>116</v>
      </c>
      <c r="K71">
        <v>49</v>
      </c>
      <c r="L71" t="s">
        <v>91</v>
      </c>
    </row>
    <row r="72" spans="1:12" ht="15">
      <c r="A72" s="8" t="str">
        <f>HYPERLINK("http://www.analog.com/zh/ad9262#details", "AD9262-5")</f>
        <v>AD9262-5</v>
      </c>
      <c r="B72">
        <v>16</v>
      </c>
      <c r="C72">
        <v>160000000</v>
      </c>
      <c r="D72" t="s">
        <v>8</v>
      </c>
      <c r="E72">
        <v>1.5</v>
      </c>
      <c r="F72" t="s">
        <v>8</v>
      </c>
      <c r="G72" t="s">
        <v>8</v>
      </c>
      <c r="H72">
        <v>0.63600000000000001</v>
      </c>
      <c r="I72" t="s">
        <v>31</v>
      </c>
      <c r="J72" t="s">
        <v>116</v>
      </c>
      <c r="K72">
        <v>37</v>
      </c>
      <c r="L72" t="s">
        <v>91</v>
      </c>
    </row>
    <row r="73" spans="1:12" ht="15">
      <c r="A73" s="8" t="str">
        <f>HYPERLINK("http://www.analog.com/zh/ad9262#details", "AD9262-10")</f>
        <v>AD9262-10</v>
      </c>
      <c r="B73">
        <v>16</v>
      </c>
      <c r="C73">
        <v>160000000</v>
      </c>
      <c r="D73">
        <v>2</v>
      </c>
      <c r="E73">
        <v>1.5</v>
      </c>
      <c r="F73">
        <v>2</v>
      </c>
      <c r="G73" t="s">
        <v>8</v>
      </c>
      <c r="H73">
        <v>0.68799999999999994</v>
      </c>
      <c r="I73" t="s">
        <v>31</v>
      </c>
      <c r="J73" t="s">
        <v>183</v>
      </c>
      <c r="K73">
        <v>48</v>
      </c>
      <c r="L73" t="s">
        <v>91</v>
      </c>
    </row>
    <row r="74" spans="1:12" ht="15">
      <c r="A74" s="8" t="str">
        <f>HYPERLINK("http://www.analog.com/zh/ad9262#details", "AD9262")</f>
        <v>AD9262</v>
      </c>
      <c r="B74">
        <v>16</v>
      </c>
      <c r="C74">
        <v>160000000</v>
      </c>
      <c r="D74">
        <v>2</v>
      </c>
      <c r="E74">
        <v>1.5</v>
      </c>
      <c r="F74">
        <v>2</v>
      </c>
      <c r="G74" t="s">
        <v>8</v>
      </c>
      <c r="H74">
        <v>0.57799999999999996</v>
      </c>
      <c r="I74" t="s">
        <v>31</v>
      </c>
      <c r="J74" t="s">
        <v>116</v>
      </c>
      <c r="K74">
        <v>30</v>
      </c>
      <c r="L74" t="s">
        <v>91</v>
      </c>
    </row>
    <row r="75" spans="1:12" ht="15">
      <c r="A75" s="8" t="str">
        <f>HYPERLINK("http://www.analog.com/zh/ad9649#details", "AD9649-80")</f>
        <v>AD9649-80</v>
      </c>
      <c r="B75">
        <v>14</v>
      </c>
      <c r="C75">
        <v>80000000</v>
      </c>
      <c r="D75">
        <v>1</v>
      </c>
      <c r="E75">
        <v>0.6</v>
      </c>
      <c r="F75">
        <v>2</v>
      </c>
      <c r="G75">
        <v>74.3</v>
      </c>
      <c r="H75">
        <v>9.4700000000000006E-2</v>
      </c>
      <c r="I75" t="s">
        <v>31</v>
      </c>
      <c r="J75" t="s">
        <v>116</v>
      </c>
      <c r="K75">
        <v>25.75</v>
      </c>
      <c r="L75" t="s">
        <v>199</v>
      </c>
    </row>
    <row r="76" spans="1:12" ht="15">
      <c r="A76" s="8" t="str">
        <f>HYPERLINK("http://www.analog.com/zh/ad9649#details", "AD9649-65")</f>
        <v>AD9649-65</v>
      </c>
      <c r="B76">
        <v>14</v>
      </c>
      <c r="C76">
        <v>65000000</v>
      </c>
      <c r="D76">
        <v>1</v>
      </c>
      <c r="E76">
        <v>0.5</v>
      </c>
      <c r="F76">
        <v>2</v>
      </c>
      <c r="G76">
        <v>74.5</v>
      </c>
      <c r="H76">
        <v>8.2299999999999998E-2</v>
      </c>
      <c r="I76" t="s">
        <v>31</v>
      </c>
      <c r="J76" t="s">
        <v>116</v>
      </c>
      <c r="K76">
        <v>24.05</v>
      </c>
      <c r="L76" t="s">
        <v>199</v>
      </c>
    </row>
    <row r="77" spans="1:12" ht="15">
      <c r="A77" s="8" t="str">
        <f>HYPERLINK("http://www.analog.com/zh/ad9649#details", "AD9649-40")</f>
        <v>AD9649-40</v>
      </c>
      <c r="B77">
        <v>14</v>
      </c>
      <c r="C77">
        <v>40000000</v>
      </c>
      <c r="D77">
        <v>1</v>
      </c>
      <c r="E77">
        <v>0.5</v>
      </c>
      <c r="F77">
        <v>2</v>
      </c>
      <c r="G77">
        <v>74.7</v>
      </c>
      <c r="H77">
        <v>6.1600000000000002E-2</v>
      </c>
      <c r="I77" t="s">
        <v>31</v>
      </c>
      <c r="J77" t="s">
        <v>116</v>
      </c>
      <c r="K77">
        <v>15.58</v>
      </c>
      <c r="L77" t="s">
        <v>199</v>
      </c>
    </row>
    <row r="78" spans="1:12" ht="15">
      <c r="A78" s="8" t="str">
        <f>HYPERLINK("http://www.analog.com/zh/ad9649#details", "AD9649-20")</f>
        <v>AD9649-20</v>
      </c>
      <c r="B78">
        <v>14</v>
      </c>
      <c r="C78">
        <v>20000000</v>
      </c>
      <c r="D78">
        <v>1</v>
      </c>
      <c r="E78">
        <v>0.5</v>
      </c>
      <c r="F78">
        <v>2</v>
      </c>
      <c r="G78">
        <v>74.7</v>
      </c>
      <c r="H78">
        <v>4.7899999999999998E-2</v>
      </c>
      <c r="I78" t="s">
        <v>31</v>
      </c>
      <c r="J78" t="s">
        <v>116</v>
      </c>
      <c r="K78">
        <v>12.36</v>
      </c>
      <c r="L78" t="s">
        <v>199</v>
      </c>
    </row>
    <row r="79" spans="1:12" ht="15">
      <c r="A79" s="8" t="str">
        <f>HYPERLINK("http://www.analog.com/zh/ad9629#details", "AD9629-80")</f>
        <v>AD9629-80</v>
      </c>
      <c r="B79">
        <v>12</v>
      </c>
      <c r="C79">
        <v>80000000</v>
      </c>
      <c r="D79">
        <v>1</v>
      </c>
      <c r="E79">
        <v>0.16</v>
      </c>
      <c r="F79">
        <v>2</v>
      </c>
      <c r="G79">
        <v>71.3</v>
      </c>
      <c r="H79">
        <v>9.2999999999999999E-2</v>
      </c>
      <c r="I79" t="s">
        <v>31</v>
      </c>
      <c r="J79" t="s">
        <v>116</v>
      </c>
      <c r="K79">
        <v>17.2</v>
      </c>
      <c r="L79" t="s">
        <v>199</v>
      </c>
    </row>
    <row r="80" spans="1:12" ht="15">
      <c r="A80" s="8" t="str">
        <f>HYPERLINK("http://www.analog.com/zh/ad9629#details", "AD9629-65")</f>
        <v>AD9629-65</v>
      </c>
      <c r="B80">
        <v>12</v>
      </c>
      <c r="C80">
        <v>65000000</v>
      </c>
      <c r="D80">
        <v>1</v>
      </c>
      <c r="E80">
        <v>0.13</v>
      </c>
      <c r="F80">
        <v>2</v>
      </c>
      <c r="G80">
        <v>71.3</v>
      </c>
      <c r="H80">
        <v>8.1699999999999995E-2</v>
      </c>
      <c r="I80" t="s">
        <v>31</v>
      </c>
      <c r="J80" t="s">
        <v>116</v>
      </c>
      <c r="K80">
        <v>12.44</v>
      </c>
      <c r="L80" t="s">
        <v>199</v>
      </c>
    </row>
    <row r="81" spans="1:12" ht="15">
      <c r="A81" s="8" t="str">
        <f>HYPERLINK("http://www.analog.com/zh/ad9629#details", "AD9629-40")</f>
        <v>AD9629-40</v>
      </c>
      <c r="B81">
        <v>12</v>
      </c>
      <c r="C81">
        <v>40000000</v>
      </c>
      <c r="D81">
        <v>1</v>
      </c>
      <c r="E81">
        <v>0.11</v>
      </c>
      <c r="F81">
        <v>2</v>
      </c>
      <c r="G81">
        <v>71.400000000000006</v>
      </c>
      <c r="H81">
        <v>6.0499999999999998E-2</v>
      </c>
      <c r="I81" t="s">
        <v>31</v>
      </c>
      <c r="J81" t="s">
        <v>116</v>
      </c>
      <c r="K81">
        <v>7.06</v>
      </c>
      <c r="L81" t="s">
        <v>199</v>
      </c>
    </row>
    <row r="82" spans="1:12" ht="15">
      <c r="A82" s="8" t="str">
        <f>HYPERLINK("http://www.analog.com/zh/ad9629#details", "AD9629-20")</f>
        <v>AD9629-20</v>
      </c>
      <c r="B82">
        <v>12</v>
      </c>
      <c r="C82">
        <v>20000000</v>
      </c>
      <c r="D82">
        <v>1</v>
      </c>
      <c r="E82">
        <v>0.11</v>
      </c>
      <c r="F82">
        <v>2</v>
      </c>
      <c r="G82">
        <v>71.400000000000006</v>
      </c>
      <c r="H82">
        <v>4.7500000000000001E-2</v>
      </c>
      <c r="I82" t="s">
        <v>31</v>
      </c>
      <c r="J82" t="s">
        <v>116</v>
      </c>
      <c r="K82">
        <v>5.41</v>
      </c>
      <c r="L82" t="s">
        <v>199</v>
      </c>
    </row>
    <row r="83" spans="1:12" ht="15">
      <c r="A83" s="8" t="str">
        <f>HYPERLINK("http://www.analog.com/zh/ad9609#details", "AD9609-80")</f>
        <v>AD9609-80</v>
      </c>
      <c r="B83">
        <v>10</v>
      </c>
      <c r="C83">
        <v>80000000</v>
      </c>
      <c r="D83">
        <v>1</v>
      </c>
      <c r="E83">
        <v>0.15</v>
      </c>
      <c r="F83">
        <v>2</v>
      </c>
      <c r="G83">
        <v>61.5</v>
      </c>
      <c r="H83">
        <v>8.3000000000000004E-2</v>
      </c>
      <c r="I83" t="s">
        <v>31</v>
      </c>
      <c r="J83" t="s">
        <v>116</v>
      </c>
      <c r="K83">
        <v>4.6399999999999997</v>
      </c>
      <c r="L83" t="s">
        <v>199</v>
      </c>
    </row>
    <row r="84" spans="1:12" ht="15">
      <c r="A84" s="8" t="str">
        <f>HYPERLINK("http://www.analog.com/zh/ad9609#details", "AD9609-65")</f>
        <v>AD9609-65</v>
      </c>
      <c r="B84">
        <v>10</v>
      </c>
      <c r="C84">
        <v>65000000</v>
      </c>
      <c r="D84">
        <v>1</v>
      </c>
      <c r="E84">
        <v>0.15</v>
      </c>
      <c r="F84">
        <v>2</v>
      </c>
      <c r="G84">
        <v>61.5</v>
      </c>
      <c r="H84">
        <v>7.3300000000000004E-2</v>
      </c>
      <c r="I84" t="s">
        <v>31</v>
      </c>
      <c r="J84" t="s">
        <v>116</v>
      </c>
      <c r="K84">
        <v>4.3</v>
      </c>
      <c r="L84" t="s">
        <v>199</v>
      </c>
    </row>
    <row r="85" spans="1:12" ht="15">
      <c r="A85" s="8" t="str">
        <f>HYPERLINK("http://www.analog.com/zh/ad9609#details", "AD9609-40")</f>
        <v>AD9609-40</v>
      </c>
      <c r="B85">
        <v>10</v>
      </c>
      <c r="C85">
        <v>40000000</v>
      </c>
      <c r="D85">
        <v>1</v>
      </c>
      <c r="E85">
        <v>0.15</v>
      </c>
      <c r="F85">
        <v>2</v>
      </c>
      <c r="G85">
        <v>61.7</v>
      </c>
      <c r="H85">
        <v>5.74E-2</v>
      </c>
      <c r="I85" t="s">
        <v>31</v>
      </c>
      <c r="J85" t="s">
        <v>116</v>
      </c>
      <c r="K85">
        <v>3.86</v>
      </c>
      <c r="L85" t="s">
        <v>199</v>
      </c>
    </row>
    <row r="86" spans="1:12" ht="15">
      <c r="A86" s="8" t="str">
        <f>HYPERLINK("http://www.analog.com/zh/ad9609#details", "AD9609-20")</f>
        <v>AD9609-20</v>
      </c>
      <c r="B86">
        <v>10</v>
      </c>
      <c r="C86">
        <v>20000000</v>
      </c>
      <c r="D86">
        <v>1</v>
      </c>
      <c r="E86">
        <v>0.15</v>
      </c>
      <c r="F86">
        <v>2</v>
      </c>
      <c r="G86">
        <v>61.7</v>
      </c>
      <c r="H86">
        <v>4.6300000000000001E-2</v>
      </c>
      <c r="I86" t="s">
        <v>31</v>
      </c>
      <c r="J86" t="s">
        <v>116</v>
      </c>
      <c r="K86">
        <v>3.61</v>
      </c>
      <c r="L86" t="s">
        <v>199</v>
      </c>
    </row>
    <row r="87" spans="1:12" ht="15">
      <c r="A87" s="8" t="str">
        <f>HYPERLINK("http://www.analog.com/zh/ad9265#details", "AD9265-80")</f>
        <v>AD9265-80</v>
      </c>
      <c r="B87">
        <v>16</v>
      </c>
      <c r="C87">
        <v>80000000</v>
      </c>
      <c r="D87">
        <v>1</v>
      </c>
      <c r="E87">
        <v>1.5</v>
      </c>
      <c r="F87">
        <v>2</v>
      </c>
      <c r="G87" t="s">
        <v>8</v>
      </c>
      <c r="H87">
        <v>0.254</v>
      </c>
      <c r="I87" t="s">
        <v>31</v>
      </c>
      <c r="J87" t="s">
        <v>116</v>
      </c>
      <c r="K87">
        <v>49.78</v>
      </c>
      <c r="L87" t="s">
        <v>168</v>
      </c>
    </row>
    <row r="88" spans="1:12" ht="15">
      <c r="A88" s="8" t="str">
        <f>HYPERLINK("http://www.analog.com/zh/ad9265#details", "AD9265-125")</f>
        <v>AD9265-125</v>
      </c>
      <c r="B88">
        <v>16</v>
      </c>
      <c r="C88">
        <v>80000000</v>
      </c>
      <c r="D88">
        <v>1</v>
      </c>
      <c r="E88">
        <v>3</v>
      </c>
      <c r="F88">
        <v>2</v>
      </c>
      <c r="G88" t="s">
        <v>8</v>
      </c>
      <c r="H88">
        <v>0.39400000000000002</v>
      </c>
      <c r="I88" t="s">
        <v>31</v>
      </c>
      <c r="J88" t="s">
        <v>116</v>
      </c>
      <c r="K88">
        <v>66.95</v>
      </c>
      <c r="L88" t="s">
        <v>168</v>
      </c>
    </row>
    <row r="89" spans="1:12" ht="15">
      <c r="A89" s="8" t="str">
        <f>HYPERLINK("http://www.analog.com/zh/ad9265#details", "AD9265-105")</f>
        <v>AD9265-105</v>
      </c>
      <c r="B89">
        <v>16</v>
      </c>
      <c r="C89">
        <v>80000000</v>
      </c>
      <c r="D89">
        <v>1</v>
      </c>
      <c r="E89">
        <v>2</v>
      </c>
      <c r="F89">
        <v>2</v>
      </c>
      <c r="G89" t="s">
        <v>8</v>
      </c>
      <c r="H89">
        <v>0.34100000000000003</v>
      </c>
      <c r="I89" t="s">
        <v>31</v>
      </c>
      <c r="J89" t="s">
        <v>116</v>
      </c>
      <c r="K89">
        <v>58.37</v>
      </c>
      <c r="L89" t="s">
        <v>168</v>
      </c>
    </row>
    <row r="90" spans="1:12" ht="15">
      <c r="A90" s="8" t="str">
        <f>HYPERLINK("http://www.analog.com/zh/ad9255#details", "AD9255-80")</f>
        <v>AD9255-80</v>
      </c>
      <c r="B90">
        <v>14</v>
      </c>
      <c r="C90">
        <v>80000000</v>
      </c>
      <c r="D90">
        <v>1</v>
      </c>
      <c r="E90">
        <v>0.35</v>
      </c>
      <c r="F90">
        <v>2</v>
      </c>
      <c r="G90" t="s">
        <v>8</v>
      </c>
      <c r="H90">
        <v>0.252</v>
      </c>
      <c r="I90" t="s">
        <v>31</v>
      </c>
      <c r="J90" t="s">
        <v>116</v>
      </c>
      <c r="K90">
        <v>33.99</v>
      </c>
      <c r="L90" t="s">
        <v>168</v>
      </c>
    </row>
    <row r="91" spans="1:12" ht="15">
      <c r="A91" s="8" t="str">
        <f>HYPERLINK("http://www.analog.com/zh/ad9255#details", "AD9255-125")</f>
        <v>AD9255-125</v>
      </c>
      <c r="B91">
        <v>14</v>
      </c>
      <c r="C91">
        <v>125000000</v>
      </c>
      <c r="D91">
        <v>1</v>
      </c>
      <c r="E91">
        <v>0.7</v>
      </c>
      <c r="F91">
        <v>2</v>
      </c>
      <c r="G91" t="s">
        <v>8</v>
      </c>
      <c r="H91">
        <v>0.39100000000000001</v>
      </c>
      <c r="I91" t="s">
        <v>31</v>
      </c>
      <c r="J91" t="s">
        <v>116</v>
      </c>
      <c r="K91">
        <v>61.73</v>
      </c>
      <c r="L91" t="s">
        <v>168</v>
      </c>
    </row>
    <row r="92" spans="1:12" ht="15">
      <c r="A92" s="8" t="str">
        <f>HYPERLINK("http://www.analog.com/zh/ad9255#details", "AD9255-105")</f>
        <v>AD9255-105</v>
      </c>
      <c r="B92">
        <v>14</v>
      </c>
      <c r="C92">
        <v>105000000</v>
      </c>
      <c r="D92">
        <v>1</v>
      </c>
      <c r="E92">
        <v>0.45</v>
      </c>
      <c r="F92">
        <v>2</v>
      </c>
      <c r="G92" t="s">
        <v>8</v>
      </c>
      <c r="H92">
        <v>0.33800000000000002</v>
      </c>
      <c r="I92" t="s">
        <v>31</v>
      </c>
      <c r="J92" t="s">
        <v>116</v>
      </c>
      <c r="K92">
        <v>46.35</v>
      </c>
      <c r="L92" t="s">
        <v>168</v>
      </c>
    </row>
    <row r="93" spans="1:12" ht="15">
      <c r="A93" s="8" t="str">
        <f>HYPERLINK("http://www.analog.com/zh/ad9231#details", "AD9231-65")</f>
        <v>AD9231-65</v>
      </c>
      <c r="B93">
        <v>12</v>
      </c>
      <c r="C93">
        <v>65000000</v>
      </c>
      <c r="D93">
        <v>2</v>
      </c>
      <c r="E93">
        <v>0.17</v>
      </c>
      <c r="F93">
        <v>2</v>
      </c>
      <c r="G93" t="s">
        <v>8</v>
      </c>
      <c r="H93">
        <v>0.13800000000000001</v>
      </c>
      <c r="I93" t="s">
        <v>31</v>
      </c>
      <c r="J93" t="s">
        <v>116</v>
      </c>
      <c r="K93">
        <v>18.54</v>
      </c>
      <c r="L93" t="s">
        <v>91</v>
      </c>
    </row>
    <row r="94" spans="1:12" ht="15">
      <c r="A94" s="8" t="str">
        <f>HYPERLINK("http://www.analog.com/zh/ad9231#details", "AD9231-40")</f>
        <v>AD9231-40</v>
      </c>
      <c r="B94">
        <v>12</v>
      </c>
      <c r="C94">
        <v>40000000</v>
      </c>
      <c r="D94">
        <v>2</v>
      </c>
      <c r="E94">
        <v>0.15</v>
      </c>
      <c r="F94">
        <v>2</v>
      </c>
      <c r="G94" t="s">
        <v>8</v>
      </c>
      <c r="H94">
        <v>9.7500000000000003E-2</v>
      </c>
      <c r="I94" t="s">
        <v>31</v>
      </c>
      <c r="J94" t="s">
        <v>116</v>
      </c>
      <c r="K94">
        <v>12.36</v>
      </c>
      <c r="L94" t="s">
        <v>91</v>
      </c>
    </row>
    <row r="95" spans="1:12" ht="15">
      <c r="A95" s="8" t="str">
        <f>HYPERLINK("http://www.analog.com/zh/ad9231#details", "AD9231-20")</f>
        <v>AD9231-20</v>
      </c>
      <c r="B95">
        <v>12</v>
      </c>
      <c r="C95">
        <v>20000000</v>
      </c>
      <c r="D95">
        <v>2</v>
      </c>
      <c r="E95">
        <v>0.15</v>
      </c>
      <c r="F95">
        <v>2</v>
      </c>
      <c r="G95" t="s">
        <v>8</v>
      </c>
      <c r="H95">
        <v>7.0000000000000007E-2</v>
      </c>
      <c r="I95" t="s">
        <v>31</v>
      </c>
      <c r="J95" t="s">
        <v>116</v>
      </c>
      <c r="K95">
        <v>10.3</v>
      </c>
      <c r="L95" t="s">
        <v>91</v>
      </c>
    </row>
    <row r="96" spans="1:12" ht="15">
      <c r="A96" s="8" t="str">
        <f>HYPERLINK("http://www.analog.com/zh/ad7626#details", "AD7626")</f>
        <v>AD7626</v>
      </c>
      <c r="B96">
        <v>16</v>
      </c>
      <c r="C96">
        <v>10000000</v>
      </c>
      <c r="D96">
        <v>1</v>
      </c>
      <c r="E96">
        <v>0.45</v>
      </c>
      <c r="F96">
        <v>8.1920000000000002</v>
      </c>
      <c r="G96" t="s">
        <v>8</v>
      </c>
      <c r="H96">
        <v>0.15</v>
      </c>
      <c r="I96" t="s">
        <v>31</v>
      </c>
      <c r="J96" t="s">
        <v>58</v>
      </c>
      <c r="K96">
        <v>32.4</v>
      </c>
      <c r="L96" t="s">
        <v>242</v>
      </c>
    </row>
    <row r="97" spans="1:12" ht="15">
      <c r="A97" s="8" t="str">
        <f>HYPERLINK("http://www.analog.com/zh/ad9267#details", "AD9267")</f>
        <v>AD9267</v>
      </c>
      <c r="B97">
        <v>16</v>
      </c>
      <c r="C97">
        <v>640000000</v>
      </c>
      <c r="D97">
        <v>2</v>
      </c>
      <c r="E97">
        <v>1.5</v>
      </c>
      <c r="F97">
        <v>2</v>
      </c>
      <c r="G97" t="s">
        <v>8</v>
      </c>
      <c r="H97">
        <v>0.503</v>
      </c>
      <c r="I97" t="s">
        <v>31</v>
      </c>
      <c r="J97" t="s">
        <v>183</v>
      </c>
      <c r="K97">
        <v>42.02</v>
      </c>
      <c r="L97" t="s">
        <v>91</v>
      </c>
    </row>
    <row r="98" spans="1:12" ht="15">
      <c r="A98" s="8" t="str">
        <f>HYPERLINK("http://www.analog.com/zh/ad9251#details", "AD9251-80")</f>
        <v>AD9251-80</v>
      </c>
      <c r="B98">
        <v>14</v>
      </c>
      <c r="C98">
        <v>80000000</v>
      </c>
      <c r="D98">
        <v>2</v>
      </c>
      <c r="E98">
        <v>1</v>
      </c>
      <c r="F98">
        <v>2</v>
      </c>
      <c r="G98" t="s">
        <v>8</v>
      </c>
      <c r="H98">
        <v>0.23200000000000001</v>
      </c>
      <c r="I98" t="s">
        <v>31</v>
      </c>
      <c r="J98" t="s">
        <v>116</v>
      </c>
      <c r="K98">
        <v>38.630000000000003</v>
      </c>
      <c r="L98" t="s">
        <v>91</v>
      </c>
    </row>
    <row r="99" spans="1:12" ht="15">
      <c r="A99" s="8" t="str">
        <f>HYPERLINK("http://www.analog.com/zh/ad9251#details", "AD9251-65")</f>
        <v>AD9251-65</v>
      </c>
      <c r="B99">
        <v>14</v>
      </c>
      <c r="C99">
        <v>65000000</v>
      </c>
      <c r="D99" t="s">
        <v>8</v>
      </c>
      <c r="E99">
        <v>0.6</v>
      </c>
      <c r="F99" t="s">
        <v>8</v>
      </c>
      <c r="G99" t="s">
        <v>8</v>
      </c>
      <c r="H99">
        <v>0.14649999999999999</v>
      </c>
      <c r="I99" t="s">
        <v>31</v>
      </c>
      <c r="J99" t="s">
        <v>116</v>
      </c>
      <c r="K99">
        <v>36.049999999999997</v>
      </c>
      <c r="L99" t="s">
        <v>91</v>
      </c>
    </row>
    <row r="100" spans="1:12" ht="15">
      <c r="A100" s="8" t="str">
        <f>HYPERLINK("http://www.analog.com/zh/ad9251#details", "AD9251-40")</f>
        <v>AD9251-40</v>
      </c>
      <c r="B100">
        <v>14</v>
      </c>
      <c r="C100">
        <v>40000000</v>
      </c>
      <c r="D100" t="s">
        <v>8</v>
      </c>
      <c r="E100">
        <v>0.6</v>
      </c>
      <c r="F100" t="s">
        <v>8</v>
      </c>
      <c r="G100" t="s">
        <v>8</v>
      </c>
      <c r="H100">
        <v>0.1055</v>
      </c>
      <c r="I100" t="s">
        <v>31</v>
      </c>
      <c r="J100" t="s">
        <v>116</v>
      </c>
      <c r="K100">
        <v>24.61</v>
      </c>
      <c r="L100" t="s">
        <v>91</v>
      </c>
    </row>
    <row r="101" spans="1:12" ht="15">
      <c r="A101" s="8" t="str">
        <f>HYPERLINK("http://www.analog.com/zh/ad9251#details", "AD9251-20")</f>
        <v>AD9251-20</v>
      </c>
      <c r="B101">
        <v>14</v>
      </c>
      <c r="C101">
        <v>20000000</v>
      </c>
      <c r="D101">
        <v>2</v>
      </c>
      <c r="E101">
        <v>0.6</v>
      </c>
      <c r="F101">
        <v>2</v>
      </c>
      <c r="G101" t="s">
        <v>8</v>
      </c>
      <c r="H101">
        <v>9.5000000000000001E-2</v>
      </c>
      <c r="I101" t="s">
        <v>31</v>
      </c>
      <c r="J101" t="s">
        <v>116</v>
      </c>
      <c r="K101">
        <v>19.059999999999999</v>
      </c>
      <c r="L101" t="s">
        <v>91</v>
      </c>
    </row>
    <row r="102" spans="1:12" ht="15">
      <c r="A102" s="8" t="str">
        <f>HYPERLINK("http://www.analog.com/zh/ad9204#details", "AD9204-80")</f>
        <v>AD9204-80</v>
      </c>
      <c r="B102">
        <v>10</v>
      </c>
      <c r="C102">
        <v>80000000</v>
      </c>
      <c r="D102" t="s">
        <v>8</v>
      </c>
      <c r="E102">
        <v>0.25</v>
      </c>
      <c r="F102" t="s">
        <v>8</v>
      </c>
      <c r="G102" t="s">
        <v>8</v>
      </c>
      <c r="H102">
        <v>0.17699999999999999</v>
      </c>
      <c r="I102" t="s">
        <v>31</v>
      </c>
      <c r="J102" t="s">
        <v>116</v>
      </c>
      <c r="K102" t="s">
        <v>8</v>
      </c>
      <c r="L102" t="s">
        <v>91</v>
      </c>
    </row>
    <row r="103" spans="1:12" ht="15">
      <c r="A103" s="8" t="str">
        <f>HYPERLINK("http://www.analog.com/zh/ad9204#details", "AD9204-65")</f>
        <v>AD9204-65</v>
      </c>
      <c r="B103">
        <v>10</v>
      </c>
      <c r="C103">
        <v>65000000</v>
      </c>
      <c r="D103" t="s">
        <v>8</v>
      </c>
      <c r="E103">
        <v>0.25</v>
      </c>
      <c r="F103" t="s">
        <v>8</v>
      </c>
      <c r="G103" t="s">
        <v>8</v>
      </c>
      <c r="H103">
        <v>0.15079999999999999</v>
      </c>
      <c r="I103" t="s">
        <v>31</v>
      </c>
      <c r="J103" t="s">
        <v>116</v>
      </c>
      <c r="K103">
        <v>7.73</v>
      </c>
      <c r="L103" t="s">
        <v>91</v>
      </c>
    </row>
    <row r="104" spans="1:12" ht="15">
      <c r="A104" s="8" t="str">
        <f>HYPERLINK("http://www.analog.com/zh/ad9204#details", "AD9204-40")</f>
        <v>AD9204-40</v>
      </c>
      <c r="B104">
        <v>10</v>
      </c>
      <c r="C104">
        <v>40000000</v>
      </c>
      <c r="D104" t="s">
        <v>8</v>
      </c>
      <c r="E104">
        <v>0.15</v>
      </c>
      <c r="F104" t="s">
        <v>8</v>
      </c>
      <c r="G104" t="s">
        <v>8</v>
      </c>
      <c r="H104">
        <v>0.111</v>
      </c>
      <c r="I104" t="s">
        <v>31</v>
      </c>
      <c r="J104" t="s">
        <v>116</v>
      </c>
      <c r="K104">
        <v>7.42</v>
      </c>
      <c r="L104" t="s">
        <v>91</v>
      </c>
    </row>
    <row r="105" spans="1:12" ht="15">
      <c r="A105" s="8" t="str">
        <f>HYPERLINK("http://www.analog.com/zh/ad9204#details", "AD9204-20")</f>
        <v>AD9204-20</v>
      </c>
      <c r="B105">
        <v>10</v>
      </c>
      <c r="C105">
        <v>20000000</v>
      </c>
      <c r="D105" t="s">
        <v>8</v>
      </c>
      <c r="E105">
        <v>0.15</v>
      </c>
      <c r="F105" t="s">
        <v>8</v>
      </c>
      <c r="G105" t="s">
        <v>8</v>
      </c>
      <c r="H105">
        <v>7.6700000000000004E-2</v>
      </c>
      <c r="I105" t="s">
        <v>31</v>
      </c>
      <c r="J105" t="s">
        <v>116</v>
      </c>
      <c r="K105">
        <v>5.15</v>
      </c>
      <c r="L105" t="s">
        <v>91</v>
      </c>
    </row>
    <row r="106" spans="1:12" ht="15">
      <c r="A106" s="8" t="str">
        <f>HYPERLINK("http://www.analog.com/zh/ad9268#details", "AD9268-80")</f>
        <v>AD9268-80</v>
      </c>
      <c r="B106">
        <v>16</v>
      </c>
      <c r="C106">
        <v>80000000</v>
      </c>
      <c r="D106">
        <v>2</v>
      </c>
      <c r="E106">
        <v>2</v>
      </c>
      <c r="F106">
        <v>2</v>
      </c>
      <c r="G106" t="s">
        <v>8</v>
      </c>
      <c r="H106">
        <v>0.42499999999999999</v>
      </c>
      <c r="I106" t="s">
        <v>31</v>
      </c>
      <c r="J106" t="s">
        <v>116</v>
      </c>
      <c r="K106">
        <v>104.03</v>
      </c>
      <c r="L106" t="s">
        <v>263</v>
      </c>
    </row>
    <row r="107" spans="1:12" ht="15">
      <c r="A107" s="8" t="str">
        <f>HYPERLINK("http://www.analog.com/zh/ad9268#details", "AD9268-125")</f>
        <v>AD9268-125</v>
      </c>
      <c r="B107">
        <v>16</v>
      </c>
      <c r="C107">
        <v>125000000</v>
      </c>
      <c r="D107">
        <v>2</v>
      </c>
      <c r="E107">
        <v>3</v>
      </c>
      <c r="F107">
        <v>2</v>
      </c>
      <c r="G107" t="s">
        <v>8</v>
      </c>
      <c r="H107">
        <v>0.78800000000000003</v>
      </c>
      <c r="I107" t="s">
        <v>31</v>
      </c>
      <c r="J107" t="s">
        <v>116</v>
      </c>
      <c r="K107">
        <v>140.08000000000001</v>
      </c>
      <c r="L107" t="s">
        <v>263</v>
      </c>
    </row>
    <row r="108" spans="1:12" ht="15">
      <c r="A108" s="8" t="str">
        <f>HYPERLINK("http://www.analog.com/zh/ad9268#details", "AD9268-105")</f>
        <v>AD9268-105</v>
      </c>
      <c r="B108">
        <v>16</v>
      </c>
      <c r="C108">
        <v>105000000</v>
      </c>
      <c r="D108" t="s">
        <v>8</v>
      </c>
      <c r="E108">
        <v>3</v>
      </c>
      <c r="F108" t="s">
        <v>8</v>
      </c>
      <c r="G108" t="s">
        <v>8</v>
      </c>
      <c r="H108">
        <v>0.68500000000000005</v>
      </c>
      <c r="I108" t="s">
        <v>31</v>
      </c>
      <c r="J108" t="s">
        <v>116</v>
      </c>
      <c r="K108">
        <v>122.57</v>
      </c>
      <c r="L108" t="s">
        <v>263</v>
      </c>
    </row>
    <row r="109" spans="1:12" ht="15">
      <c r="A109" s="8" t="str">
        <f>HYPERLINK("http://www.analog.com/zh/ad9258#details", "AD9258-80")</f>
        <v>AD9258-80</v>
      </c>
      <c r="B109">
        <v>14</v>
      </c>
      <c r="C109">
        <v>80000000</v>
      </c>
      <c r="D109">
        <v>2</v>
      </c>
      <c r="E109">
        <v>0.55000000000000004</v>
      </c>
      <c r="F109">
        <v>2</v>
      </c>
      <c r="G109" t="s">
        <v>8</v>
      </c>
      <c r="H109">
        <v>0.42499999999999999</v>
      </c>
      <c r="I109" t="s">
        <v>31</v>
      </c>
      <c r="J109" t="s">
        <v>116</v>
      </c>
      <c r="K109">
        <v>56.91</v>
      </c>
      <c r="L109" t="s">
        <v>263</v>
      </c>
    </row>
    <row r="110" spans="1:12" ht="15">
      <c r="A110" s="8" t="str">
        <f>HYPERLINK("http://www.analog.com/zh/ad9258#details", "AD9258-125")</f>
        <v>AD9258-125</v>
      </c>
      <c r="B110">
        <v>14</v>
      </c>
      <c r="C110">
        <v>125000000</v>
      </c>
      <c r="D110">
        <v>2</v>
      </c>
      <c r="E110">
        <v>0.8</v>
      </c>
      <c r="F110">
        <v>2</v>
      </c>
      <c r="G110" t="s">
        <v>8</v>
      </c>
      <c r="H110">
        <v>0.78800000000000003</v>
      </c>
      <c r="I110" t="s">
        <v>31</v>
      </c>
      <c r="J110" t="s">
        <v>116</v>
      </c>
      <c r="K110">
        <v>96.31</v>
      </c>
      <c r="L110" t="s">
        <v>263</v>
      </c>
    </row>
    <row r="111" spans="1:12" ht="15">
      <c r="A111" s="8" t="str">
        <f>HYPERLINK("http://www.analog.com/zh/ad9258#details", "AD9258-105")</f>
        <v>AD9258-105</v>
      </c>
      <c r="B111">
        <v>14</v>
      </c>
      <c r="C111">
        <v>105000000</v>
      </c>
      <c r="D111" t="s">
        <v>8</v>
      </c>
      <c r="E111">
        <v>0.7</v>
      </c>
      <c r="F111" t="s">
        <v>8</v>
      </c>
      <c r="G111" t="s">
        <v>8</v>
      </c>
      <c r="H111">
        <v>0.59</v>
      </c>
      <c r="I111" t="s">
        <v>31</v>
      </c>
      <c r="J111" t="s">
        <v>116</v>
      </c>
      <c r="K111">
        <v>78.8</v>
      </c>
      <c r="L111" t="s">
        <v>263</v>
      </c>
    </row>
    <row r="112" spans="1:12" ht="15">
      <c r="A112" s="8" t="str">
        <f>HYPERLINK("http://www.analog.com/zh/ad9239#details", "AD9239-250")</f>
        <v>AD9239-250</v>
      </c>
      <c r="B112">
        <v>12</v>
      </c>
      <c r="C112">
        <v>250000000</v>
      </c>
      <c r="D112">
        <v>4</v>
      </c>
      <c r="E112">
        <v>0.7</v>
      </c>
      <c r="F112">
        <v>1.25</v>
      </c>
      <c r="G112" t="s">
        <v>8</v>
      </c>
      <c r="H112">
        <v>1.6339999999999999</v>
      </c>
      <c r="I112" t="s">
        <v>31</v>
      </c>
      <c r="J112" t="s">
        <v>183</v>
      </c>
      <c r="K112">
        <v>174.22</v>
      </c>
      <c r="L112" t="s">
        <v>272</v>
      </c>
    </row>
    <row r="113" spans="1:12" ht="15">
      <c r="A113" s="8" t="str">
        <f>HYPERLINK("http://www.analog.com/zh/ad9239#details", "AD9239-210")</f>
        <v>AD9239-210</v>
      </c>
      <c r="B113">
        <v>12</v>
      </c>
      <c r="C113">
        <v>210000000</v>
      </c>
      <c r="D113" t="s">
        <v>8</v>
      </c>
      <c r="E113">
        <v>0.7</v>
      </c>
      <c r="F113" t="s">
        <v>8</v>
      </c>
      <c r="G113" t="s">
        <v>8</v>
      </c>
      <c r="H113">
        <v>1.298</v>
      </c>
      <c r="I113" t="s">
        <v>31</v>
      </c>
      <c r="J113" t="s">
        <v>183</v>
      </c>
      <c r="K113">
        <v>125.2</v>
      </c>
      <c r="L113" t="s">
        <v>272</v>
      </c>
    </row>
    <row r="114" spans="1:12" ht="15">
      <c r="A114" s="8" t="str">
        <f>HYPERLINK("http://www.analog.com/zh/ad9239#details", "AD9239-170")</f>
        <v>AD9239-170</v>
      </c>
      <c r="B114">
        <v>12</v>
      </c>
      <c r="C114">
        <v>170000000</v>
      </c>
      <c r="D114">
        <v>4</v>
      </c>
      <c r="E114">
        <v>0.45</v>
      </c>
      <c r="F114">
        <v>1.25</v>
      </c>
      <c r="G114" t="s">
        <v>8</v>
      </c>
      <c r="H114">
        <v>1.6339999999999999</v>
      </c>
      <c r="I114" t="s">
        <v>31</v>
      </c>
      <c r="J114" t="s">
        <v>183</v>
      </c>
      <c r="K114">
        <v>104.18</v>
      </c>
      <c r="L114" t="s">
        <v>272</v>
      </c>
    </row>
    <row r="115" spans="1:12" ht="15">
      <c r="A115" s="8" t="str">
        <f>HYPERLINK("http://www.analog.com/zh/ad9230-11#details", "AD9230-11")</f>
        <v>AD9230-11</v>
      </c>
      <c r="B115">
        <v>11</v>
      </c>
      <c r="C115">
        <v>200000000</v>
      </c>
      <c r="D115">
        <v>1</v>
      </c>
      <c r="E115">
        <v>0.5</v>
      </c>
      <c r="F115">
        <v>1.5</v>
      </c>
      <c r="G115" t="s">
        <v>8</v>
      </c>
      <c r="H115">
        <v>0.4</v>
      </c>
      <c r="I115" t="s">
        <v>31</v>
      </c>
      <c r="J115" t="s">
        <v>488</v>
      </c>
      <c r="K115">
        <v>37.520000000000003</v>
      </c>
      <c r="L115" t="s">
        <v>278</v>
      </c>
    </row>
    <row r="116" spans="1:12" ht="15">
      <c r="A116" s="8" t="str">
        <f>HYPERLINK("http://www.analog.com/zh/ad9627#details", "AD9627-80")</f>
        <v>AD9627-80</v>
      </c>
      <c r="B116">
        <v>12</v>
      </c>
      <c r="C116">
        <v>80000000</v>
      </c>
      <c r="D116">
        <v>2</v>
      </c>
      <c r="E116">
        <v>0.4</v>
      </c>
      <c r="F116">
        <v>2</v>
      </c>
      <c r="G116" t="s">
        <v>8</v>
      </c>
      <c r="H116">
        <v>0.49</v>
      </c>
      <c r="I116" t="s">
        <v>31</v>
      </c>
      <c r="J116" t="s">
        <v>116</v>
      </c>
      <c r="K116" t="s">
        <v>8</v>
      </c>
      <c r="L116" t="s">
        <v>263</v>
      </c>
    </row>
    <row r="117" spans="1:12" ht="15">
      <c r="A117" s="8" t="str">
        <f>HYPERLINK("http://www.analog.com/zh/ad9627#details", "AD9627-150")</f>
        <v>AD9627-150</v>
      </c>
      <c r="B117">
        <v>12</v>
      </c>
      <c r="C117">
        <v>150000000</v>
      </c>
      <c r="D117">
        <v>2</v>
      </c>
      <c r="E117">
        <v>0.5</v>
      </c>
      <c r="F117">
        <v>2</v>
      </c>
      <c r="G117" t="s">
        <v>8</v>
      </c>
      <c r="H117">
        <v>0.89</v>
      </c>
      <c r="I117" t="s">
        <v>31</v>
      </c>
      <c r="J117" t="s">
        <v>116</v>
      </c>
      <c r="K117">
        <v>50.01</v>
      </c>
      <c r="L117" t="s">
        <v>263</v>
      </c>
    </row>
    <row r="118" spans="1:12" ht="15">
      <c r="A118" s="8" t="str">
        <f>HYPERLINK("http://www.analog.com/zh/ad9627#details", "AD9627-125")</f>
        <v>AD9627-125</v>
      </c>
      <c r="B118">
        <v>12</v>
      </c>
      <c r="C118">
        <v>125000000</v>
      </c>
      <c r="D118" t="s">
        <v>8</v>
      </c>
      <c r="E118">
        <v>0.4</v>
      </c>
      <c r="F118" t="s">
        <v>8</v>
      </c>
      <c r="G118" t="s">
        <v>8</v>
      </c>
      <c r="H118">
        <v>0.89</v>
      </c>
      <c r="I118" t="s">
        <v>31</v>
      </c>
      <c r="J118" t="s">
        <v>116</v>
      </c>
      <c r="K118">
        <v>43</v>
      </c>
      <c r="L118" t="s">
        <v>263</v>
      </c>
    </row>
    <row r="119" spans="1:12" ht="15">
      <c r="A119" s="8" t="str">
        <f>HYPERLINK("http://www.analog.com/zh/ad9627#details", "AD9627-105")</f>
        <v>AD9627-105</v>
      </c>
      <c r="B119">
        <v>11</v>
      </c>
      <c r="C119">
        <v>105000000</v>
      </c>
      <c r="D119">
        <v>2</v>
      </c>
      <c r="E119">
        <v>0.4</v>
      </c>
      <c r="F119">
        <v>2</v>
      </c>
      <c r="G119" t="s">
        <v>8</v>
      </c>
      <c r="H119">
        <v>0.65</v>
      </c>
      <c r="I119" t="s">
        <v>31</v>
      </c>
      <c r="J119" t="s">
        <v>116</v>
      </c>
      <c r="K119">
        <v>35.96</v>
      </c>
      <c r="L119" t="s">
        <v>263</v>
      </c>
    </row>
    <row r="120" spans="1:12" ht="15">
      <c r="A120" s="8" t="str">
        <f>HYPERLINK("http://www.analog.com/zh/ad9626#details", "AD9626-250")</f>
        <v>AD9626-250</v>
      </c>
      <c r="B120">
        <v>12</v>
      </c>
      <c r="C120">
        <v>250000000</v>
      </c>
      <c r="D120">
        <v>1</v>
      </c>
      <c r="E120">
        <v>0.7</v>
      </c>
      <c r="F120">
        <v>1.5</v>
      </c>
      <c r="G120" t="s">
        <v>8</v>
      </c>
      <c r="H120">
        <v>0.39</v>
      </c>
      <c r="I120" t="s">
        <v>31</v>
      </c>
      <c r="J120" t="s">
        <v>116</v>
      </c>
      <c r="K120">
        <v>61.24</v>
      </c>
      <c r="L120" t="s">
        <v>278</v>
      </c>
    </row>
    <row r="121" spans="1:12" ht="15">
      <c r="A121" s="8" t="str">
        <f>HYPERLINK("http://www.analog.com/zh/ad9626#details", "AD9626-210")</f>
        <v>AD9626-210</v>
      </c>
      <c r="B121">
        <v>12</v>
      </c>
      <c r="C121">
        <v>210000000</v>
      </c>
      <c r="D121" t="s">
        <v>8</v>
      </c>
      <c r="E121">
        <v>0.6</v>
      </c>
      <c r="F121" t="s">
        <v>8</v>
      </c>
      <c r="G121" t="s">
        <v>8</v>
      </c>
      <c r="H121">
        <v>0.31</v>
      </c>
      <c r="I121" t="s">
        <v>31</v>
      </c>
      <c r="J121" t="s">
        <v>116</v>
      </c>
      <c r="K121">
        <v>43.26</v>
      </c>
      <c r="L121" t="s">
        <v>278</v>
      </c>
    </row>
    <row r="122" spans="1:12" ht="15">
      <c r="A122" s="8" t="str">
        <f>HYPERLINK("http://www.analog.com/zh/ad9626#details", "AD9626-170")</f>
        <v>AD9626-170</v>
      </c>
      <c r="B122">
        <v>12</v>
      </c>
      <c r="C122">
        <v>170000000</v>
      </c>
      <c r="D122">
        <v>1</v>
      </c>
      <c r="E122">
        <v>0.7</v>
      </c>
      <c r="F122">
        <v>1.5</v>
      </c>
      <c r="G122" t="s">
        <v>8</v>
      </c>
      <c r="H122">
        <v>0.29099999999999998</v>
      </c>
      <c r="I122" t="s">
        <v>31</v>
      </c>
      <c r="J122" t="s">
        <v>116</v>
      </c>
      <c r="K122">
        <v>35.96</v>
      </c>
      <c r="L122" t="s">
        <v>278</v>
      </c>
    </row>
    <row r="123" spans="1:12" ht="15">
      <c r="A123" s="8" t="str">
        <f>HYPERLINK("http://www.analog.com/zh/ad9601#details", "AD9601-200")</f>
        <v>AD9601-200</v>
      </c>
      <c r="B123">
        <v>10</v>
      </c>
      <c r="C123">
        <v>200000000</v>
      </c>
      <c r="D123">
        <v>1</v>
      </c>
      <c r="E123">
        <v>0.2</v>
      </c>
      <c r="F123">
        <v>1.5</v>
      </c>
      <c r="G123" t="s">
        <v>8</v>
      </c>
      <c r="H123">
        <v>0.34399999999999997</v>
      </c>
      <c r="I123" t="s">
        <v>31</v>
      </c>
      <c r="J123" t="s">
        <v>116</v>
      </c>
      <c r="K123">
        <v>33.35</v>
      </c>
      <c r="L123" t="s">
        <v>278</v>
      </c>
    </row>
    <row r="124" spans="1:12" ht="15">
      <c r="A124" s="8" t="str">
        <f>HYPERLINK("http://www.analog.com/zh/ad9600#details", "AD9600-150")</f>
        <v>AD9600-150</v>
      </c>
      <c r="B124">
        <v>10</v>
      </c>
      <c r="C124">
        <v>150000000</v>
      </c>
      <c r="D124">
        <v>2</v>
      </c>
      <c r="E124">
        <v>0.1</v>
      </c>
      <c r="F124">
        <v>2</v>
      </c>
      <c r="G124" t="s">
        <v>8</v>
      </c>
      <c r="H124">
        <v>0.89</v>
      </c>
      <c r="I124" t="s">
        <v>31</v>
      </c>
      <c r="J124" t="s">
        <v>116</v>
      </c>
      <c r="K124">
        <v>38.99</v>
      </c>
      <c r="L124" t="s">
        <v>263</v>
      </c>
    </row>
    <row r="125" spans="1:12" ht="15">
      <c r="A125" s="8" t="str">
        <f>HYPERLINK("http://www.analog.com/zh/ad9600#details", "AD9600-125")</f>
        <v>AD9600-125</v>
      </c>
      <c r="B125">
        <v>10</v>
      </c>
      <c r="C125">
        <v>125000000</v>
      </c>
      <c r="D125" t="s">
        <v>8</v>
      </c>
      <c r="E125">
        <v>0.1</v>
      </c>
      <c r="F125" t="s">
        <v>8</v>
      </c>
      <c r="G125" t="s">
        <v>8</v>
      </c>
      <c r="H125">
        <v>0.74</v>
      </c>
      <c r="I125" t="s">
        <v>31</v>
      </c>
      <c r="J125" t="s">
        <v>484</v>
      </c>
      <c r="K125">
        <v>20.8</v>
      </c>
      <c r="L125" t="s">
        <v>263</v>
      </c>
    </row>
    <row r="126" spans="1:12" ht="15">
      <c r="A126" s="8" t="str">
        <f>HYPERLINK("http://www.analog.com/zh/ad9600#details", "AD9600-105")</f>
        <v>AD9600-105</v>
      </c>
      <c r="B126">
        <v>10</v>
      </c>
      <c r="C126">
        <v>105000000</v>
      </c>
      <c r="D126">
        <v>2</v>
      </c>
      <c r="E126">
        <v>0.1</v>
      </c>
      <c r="F126">
        <v>2</v>
      </c>
      <c r="G126" t="s">
        <v>8</v>
      </c>
      <c r="H126">
        <v>0.89</v>
      </c>
      <c r="I126" t="s">
        <v>31</v>
      </c>
      <c r="J126" t="s">
        <v>116</v>
      </c>
      <c r="K126">
        <v>11.74</v>
      </c>
      <c r="L126" t="s">
        <v>263</v>
      </c>
    </row>
    <row r="127" spans="1:12" ht="15">
      <c r="A127" s="8" t="str">
        <f>HYPERLINK("http://www.analog.com/zh/ad9640#details", "AD9640-80")</f>
        <v>AD9640-80</v>
      </c>
      <c r="B127">
        <v>14</v>
      </c>
      <c r="C127">
        <v>80000000</v>
      </c>
      <c r="D127">
        <v>2</v>
      </c>
      <c r="E127">
        <v>2</v>
      </c>
      <c r="F127">
        <v>2</v>
      </c>
      <c r="G127" t="s">
        <v>8</v>
      </c>
      <c r="H127">
        <v>0.49199999999999999</v>
      </c>
      <c r="I127" t="s">
        <v>31</v>
      </c>
      <c r="J127" t="s">
        <v>116</v>
      </c>
      <c r="K127">
        <v>39.090000000000003</v>
      </c>
      <c r="L127" t="s">
        <v>299</v>
      </c>
    </row>
    <row r="128" spans="1:12" ht="15">
      <c r="A128" s="8" t="str">
        <f>HYPERLINK("http://www.analog.com/zh/ad9640#details", "AD9640-150")</f>
        <v>AD9640-150</v>
      </c>
      <c r="B128">
        <v>14</v>
      </c>
      <c r="C128">
        <v>150000000</v>
      </c>
      <c r="D128">
        <v>2</v>
      </c>
      <c r="E128">
        <v>2</v>
      </c>
      <c r="F128">
        <v>2</v>
      </c>
      <c r="G128" t="s">
        <v>8</v>
      </c>
      <c r="H128">
        <v>0.93799999999999994</v>
      </c>
      <c r="I128" t="s">
        <v>31</v>
      </c>
      <c r="J128" t="s">
        <v>116</v>
      </c>
      <c r="K128">
        <v>101.63</v>
      </c>
      <c r="L128" t="s">
        <v>299</v>
      </c>
    </row>
    <row r="129" spans="1:12" ht="15">
      <c r="A129" s="8" t="str">
        <f>HYPERLINK("http://www.analog.com/zh/ad9640#details", "AD9640-125")</f>
        <v>AD9640-125</v>
      </c>
      <c r="B129">
        <v>14</v>
      </c>
      <c r="C129">
        <v>125000000</v>
      </c>
      <c r="D129" t="s">
        <v>8</v>
      </c>
      <c r="E129">
        <v>2</v>
      </c>
      <c r="F129" t="s">
        <v>8</v>
      </c>
      <c r="G129" t="s">
        <v>8</v>
      </c>
      <c r="H129">
        <v>0.91</v>
      </c>
      <c r="I129" t="s">
        <v>31</v>
      </c>
      <c r="J129" t="s">
        <v>116</v>
      </c>
      <c r="K129">
        <v>76.61</v>
      </c>
      <c r="L129" t="s">
        <v>299</v>
      </c>
    </row>
    <row r="130" spans="1:12" ht="15">
      <c r="A130" s="8" t="str">
        <f>HYPERLINK("http://www.analog.com/zh/ad9640#details", "AD9640-105")</f>
        <v>AD9640-105</v>
      </c>
      <c r="B130">
        <v>14</v>
      </c>
      <c r="C130">
        <v>105000000</v>
      </c>
      <c r="D130" t="s">
        <v>8</v>
      </c>
      <c r="E130">
        <v>2</v>
      </c>
      <c r="F130" t="s">
        <v>8</v>
      </c>
      <c r="G130" t="s">
        <v>8</v>
      </c>
      <c r="H130">
        <v>0.73</v>
      </c>
      <c r="I130" t="s">
        <v>31</v>
      </c>
      <c r="J130" t="s">
        <v>116</v>
      </c>
      <c r="K130">
        <v>64.11</v>
      </c>
      <c r="L130" t="s">
        <v>299</v>
      </c>
    </row>
    <row r="131" spans="1:12" ht="15">
      <c r="A131" s="8" t="str">
        <f>HYPERLINK("http://www.analog.com/zh/ad9211#details", "AD9211-300")</f>
        <v>AD9211-300</v>
      </c>
      <c r="B131">
        <v>10</v>
      </c>
      <c r="C131">
        <v>300000000</v>
      </c>
      <c r="D131">
        <v>1</v>
      </c>
      <c r="E131">
        <v>0.2</v>
      </c>
      <c r="F131">
        <v>1.25</v>
      </c>
      <c r="G131" t="s">
        <v>8</v>
      </c>
      <c r="H131">
        <v>0.46800000000000003</v>
      </c>
      <c r="I131" t="s">
        <v>31</v>
      </c>
      <c r="J131" t="s">
        <v>484</v>
      </c>
      <c r="K131">
        <v>47.95</v>
      </c>
      <c r="L131" t="s">
        <v>278</v>
      </c>
    </row>
    <row r="132" spans="1:12" ht="15">
      <c r="A132" s="8" t="str">
        <f>HYPERLINK("http://www.analog.com/zh/ad9211#details", "AD9211-250")</f>
        <v>AD9211-250</v>
      </c>
      <c r="B132">
        <v>10</v>
      </c>
      <c r="C132">
        <v>250000000</v>
      </c>
      <c r="D132" t="s">
        <v>8</v>
      </c>
      <c r="E132">
        <v>0.2</v>
      </c>
      <c r="F132" t="s">
        <v>8</v>
      </c>
      <c r="G132" t="s">
        <v>8</v>
      </c>
      <c r="H132">
        <v>0.35299999999999998</v>
      </c>
      <c r="I132" t="s">
        <v>31</v>
      </c>
      <c r="J132" t="s">
        <v>484</v>
      </c>
      <c r="K132">
        <v>40.65</v>
      </c>
      <c r="L132" t="s">
        <v>278</v>
      </c>
    </row>
    <row r="133" spans="1:12" ht="15">
      <c r="A133" s="8" t="str">
        <f>HYPERLINK("http://www.analog.com/zh/ad9211#details", "AD9211-200")</f>
        <v>AD9211-200</v>
      </c>
      <c r="B133">
        <v>10</v>
      </c>
      <c r="C133">
        <v>200000000</v>
      </c>
      <c r="D133">
        <v>1</v>
      </c>
      <c r="E133">
        <v>0.2</v>
      </c>
      <c r="F133">
        <v>1.25</v>
      </c>
      <c r="G133" t="s">
        <v>8</v>
      </c>
      <c r="H133">
        <v>0.35599999999999998</v>
      </c>
      <c r="I133" t="s">
        <v>31</v>
      </c>
      <c r="J133" t="s">
        <v>484</v>
      </c>
      <c r="K133">
        <v>33.35</v>
      </c>
      <c r="L133" t="s">
        <v>278</v>
      </c>
    </row>
    <row r="134" spans="1:12" ht="15">
      <c r="A134" s="8" t="str">
        <f>HYPERLINK("http://www.analog.com/zh/ad9230#details", "AD9230-250")</f>
        <v>AD9230-250</v>
      </c>
      <c r="B134">
        <v>12</v>
      </c>
      <c r="C134">
        <v>250000000</v>
      </c>
      <c r="D134">
        <v>1</v>
      </c>
      <c r="E134">
        <v>0.5</v>
      </c>
      <c r="F134">
        <v>1.5</v>
      </c>
      <c r="G134" t="s">
        <v>8</v>
      </c>
      <c r="H134">
        <v>0.46300000000000002</v>
      </c>
      <c r="I134" t="s">
        <v>31</v>
      </c>
      <c r="J134" t="s">
        <v>488</v>
      </c>
      <c r="K134">
        <v>61.5</v>
      </c>
      <c r="L134" t="s">
        <v>278</v>
      </c>
    </row>
    <row r="135" spans="1:12" ht="15">
      <c r="A135" s="8" t="str">
        <f>HYPERLINK("http://www.analog.com/zh/ad9230#details", "AD9230-210")</f>
        <v>AD9230-210</v>
      </c>
      <c r="B135">
        <v>12</v>
      </c>
      <c r="C135">
        <v>210000000</v>
      </c>
      <c r="D135" t="s">
        <v>8</v>
      </c>
      <c r="E135">
        <v>0.4</v>
      </c>
      <c r="F135" t="s">
        <v>8</v>
      </c>
      <c r="G135" t="s">
        <v>8</v>
      </c>
      <c r="H135">
        <v>0.38300000000000001</v>
      </c>
      <c r="I135" t="s">
        <v>31</v>
      </c>
      <c r="J135" t="s">
        <v>484</v>
      </c>
      <c r="K135">
        <v>43.78</v>
      </c>
      <c r="L135" t="s">
        <v>278</v>
      </c>
    </row>
    <row r="136" spans="1:12" ht="15">
      <c r="A136" s="8" t="str">
        <f>HYPERLINK("http://www.analog.com/zh/ad9230#details", "AD9230-170")</f>
        <v>AD9230-170</v>
      </c>
      <c r="B136">
        <v>12</v>
      </c>
      <c r="C136">
        <v>170000000</v>
      </c>
      <c r="D136">
        <v>1</v>
      </c>
      <c r="E136">
        <v>0.5</v>
      </c>
      <c r="F136">
        <v>1.25</v>
      </c>
      <c r="G136" t="s">
        <v>8</v>
      </c>
      <c r="H136">
        <v>0.40699999999999997</v>
      </c>
      <c r="I136" t="s">
        <v>31</v>
      </c>
      <c r="J136" t="s">
        <v>488</v>
      </c>
      <c r="K136">
        <v>36.479999999999997</v>
      </c>
      <c r="L136" t="s">
        <v>278</v>
      </c>
    </row>
    <row r="137" spans="1:12" ht="15">
      <c r="A137" s="8" t="str">
        <f>HYPERLINK("http://www.analog.com/zh/ad9254#details", "AD9254")</f>
        <v>AD9254</v>
      </c>
      <c r="B137">
        <v>14</v>
      </c>
      <c r="C137">
        <v>150000000</v>
      </c>
      <c r="D137">
        <v>1</v>
      </c>
      <c r="E137">
        <v>1.5</v>
      </c>
      <c r="F137">
        <v>2</v>
      </c>
      <c r="G137" t="s">
        <v>8</v>
      </c>
      <c r="H137">
        <v>0.47</v>
      </c>
      <c r="I137" t="s">
        <v>31</v>
      </c>
      <c r="J137" t="s">
        <v>116</v>
      </c>
      <c r="K137">
        <v>57.33</v>
      </c>
      <c r="L137" t="s">
        <v>320</v>
      </c>
    </row>
    <row r="138" spans="1:12" ht="15">
      <c r="A138" s="8" t="str">
        <f>HYPERLINK("http://www.analog.com/zh/ad9252#details", "AD9252")</f>
        <v>AD9252</v>
      </c>
      <c r="B138">
        <v>14</v>
      </c>
      <c r="C138">
        <v>50000000</v>
      </c>
      <c r="D138">
        <v>8</v>
      </c>
      <c r="E138">
        <v>1.5</v>
      </c>
      <c r="F138">
        <v>2</v>
      </c>
      <c r="G138" t="s">
        <v>8</v>
      </c>
      <c r="H138">
        <v>0.77300000000000002</v>
      </c>
      <c r="I138" t="s">
        <v>31</v>
      </c>
      <c r="J138" t="s">
        <v>485</v>
      </c>
      <c r="K138">
        <v>56.29</v>
      </c>
      <c r="L138" t="s">
        <v>263</v>
      </c>
    </row>
    <row r="139" spans="1:12" ht="15">
      <c r="A139" s="8" t="str">
        <f>HYPERLINK("http://www.analog.com/zh/ad9222#details", "AD9222-65")</f>
        <v>AD9222-65</v>
      </c>
      <c r="B139">
        <v>12</v>
      </c>
      <c r="C139">
        <v>65000000</v>
      </c>
      <c r="D139">
        <v>8</v>
      </c>
      <c r="E139">
        <v>0.4</v>
      </c>
      <c r="F139">
        <v>2</v>
      </c>
      <c r="G139" t="s">
        <v>8</v>
      </c>
      <c r="H139">
        <v>0.95</v>
      </c>
      <c r="I139" t="s">
        <v>31</v>
      </c>
      <c r="J139" t="s">
        <v>485</v>
      </c>
      <c r="K139">
        <v>57.18</v>
      </c>
      <c r="L139" t="s">
        <v>263</v>
      </c>
    </row>
    <row r="140" spans="1:12" ht="15">
      <c r="A140" s="8" t="str">
        <f>HYPERLINK("http://www.analog.com/zh/ad9222#details", "AD9222-50")</f>
        <v>AD9222-50</v>
      </c>
      <c r="B140">
        <v>12</v>
      </c>
      <c r="C140">
        <v>50000000</v>
      </c>
      <c r="D140" t="s">
        <v>8</v>
      </c>
      <c r="E140">
        <v>0.4</v>
      </c>
      <c r="F140" t="s">
        <v>8</v>
      </c>
      <c r="G140" t="s">
        <v>8</v>
      </c>
      <c r="H140">
        <v>0.74</v>
      </c>
      <c r="I140" t="s">
        <v>31</v>
      </c>
      <c r="J140" t="s">
        <v>485</v>
      </c>
      <c r="K140">
        <v>50.04</v>
      </c>
      <c r="L140" t="s">
        <v>263</v>
      </c>
    </row>
    <row r="141" spans="1:12" ht="15">
      <c r="A141" s="8" t="str">
        <f>HYPERLINK("http://www.analog.com/zh/ad9222#details", "AD9222-40")</f>
        <v>AD9222-40</v>
      </c>
      <c r="B141">
        <v>12</v>
      </c>
      <c r="C141">
        <v>40000000</v>
      </c>
      <c r="D141">
        <v>8</v>
      </c>
      <c r="E141">
        <v>0.4</v>
      </c>
      <c r="F141">
        <v>2</v>
      </c>
      <c r="G141" t="s">
        <v>8</v>
      </c>
      <c r="H141">
        <v>0.72199999999999998</v>
      </c>
      <c r="I141" t="s">
        <v>31</v>
      </c>
      <c r="J141" t="s">
        <v>485</v>
      </c>
      <c r="K141">
        <v>41.69</v>
      </c>
      <c r="L141" t="s">
        <v>263</v>
      </c>
    </row>
    <row r="142" spans="1:12" ht="15">
      <c r="A142" s="8" t="str">
        <f>HYPERLINK("http://www.analog.com/zh/ad9212#details", "AD9212-65")</f>
        <v>AD9212-65</v>
      </c>
      <c r="B142">
        <v>10</v>
      </c>
      <c r="C142">
        <v>65000000</v>
      </c>
      <c r="D142">
        <v>8</v>
      </c>
      <c r="E142">
        <v>0.4</v>
      </c>
      <c r="F142">
        <v>2</v>
      </c>
      <c r="G142" t="s">
        <v>8</v>
      </c>
      <c r="H142">
        <v>0.83299999999999996</v>
      </c>
      <c r="I142" t="s">
        <v>31</v>
      </c>
      <c r="J142" t="s">
        <v>485</v>
      </c>
      <c r="K142">
        <v>33.35</v>
      </c>
      <c r="L142" t="s">
        <v>263</v>
      </c>
    </row>
    <row r="143" spans="1:12" ht="15">
      <c r="A143" s="8" t="str">
        <f>HYPERLINK("http://www.analog.com/zh/ad9212#details", "AD9212-40")</f>
        <v>AD9212-40</v>
      </c>
      <c r="B143">
        <v>10</v>
      </c>
      <c r="C143">
        <v>40000000</v>
      </c>
      <c r="D143">
        <v>8</v>
      </c>
      <c r="E143">
        <v>0.15</v>
      </c>
      <c r="F143">
        <v>2</v>
      </c>
      <c r="G143" t="s">
        <v>8</v>
      </c>
      <c r="H143">
        <v>0.56000000000000005</v>
      </c>
      <c r="I143" t="s">
        <v>31</v>
      </c>
      <c r="J143" t="s">
        <v>485</v>
      </c>
      <c r="K143">
        <v>29.19</v>
      </c>
      <c r="L143" t="s">
        <v>263</v>
      </c>
    </row>
    <row r="144" spans="1:12" ht="15">
      <c r="A144" s="8" t="str">
        <f>HYPERLINK("http://www.analog.com/zh/ad9460#details", "AD9460-80")</f>
        <v>AD9460-80</v>
      </c>
      <c r="B144">
        <v>16</v>
      </c>
      <c r="C144">
        <v>80000000</v>
      </c>
      <c r="D144">
        <v>1</v>
      </c>
      <c r="E144">
        <v>3</v>
      </c>
      <c r="F144">
        <v>4</v>
      </c>
      <c r="G144" t="s">
        <v>8</v>
      </c>
      <c r="H144">
        <v>1.8</v>
      </c>
      <c r="I144" t="s">
        <v>31</v>
      </c>
      <c r="J144" t="s">
        <v>116</v>
      </c>
      <c r="K144">
        <v>50.38</v>
      </c>
      <c r="L144" t="s">
        <v>333</v>
      </c>
    </row>
    <row r="145" spans="1:12" ht="15">
      <c r="A145" s="8" t="str">
        <f>HYPERLINK("http://www.analog.com/zh/ad9460#details", "AD9460-105")</f>
        <v>AD9460-105</v>
      </c>
      <c r="B145">
        <v>16</v>
      </c>
      <c r="C145">
        <v>105000000</v>
      </c>
      <c r="D145">
        <v>1</v>
      </c>
      <c r="E145">
        <v>3</v>
      </c>
      <c r="F145">
        <v>4</v>
      </c>
      <c r="G145" t="s">
        <v>8</v>
      </c>
      <c r="H145">
        <v>2.2000000000000002</v>
      </c>
      <c r="I145" t="s">
        <v>31</v>
      </c>
      <c r="J145" t="s">
        <v>116</v>
      </c>
      <c r="K145">
        <v>59.07</v>
      </c>
      <c r="L145" t="s">
        <v>333</v>
      </c>
    </row>
    <row r="146" spans="1:12" ht="15">
      <c r="A146" s="8" t="str">
        <f>HYPERLINK("http://www.analog.com/zh/ad9287#details", "AD9287")</f>
        <v>AD9287</v>
      </c>
      <c r="B146">
        <v>8</v>
      </c>
      <c r="C146">
        <v>100000000</v>
      </c>
      <c r="D146">
        <v>4</v>
      </c>
      <c r="E146">
        <v>0.2</v>
      </c>
      <c r="F146">
        <v>2</v>
      </c>
      <c r="G146" t="s">
        <v>8</v>
      </c>
      <c r="H146">
        <v>0.56200000000000006</v>
      </c>
      <c r="I146" t="s">
        <v>31</v>
      </c>
      <c r="J146" t="s">
        <v>183</v>
      </c>
      <c r="K146">
        <v>14.6</v>
      </c>
      <c r="L146" t="s">
        <v>168</v>
      </c>
    </row>
    <row r="147" spans="1:12" ht="15">
      <c r="A147" s="8" t="str">
        <f>HYPERLINK("http://www.analog.com/zh/ad9259#details", "AD9259")</f>
        <v>AD9259</v>
      </c>
      <c r="B147">
        <v>14</v>
      </c>
      <c r="C147">
        <v>50000000</v>
      </c>
      <c r="D147">
        <v>4</v>
      </c>
      <c r="E147">
        <v>1.5</v>
      </c>
      <c r="F147">
        <v>2</v>
      </c>
      <c r="G147" t="s">
        <v>8</v>
      </c>
      <c r="H147">
        <v>0.40899999999999997</v>
      </c>
      <c r="I147" t="s">
        <v>31</v>
      </c>
      <c r="J147" t="s">
        <v>183</v>
      </c>
      <c r="K147">
        <v>46.91</v>
      </c>
      <c r="L147" t="s">
        <v>168</v>
      </c>
    </row>
    <row r="148" spans="1:12" ht="15">
      <c r="A148" s="8" t="str">
        <f>HYPERLINK("http://www.analog.com/zh/ad9461#details", "AD9461")</f>
        <v>AD9461</v>
      </c>
      <c r="B148">
        <v>16</v>
      </c>
      <c r="C148">
        <v>130000000</v>
      </c>
      <c r="D148">
        <v>1</v>
      </c>
      <c r="E148">
        <v>5</v>
      </c>
      <c r="F148">
        <v>4</v>
      </c>
      <c r="G148" t="s">
        <v>8</v>
      </c>
      <c r="H148">
        <v>2.4</v>
      </c>
      <c r="I148" t="s">
        <v>31</v>
      </c>
      <c r="J148" t="s">
        <v>116</v>
      </c>
      <c r="K148">
        <v>67.75</v>
      </c>
      <c r="L148" t="s">
        <v>333</v>
      </c>
    </row>
    <row r="149" spans="1:12" ht="15">
      <c r="A149" s="8" t="str">
        <f>HYPERLINK("http://www.analog.com/zh/ad9246#details", "AD9246-80")</f>
        <v>AD9246-80</v>
      </c>
      <c r="B149">
        <v>14</v>
      </c>
      <c r="C149">
        <v>80000000</v>
      </c>
      <c r="D149" t="s">
        <v>8</v>
      </c>
      <c r="E149">
        <v>1.5</v>
      </c>
      <c r="F149" t="s">
        <v>8</v>
      </c>
      <c r="G149" t="s">
        <v>8</v>
      </c>
      <c r="H149">
        <v>0.27900000000000003</v>
      </c>
      <c r="I149" t="s">
        <v>31</v>
      </c>
      <c r="J149" t="s">
        <v>116</v>
      </c>
      <c r="K149">
        <v>26.06</v>
      </c>
      <c r="L149" t="s">
        <v>320</v>
      </c>
    </row>
    <row r="150" spans="1:12" ht="15">
      <c r="A150" s="8" t="str">
        <f>HYPERLINK("http://www.analog.com/zh/ad9246#details", "AD9246-125")</f>
        <v>AD9246-125</v>
      </c>
      <c r="B150">
        <v>14</v>
      </c>
      <c r="C150">
        <v>125000000</v>
      </c>
      <c r="D150">
        <v>1</v>
      </c>
      <c r="E150">
        <v>1.5</v>
      </c>
      <c r="F150">
        <v>2</v>
      </c>
      <c r="G150" t="s">
        <v>8</v>
      </c>
      <c r="H150">
        <v>0.45800000000000002</v>
      </c>
      <c r="I150" t="s">
        <v>31</v>
      </c>
      <c r="J150" t="s">
        <v>116</v>
      </c>
      <c r="K150">
        <v>50.55</v>
      </c>
      <c r="L150" t="s">
        <v>320</v>
      </c>
    </row>
    <row r="151" spans="1:12" ht="15">
      <c r="A151" s="8" t="str">
        <f>HYPERLINK("http://www.analog.com/zh/ad9246#details", "AD9246-105")</f>
        <v>AD9246-105</v>
      </c>
      <c r="B151">
        <v>14</v>
      </c>
      <c r="C151">
        <v>105000000</v>
      </c>
      <c r="D151">
        <v>1</v>
      </c>
      <c r="E151">
        <v>1.3</v>
      </c>
      <c r="F151">
        <v>2</v>
      </c>
      <c r="G151" t="s">
        <v>8</v>
      </c>
      <c r="H151">
        <v>0.45800000000000002</v>
      </c>
      <c r="I151" t="s">
        <v>31</v>
      </c>
      <c r="J151" t="s">
        <v>116</v>
      </c>
      <c r="K151">
        <v>41.64</v>
      </c>
      <c r="L151" t="s">
        <v>320</v>
      </c>
    </row>
    <row r="152" spans="1:12" ht="15">
      <c r="A152" s="8" t="str">
        <f>HYPERLINK("http://www.analog.com/zh/ad9233#details", "AD9233-80")</f>
        <v>AD9233-80</v>
      </c>
      <c r="B152">
        <v>12</v>
      </c>
      <c r="C152">
        <v>80000000</v>
      </c>
      <c r="D152" t="s">
        <v>8</v>
      </c>
      <c r="E152">
        <v>0.5</v>
      </c>
      <c r="F152" t="s">
        <v>8</v>
      </c>
      <c r="G152" t="s">
        <v>8</v>
      </c>
      <c r="H152">
        <v>0.27900000000000003</v>
      </c>
      <c r="I152" t="s">
        <v>31</v>
      </c>
      <c r="J152" t="s">
        <v>116</v>
      </c>
      <c r="K152">
        <v>17.41</v>
      </c>
      <c r="L152" t="s">
        <v>320</v>
      </c>
    </row>
    <row r="153" spans="1:12" ht="15">
      <c r="A153" s="8" t="str">
        <f>HYPERLINK("http://www.analog.com/zh/ad9233#details", "AD9233-125")</f>
        <v>AD9233-125</v>
      </c>
      <c r="B153">
        <v>12</v>
      </c>
      <c r="C153">
        <v>125000000</v>
      </c>
      <c r="D153">
        <v>1</v>
      </c>
      <c r="E153">
        <v>0.5</v>
      </c>
      <c r="F153">
        <v>2</v>
      </c>
      <c r="G153" t="s">
        <v>8</v>
      </c>
      <c r="H153">
        <v>0.42499999999999999</v>
      </c>
      <c r="I153" t="s">
        <v>31</v>
      </c>
      <c r="J153" t="s">
        <v>116</v>
      </c>
      <c r="K153">
        <v>28.09</v>
      </c>
      <c r="L153" t="s">
        <v>320</v>
      </c>
    </row>
    <row r="154" spans="1:12" ht="15">
      <c r="A154" s="8" t="str">
        <f>HYPERLINK("http://www.analog.com/zh/ad9233#details", "AD9233-105")</f>
        <v>AD9233-105</v>
      </c>
      <c r="B154">
        <v>12</v>
      </c>
      <c r="C154">
        <v>105000000</v>
      </c>
      <c r="D154">
        <v>1</v>
      </c>
      <c r="E154">
        <v>0.5</v>
      </c>
      <c r="F154">
        <v>2</v>
      </c>
      <c r="G154" t="s">
        <v>8</v>
      </c>
      <c r="H154">
        <v>0.35</v>
      </c>
      <c r="I154" t="s">
        <v>31</v>
      </c>
      <c r="J154" t="s">
        <v>116</v>
      </c>
      <c r="K154">
        <v>23.71</v>
      </c>
      <c r="L154" t="s">
        <v>320</v>
      </c>
    </row>
    <row r="155" spans="1:12" ht="15">
      <c r="A155" s="8" t="str">
        <f>HYPERLINK("http://www.analog.com/zh/ad9228#details", "AD9228-65")</f>
        <v>AD9228-65</v>
      </c>
      <c r="B155">
        <v>12</v>
      </c>
      <c r="C155">
        <v>65000000</v>
      </c>
      <c r="D155">
        <v>4</v>
      </c>
      <c r="E155">
        <v>0.4</v>
      </c>
      <c r="F155">
        <v>2</v>
      </c>
      <c r="G155" t="s">
        <v>8</v>
      </c>
      <c r="H155">
        <v>0.51</v>
      </c>
      <c r="I155" t="s">
        <v>31</v>
      </c>
      <c r="J155" t="s">
        <v>485</v>
      </c>
      <c r="K155">
        <v>28.56</v>
      </c>
      <c r="L155" t="s">
        <v>168</v>
      </c>
    </row>
    <row r="156" spans="1:12" ht="15">
      <c r="A156" s="8" t="str">
        <f>HYPERLINK("http://www.analog.com/zh/ad9228#details", "AD9228-40")</f>
        <v>AD9228-40</v>
      </c>
      <c r="B156">
        <v>12</v>
      </c>
      <c r="C156">
        <v>40000000</v>
      </c>
      <c r="D156">
        <v>4</v>
      </c>
      <c r="E156">
        <v>0.4</v>
      </c>
      <c r="F156">
        <v>2</v>
      </c>
      <c r="G156" t="s">
        <v>8</v>
      </c>
      <c r="H156">
        <v>0.51</v>
      </c>
      <c r="I156" t="s">
        <v>31</v>
      </c>
      <c r="J156" t="s">
        <v>485</v>
      </c>
      <c r="K156">
        <v>20.85</v>
      </c>
      <c r="L156" t="s">
        <v>168</v>
      </c>
    </row>
    <row r="157" spans="1:12" ht="15">
      <c r="A157" s="8" t="str">
        <f>HYPERLINK("http://www.analog.com/zh/ad9219#details", "AD9219-65")</f>
        <v>AD9219-65</v>
      </c>
      <c r="B157">
        <v>10</v>
      </c>
      <c r="C157">
        <v>65000000</v>
      </c>
      <c r="D157">
        <v>4</v>
      </c>
      <c r="E157">
        <v>0.3</v>
      </c>
      <c r="F157">
        <v>2</v>
      </c>
      <c r="G157" t="s">
        <v>8</v>
      </c>
      <c r="H157">
        <v>0.40799999999999997</v>
      </c>
      <c r="I157" t="s">
        <v>31</v>
      </c>
      <c r="J157" t="s">
        <v>485</v>
      </c>
      <c r="K157">
        <v>16.68</v>
      </c>
      <c r="L157" t="s">
        <v>168</v>
      </c>
    </row>
    <row r="158" spans="1:12" ht="15">
      <c r="A158" s="8" t="str">
        <f>HYPERLINK("http://www.analog.com/zh/ad9219#details", "AD9219-40")</f>
        <v>AD9219-40</v>
      </c>
      <c r="B158">
        <v>10</v>
      </c>
      <c r="C158">
        <v>40000000</v>
      </c>
      <c r="D158">
        <v>4</v>
      </c>
      <c r="E158">
        <v>0.15</v>
      </c>
      <c r="F158">
        <v>2</v>
      </c>
      <c r="G158" t="s">
        <v>8</v>
      </c>
      <c r="H158">
        <v>0.313</v>
      </c>
      <c r="I158" t="s">
        <v>31</v>
      </c>
      <c r="J158" t="s">
        <v>485</v>
      </c>
      <c r="K158">
        <v>14.6</v>
      </c>
      <c r="L158" t="s">
        <v>168</v>
      </c>
    </row>
    <row r="159" spans="1:12" ht="15">
      <c r="A159" s="8" t="str">
        <f>HYPERLINK("http://www.analog.com/zh/ad9446#details", "AD9446-80")</f>
        <v>AD9446-80</v>
      </c>
      <c r="B159">
        <v>16</v>
      </c>
      <c r="C159">
        <v>80000000</v>
      </c>
      <c r="D159">
        <v>1</v>
      </c>
      <c r="E159">
        <v>3</v>
      </c>
      <c r="F159">
        <v>3.2</v>
      </c>
      <c r="G159" t="s">
        <v>8</v>
      </c>
      <c r="H159">
        <v>2.6</v>
      </c>
      <c r="I159" t="s">
        <v>31</v>
      </c>
      <c r="J159" t="s">
        <v>116</v>
      </c>
      <c r="K159">
        <v>50.38</v>
      </c>
      <c r="L159" t="s">
        <v>333</v>
      </c>
    </row>
    <row r="160" spans="1:12" ht="15">
      <c r="A160" s="8" t="str">
        <f>HYPERLINK("http://www.analog.com/zh/ad9446#details", "AD9446-100")</f>
        <v>AD9446-100</v>
      </c>
      <c r="B160">
        <v>16</v>
      </c>
      <c r="C160">
        <v>100000000</v>
      </c>
      <c r="D160">
        <v>1</v>
      </c>
      <c r="E160">
        <v>3</v>
      </c>
      <c r="F160">
        <v>3.2</v>
      </c>
      <c r="G160" t="s">
        <v>8</v>
      </c>
      <c r="H160">
        <v>2.8</v>
      </c>
      <c r="I160" t="s">
        <v>31</v>
      </c>
      <c r="J160" t="s">
        <v>116</v>
      </c>
      <c r="K160">
        <v>59.07</v>
      </c>
      <c r="L160" t="s">
        <v>333</v>
      </c>
    </row>
    <row r="161" spans="1:12" ht="15">
      <c r="A161" s="8" t="str">
        <f>HYPERLINK("http://www.analog.com/zh/ad9445#details", "AD9445-125")</f>
        <v>AD9445-125</v>
      </c>
      <c r="B161">
        <v>14</v>
      </c>
      <c r="C161">
        <v>125000000</v>
      </c>
      <c r="D161">
        <v>1</v>
      </c>
      <c r="E161">
        <v>0.8</v>
      </c>
      <c r="F161">
        <v>3.2</v>
      </c>
      <c r="G161" t="s">
        <v>8</v>
      </c>
      <c r="H161">
        <v>2.6</v>
      </c>
      <c r="I161" t="s">
        <v>31</v>
      </c>
      <c r="J161" t="s">
        <v>116</v>
      </c>
      <c r="K161">
        <v>57.33</v>
      </c>
      <c r="L161" t="s">
        <v>333</v>
      </c>
    </row>
    <row r="162" spans="1:12" ht="15">
      <c r="A162" s="8" t="str">
        <f>HYPERLINK("http://www.analog.com/zh/ad9445#details", "AD9445-105")</f>
        <v>AD9445-105</v>
      </c>
      <c r="B162">
        <v>14</v>
      </c>
      <c r="C162">
        <v>105000000</v>
      </c>
      <c r="D162">
        <v>1</v>
      </c>
      <c r="E162">
        <v>0.65</v>
      </c>
      <c r="F162">
        <v>3.2</v>
      </c>
      <c r="G162" t="s">
        <v>8</v>
      </c>
      <c r="H162">
        <v>2.6</v>
      </c>
      <c r="I162" t="s">
        <v>31</v>
      </c>
      <c r="J162" t="s">
        <v>116</v>
      </c>
      <c r="K162">
        <v>42.73</v>
      </c>
      <c r="L162" t="s">
        <v>333</v>
      </c>
    </row>
    <row r="163" spans="1:12" ht="15">
      <c r="A163" s="8" t="str">
        <f>HYPERLINK("http://www.analog.com/zh/ad9237#details", "AD9237-65")</f>
        <v>AD9237-65</v>
      </c>
      <c r="B163">
        <v>12</v>
      </c>
      <c r="C163">
        <v>65000000</v>
      </c>
      <c r="D163">
        <v>1</v>
      </c>
      <c r="E163">
        <v>0.9</v>
      </c>
      <c r="F163">
        <v>4</v>
      </c>
      <c r="G163" t="s">
        <v>8</v>
      </c>
      <c r="H163">
        <v>0.27</v>
      </c>
      <c r="I163" t="s">
        <v>31</v>
      </c>
      <c r="J163" t="s">
        <v>116</v>
      </c>
      <c r="K163" t="s">
        <v>8</v>
      </c>
      <c r="L163" t="s">
        <v>358</v>
      </c>
    </row>
    <row r="164" spans="1:12" ht="15">
      <c r="A164" s="8" t="str">
        <f>HYPERLINK("http://www.analog.com/zh/ad9237#details", "AD9237-40")</f>
        <v>AD9237-40</v>
      </c>
      <c r="B164">
        <v>12</v>
      </c>
      <c r="C164">
        <v>40000000</v>
      </c>
      <c r="D164">
        <v>1</v>
      </c>
      <c r="E164">
        <v>0.9</v>
      </c>
      <c r="F164">
        <v>2</v>
      </c>
      <c r="G164" t="s">
        <v>8</v>
      </c>
      <c r="H164">
        <v>0.15</v>
      </c>
      <c r="I164" t="s">
        <v>31</v>
      </c>
      <c r="J164" t="s">
        <v>116</v>
      </c>
      <c r="K164">
        <v>8.24</v>
      </c>
      <c r="L164" t="s">
        <v>358</v>
      </c>
    </row>
    <row r="165" spans="1:12" ht="15">
      <c r="A165" s="8" t="str">
        <f>HYPERLINK("http://www.analog.com/zh/ad9237#details", "AD9237-20")</f>
        <v>AD9237-20</v>
      </c>
      <c r="B165">
        <v>12</v>
      </c>
      <c r="C165">
        <v>20000000</v>
      </c>
      <c r="D165">
        <v>1</v>
      </c>
      <c r="E165">
        <v>0.9</v>
      </c>
      <c r="F165">
        <v>2</v>
      </c>
      <c r="G165" t="s">
        <v>8</v>
      </c>
      <c r="H165">
        <v>0.1</v>
      </c>
      <c r="I165" t="s">
        <v>31</v>
      </c>
      <c r="J165" t="s">
        <v>116</v>
      </c>
      <c r="K165" t="s">
        <v>8</v>
      </c>
      <c r="L165" t="s">
        <v>358</v>
      </c>
    </row>
    <row r="166" spans="1:12" ht="15">
      <c r="A166" s="8" t="str">
        <f>HYPERLINK("http://www.analog.com/zh/ad9229#details", "AD9229-65")</f>
        <v>AD9229-65</v>
      </c>
      <c r="B166">
        <v>12</v>
      </c>
      <c r="C166">
        <v>65000000</v>
      </c>
      <c r="D166">
        <v>4</v>
      </c>
      <c r="E166">
        <v>0.4</v>
      </c>
      <c r="F166">
        <v>2</v>
      </c>
      <c r="G166" t="s">
        <v>8</v>
      </c>
      <c r="H166">
        <v>1.4650000000000001</v>
      </c>
      <c r="I166" t="s">
        <v>31</v>
      </c>
      <c r="J166" t="s">
        <v>485</v>
      </c>
      <c r="K166">
        <v>45.87</v>
      </c>
      <c r="L166" t="s">
        <v>168</v>
      </c>
    </row>
    <row r="167" spans="1:12" ht="15">
      <c r="A167" s="8" t="str">
        <f>HYPERLINK("http://www.analog.com/zh/ad9229#details", "AD9229-50")</f>
        <v>AD9229-50</v>
      </c>
      <c r="B167">
        <v>12</v>
      </c>
      <c r="C167">
        <v>50000000</v>
      </c>
      <c r="D167">
        <v>4</v>
      </c>
      <c r="E167">
        <v>0.6</v>
      </c>
      <c r="F167">
        <v>2</v>
      </c>
      <c r="G167" t="s">
        <v>8</v>
      </c>
      <c r="H167">
        <v>1.083</v>
      </c>
      <c r="I167" t="s">
        <v>31</v>
      </c>
      <c r="J167" t="s">
        <v>485</v>
      </c>
      <c r="K167">
        <v>35.44</v>
      </c>
      <c r="L167" t="s">
        <v>168</v>
      </c>
    </row>
    <row r="168" spans="1:12" ht="15">
      <c r="A168" s="8" t="str">
        <f>HYPERLINK("http://www.analog.com/zh/ad9248#details", "AD9248-65")</f>
        <v>AD9248-65</v>
      </c>
      <c r="B168">
        <v>14</v>
      </c>
      <c r="C168">
        <v>65000000</v>
      </c>
      <c r="D168">
        <v>2</v>
      </c>
      <c r="E168">
        <v>2.2999999999999998</v>
      </c>
      <c r="F168">
        <v>2</v>
      </c>
      <c r="G168" t="s">
        <v>8</v>
      </c>
      <c r="H168">
        <v>0.7</v>
      </c>
      <c r="I168" t="s">
        <v>31</v>
      </c>
      <c r="J168" t="s">
        <v>116</v>
      </c>
      <c r="K168">
        <v>30.75</v>
      </c>
      <c r="L168" t="s">
        <v>365</v>
      </c>
    </row>
    <row r="169" spans="1:12" ht="15">
      <c r="A169" s="8" t="str">
        <f>HYPERLINK("http://www.analog.com/zh/ad9248#details", "AD9248-40")</f>
        <v>AD9248-40</v>
      </c>
      <c r="B169">
        <v>14</v>
      </c>
      <c r="C169">
        <v>40000000</v>
      </c>
      <c r="D169" t="s">
        <v>8</v>
      </c>
      <c r="E169">
        <v>2.2999999999999998</v>
      </c>
      <c r="F169" t="s">
        <v>8</v>
      </c>
      <c r="G169" t="s">
        <v>8</v>
      </c>
      <c r="H169">
        <v>0.4</v>
      </c>
      <c r="I169" t="s">
        <v>31</v>
      </c>
      <c r="J169" t="s">
        <v>116</v>
      </c>
      <c r="K169">
        <v>24.76</v>
      </c>
      <c r="L169" t="s">
        <v>365</v>
      </c>
    </row>
    <row r="170" spans="1:12" ht="15">
      <c r="A170" s="8" t="str">
        <f>HYPERLINK("http://www.analog.com/zh/ad9248#details", "AD9248-20")</f>
        <v>AD9248-20</v>
      </c>
      <c r="B170">
        <v>14</v>
      </c>
      <c r="C170">
        <v>20000000</v>
      </c>
      <c r="D170">
        <v>2</v>
      </c>
      <c r="E170">
        <v>2.2999999999999998</v>
      </c>
      <c r="F170">
        <v>2</v>
      </c>
      <c r="G170" t="s">
        <v>8</v>
      </c>
      <c r="H170">
        <v>0.217</v>
      </c>
      <c r="I170" t="s">
        <v>31</v>
      </c>
      <c r="J170" t="s">
        <v>116</v>
      </c>
      <c r="K170">
        <v>19.55</v>
      </c>
      <c r="L170" t="s">
        <v>365</v>
      </c>
    </row>
    <row r="171" spans="1:12" ht="15">
      <c r="A171" s="8" t="str">
        <f>HYPERLINK("http://www.analog.com/zh/ad9481#details", "AD9481")</f>
        <v>AD9481</v>
      </c>
      <c r="B171">
        <v>8</v>
      </c>
      <c r="C171">
        <v>250000000</v>
      </c>
      <c r="D171">
        <v>1</v>
      </c>
      <c r="E171">
        <v>0.26</v>
      </c>
      <c r="F171">
        <v>1.5</v>
      </c>
      <c r="G171" t="s">
        <v>8</v>
      </c>
      <c r="H171">
        <v>0.61880000000000002</v>
      </c>
      <c r="I171" t="s">
        <v>31</v>
      </c>
      <c r="J171" t="s">
        <v>116</v>
      </c>
      <c r="K171">
        <v>16.68</v>
      </c>
      <c r="L171" t="s">
        <v>370</v>
      </c>
    </row>
    <row r="172" spans="1:12" ht="15">
      <c r="A172" s="8" t="str">
        <f>HYPERLINK("http://www.analog.com/zh/ad9444#details", "AD9444")</f>
        <v>AD9444</v>
      </c>
      <c r="B172">
        <v>14</v>
      </c>
      <c r="C172">
        <v>80000000</v>
      </c>
      <c r="D172">
        <v>1</v>
      </c>
      <c r="E172">
        <v>0.6</v>
      </c>
      <c r="F172">
        <v>2</v>
      </c>
      <c r="G172" t="s">
        <v>8</v>
      </c>
      <c r="H172">
        <v>1.4</v>
      </c>
      <c r="I172" t="s">
        <v>31</v>
      </c>
      <c r="J172" t="s">
        <v>116</v>
      </c>
      <c r="K172">
        <v>33.67</v>
      </c>
      <c r="L172" t="s">
        <v>372</v>
      </c>
    </row>
    <row r="173" spans="1:12" ht="15">
      <c r="A173" s="8" t="str">
        <f>HYPERLINK("http://www.analog.com/zh/ad9289#details", "AD9289")</f>
        <v>AD9289</v>
      </c>
      <c r="B173">
        <v>8</v>
      </c>
      <c r="C173">
        <v>65000000</v>
      </c>
      <c r="D173">
        <v>4</v>
      </c>
      <c r="E173">
        <v>0.25</v>
      </c>
      <c r="F173">
        <v>2</v>
      </c>
      <c r="G173" t="s">
        <v>8</v>
      </c>
      <c r="H173">
        <v>0.55000000000000004</v>
      </c>
      <c r="I173" t="s">
        <v>31</v>
      </c>
      <c r="J173" t="s">
        <v>183</v>
      </c>
      <c r="K173">
        <v>11.38</v>
      </c>
      <c r="L173" t="s">
        <v>375</v>
      </c>
    </row>
    <row r="174" spans="1:12" ht="15">
      <c r="A174" s="8" t="str">
        <f>HYPERLINK("http://www.analog.com/zh/ad9216#details", "AD9216-80")</f>
        <v>AD9216-80</v>
      </c>
      <c r="B174">
        <v>10</v>
      </c>
      <c r="C174">
        <v>80000000</v>
      </c>
      <c r="D174" t="s">
        <v>8</v>
      </c>
      <c r="E174">
        <v>0.5</v>
      </c>
      <c r="F174" t="s">
        <v>8</v>
      </c>
      <c r="G174" t="s">
        <v>8</v>
      </c>
      <c r="H174">
        <v>0.27900000000000003</v>
      </c>
      <c r="I174" t="s">
        <v>31</v>
      </c>
      <c r="J174" t="s">
        <v>116</v>
      </c>
      <c r="K174" t="s">
        <v>8</v>
      </c>
      <c r="L174" t="s">
        <v>376</v>
      </c>
    </row>
    <row r="175" spans="1:12" ht="15">
      <c r="A175" s="8" t="str">
        <f>HYPERLINK("http://www.analog.com/zh/ad9216#details", "AD9216-65")</f>
        <v>AD9216-65</v>
      </c>
      <c r="B175">
        <v>10</v>
      </c>
      <c r="C175">
        <v>65000000</v>
      </c>
      <c r="D175">
        <v>2</v>
      </c>
      <c r="E175">
        <v>0.5</v>
      </c>
      <c r="F175">
        <v>2</v>
      </c>
      <c r="G175" t="s">
        <v>8</v>
      </c>
      <c r="H175">
        <v>0.24</v>
      </c>
      <c r="I175" t="s">
        <v>31</v>
      </c>
      <c r="J175" t="s">
        <v>116</v>
      </c>
      <c r="K175">
        <v>7.82</v>
      </c>
      <c r="L175" t="s">
        <v>376</v>
      </c>
    </row>
    <row r="176" spans="1:12" ht="15">
      <c r="A176" s="8" t="str">
        <f>HYPERLINK("http://www.analog.com/zh/ad9216#details", "AD9216-105")</f>
        <v>AD9216-105</v>
      </c>
      <c r="B176">
        <v>10</v>
      </c>
      <c r="C176">
        <v>105000000</v>
      </c>
      <c r="D176">
        <v>2</v>
      </c>
      <c r="E176">
        <v>1</v>
      </c>
      <c r="F176">
        <v>2</v>
      </c>
      <c r="G176" t="s">
        <v>8</v>
      </c>
      <c r="H176">
        <v>0.33</v>
      </c>
      <c r="I176" t="s">
        <v>31</v>
      </c>
      <c r="J176" t="s">
        <v>116</v>
      </c>
      <c r="K176">
        <v>11.73</v>
      </c>
      <c r="L176" t="s">
        <v>376</v>
      </c>
    </row>
    <row r="177" spans="1:12" ht="15">
      <c r="A177" s="8" t="str">
        <f>HYPERLINK("http://www.analog.com/zh/ad9480#details", "AD9480")</f>
        <v>AD9480</v>
      </c>
      <c r="B177">
        <v>8</v>
      </c>
      <c r="C177">
        <v>250000000</v>
      </c>
      <c r="D177">
        <v>1</v>
      </c>
      <c r="E177">
        <v>0.26</v>
      </c>
      <c r="F177">
        <v>1.1000000000000001</v>
      </c>
      <c r="G177" t="s">
        <v>8</v>
      </c>
      <c r="H177">
        <v>0.69799999999999995</v>
      </c>
      <c r="I177" t="s">
        <v>31</v>
      </c>
      <c r="J177" t="s">
        <v>116</v>
      </c>
      <c r="K177">
        <v>18.75</v>
      </c>
      <c r="L177" t="s">
        <v>370</v>
      </c>
    </row>
    <row r="178" spans="1:12" ht="15">
      <c r="A178" s="8" t="str">
        <f>HYPERLINK("http://www.analog.com/zh/ad9236#details", "AD9236")</f>
        <v>AD9236</v>
      </c>
      <c r="B178">
        <v>12</v>
      </c>
      <c r="C178">
        <v>80000000</v>
      </c>
      <c r="D178">
        <v>1</v>
      </c>
      <c r="E178">
        <v>0.35</v>
      </c>
      <c r="F178">
        <v>2</v>
      </c>
      <c r="G178" t="s">
        <v>8</v>
      </c>
      <c r="H178">
        <v>0.41099999999999998</v>
      </c>
      <c r="I178" t="s">
        <v>31</v>
      </c>
      <c r="J178" t="s">
        <v>116</v>
      </c>
      <c r="K178">
        <v>17.2</v>
      </c>
      <c r="L178" t="s">
        <v>383</v>
      </c>
    </row>
    <row r="179" spans="1:12" ht="15">
      <c r="A179" s="8" t="str">
        <f>HYPERLINK("http://www.analog.com/zh/ad9215#details", "AD9215-80")</f>
        <v>AD9215-80</v>
      </c>
      <c r="B179">
        <v>10</v>
      </c>
      <c r="C179">
        <v>80000000</v>
      </c>
      <c r="D179" t="s">
        <v>8</v>
      </c>
      <c r="E179">
        <v>0.5</v>
      </c>
      <c r="F179" t="s">
        <v>8</v>
      </c>
      <c r="G179" t="s">
        <v>8</v>
      </c>
      <c r="H179">
        <v>9.6000000000000002E-2</v>
      </c>
      <c r="I179" t="s">
        <v>31</v>
      </c>
      <c r="J179" t="s">
        <v>116</v>
      </c>
      <c r="K179">
        <v>6.98</v>
      </c>
      <c r="L179" t="s">
        <v>386</v>
      </c>
    </row>
    <row r="180" spans="1:12" ht="15">
      <c r="A180" s="8" t="str">
        <f>HYPERLINK("http://www.analog.com/zh/ad9215#details", "AD9215-65")</f>
        <v>AD9215-65</v>
      </c>
      <c r="B180">
        <v>10</v>
      </c>
      <c r="C180">
        <v>65000000</v>
      </c>
      <c r="D180">
        <v>1</v>
      </c>
      <c r="E180">
        <v>0.5</v>
      </c>
      <c r="F180">
        <v>2</v>
      </c>
      <c r="G180" t="s">
        <v>8</v>
      </c>
      <c r="H180">
        <v>0.114</v>
      </c>
      <c r="I180" t="s">
        <v>31</v>
      </c>
      <c r="J180" t="s">
        <v>116</v>
      </c>
      <c r="K180">
        <v>5.21</v>
      </c>
      <c r="L180" t="s">
        <v>386</v>
      </c>
    </row>
    <row r="181" spans="1:12" ht="15">
      <c r="A181" s="8" t="str">
        <f>HYPERLINK("http://www.analog.com/zh/ad9215#details", "AD9215-105")</f>
        <v>AD9215-105</v>
      </c>
      <c r="B181">
        <v>10</v>
      </c>
      <c r="C181">
        <v>105000000</v>
      </c>
      <c r="D181">
        <v>1</v>
      </c>
      <c r="E181">
        <v>0.65</v>
      </c>
      <c r="F181">
        <v>2</v>
      </c>
      <c r="G181" t="s">
        <v>8</v>
      </c>
      <c r="H181">
        <v>0.14499999999999999</v>
      </c>
      <c r="I181" t="s">
        <v>31</v>
      </c>
      <c r="J181" t="s">
        <v>116</v>
      </c>
      <c r="K181">
        <v>7.82</v>
      </c>
      <c r="L181" t="s">
        <v>386</v>
      </c>
    </row>
    <row r="182" spans="1:12" ht="15">
      <c r="A182" s="8" t="str">
        <f>HYPERLINK("http://www.analog.com/zh/ad9244#details", "AD9244-65")</f>
        <v>AD9244-65</v>
      </c>
      <c r="B182">
        <v>14</v>
      </c>
      <c r="C182">
        <v>65000000</v>
      </c>
      <c r="D182">
        <v>1</v>
      </c>
      <c r="E182">
        <v>1.4</v>
      </c>
      <c r="F182">
        <v>2</v>
      </c>
      <c r="G182" t="s">
        <v>8</v>
      </c>
      <c r="H182">
        <v>0.64</v>
      </c>
      <c r="I182" t="s">
        <v>31</v>
      </c>
      <c r="J182" t="s">
        <v>116</v>
      </c>
      <c r="K182">
        <v>25.9</v>
      </c>
      <c r="L182" t="s">
        <v>392</v>
      </c>
    </row>
    <row r="183" spans="1:12" ht="15">
      <c r="A183" s="8" t="str">
        <f>HYPERLINK("http://www.analog.com/zh/ad9244#details", "AD9244-40")</f>
        <v>AD9244-40</v>
      </c>
      <c r="B183">
        <v>14</v>
      </c>
      <c r="C183">
        <v>40000000</v>
      </c>
      <c r="D183">
        <v>1</v>
      </c>
      <c r="E183">
        <v>1.3</v>
      </c>
      <c r="F183">
        <v>2</v>
      </c>
      <c r="G183" t="s">
        <v>8</v>
      </c>
      <c r="H183">
        <v>0.37</v>
      </c>
      <c r="I183" t="s">
        <v>31</v>
      </c>
      <c r="J183" t="s">
        <v>116</v>
      </c>
      <c r="K183">
        <v>19.43</v>
      </c>
      <c r="L183" t="s">
        <v>392</v>
      </c>
    </row>
    <row r="184" spans="1:12" ht="15">
      <c r="A184" s="8" t="str">
        <f>HYPERLINK("http://www.analog.com/zh/ad9238#details", "AD9238-65")</f>
        <v>AD9238-65</v>
      </c>
      <c r="B184">
        <v>12</v>
      </c>
      <c r="C184">
        <v>65000000</v>
      </c>
      <c r="D184">
        <v>2</v>
      </c>
      <c r="E184">
        <v>0.55000000000000004</v>
      </c>
      <c r="F184">
        <v>2</v>
      </c>
      <c r="G184" t="s">
        <v>8</v>
      </c>
      <c r="H184">
        <v>0.69799999999999995</v>
      </c>
      <c r="I184" t="s">
        <v>31</v>
      </c>
      <c r="J184" t="s">
        <v>116</v>
      </c>
      <c r="K184">
        <v>18.77</v>
      </c>
      <c r="L184" t="s">
        <v>365</v>
      </c>
    </row>
    <row r="185" spans="1:12" ht="15">
      <c r="A185" s="8" t="str">
        <f>HYPERLINK("http://www.analog.com/zh/ad9238#details", "AD9238-40")</f>
        <v>AD9238-40</v>
      </c>
      <c r="B185">
        <v>12</v>
      </c>
      <c r="C185">
        <v>40000000</v>
      </c>
      <c r="D185" t="s">
        <v>8</v>
      </c>
      <c r="E185">
        <v>0.5</v>
      </c>
      <c r="F185" t="s">
        <v>8</v>
      </c>
      <c r="G185" t="s">
        <v>8</v>
      </c>
      <c r="H185">
        <v>0.39700000000000002</v>
      </c>
      <c r="I185" t="s">
        <v>31</v>
      </c>
      <c r="J185" t="s">
        <v>116</v>
      </c>
      <c r="K185">
        <v>12.5</v>
      </c>
      <c r="L185" t="s">
        <v>365</v>
      </c>
    </row>
    <row r="186" spans="1:12" ht="15">
      <c r="A186" s="8" t="str">
        <f>HYPERLINK("http://www.analog.com/zh/ad9238#details", "AD9238-20")</f>
        <v>AD9238-20</v>
      </c>
      <c r="B186">
        <v>12</v>
      </c>
      <c r="C186">
        <v>20000000</v>
      </c>
      <c r="D186">
        <v>2</v>
      </c>
      <c r="E186">
        <v>0.4</v>
      </c>
      <c r="F186">
        <v>2</v>
      </c>
      <c r="G186" t="s">
        <v>8</v>
      </c>
      <c r="H186">
        <v>0.21199999999999999</v>
      </c>
      <c r="I186" t="s">
        <v>31</v>
      </c>
      <c r="J186" t="s">
        <v>116</v>
      </c>
      <c r="K186">
        <v>11.46</v>
      </c>
      <c r="L186" t="s">
        <v>365</v>
      </c>
    </row>
    <row r="187" spans="1:12" ht="15">
      <c r="A187" s="8" t="str">
        <f>HYPERLINK("http://www.analog.com/zh/ad9430#details", "AD9430-210")</f>
        <v>AD9430-210</v>
      </c>
      <c r="B187">
        <v>12</v>
      </c>
      <c r="C187">
        <v>210000000</v>
      </c>
      <c r="D187">
        <v>1</v>
      </c>
      <c r="E187">
        <v>0.3</v>
      </c>
      <c r="F187">
        <v>1.536</v>
      </c>
      <c r="G187" t="s">
        <v>8</v>
      </c>
      <c r="H187">
        <v>1.7</v>
      </c>
      <c r="I187" t="s">
        <v>31</v>
      </c>
      <c r="J187" t="s">
        <v>116</v>
      </c>
      <c r="K187">
        <v>57.33</v>
      </c>
      <c r="L187" t="s">
        <v>372</v>
      </c>
    </row>
    <row r="188" spans="1:12" ht="15">
      <c r="A188" s="8" t="str">
        <f>HYPERLINK("http://www.analog.com/zh/ad9430#details", "AD9430-170")</f>
        <v>AD9430-170</v>
      </c>
      <c r="B188">
        <v>12</v>
      </c>
      <c r="C188">
        <v>170000000</v>
      </c>
      <c r="D188">
        <v>1</v>
      </c>
      <c r="E188">
        <v>0.5</v>
      </c>
      <c r="F188">
        <v>1.536</v>
      </c>
      <c r="G188" t="s">
        <v>8</v>
      </c>
      <c r="H188">
        <v>1.43</v>
      </c>
      <c r="I188" t="s">
        <v>31</v>
      </c>
      <c r="J188" t="s">
        <v>116</v>
      </c>
      <c r="K188">
        <v>41.17</v>
      </c>
      <c r="L188" t="s">
        <v>372</v>
      </c>
    </row>
    <row r="189" spans="1:12" ht="15">
      <c r="A189" s="8" t="str">
        <f>HYPERLINK("http://www.analog.com/zh/ad6645-mil#details", "AD6645-MIL")</f>
        <v>AD6645-MIL</v>
      </c>
      <c r="B189">
        <v>14</v>
      </c>
      <c r="C189">
        <v>80000000</v>
      </c>
      <c r="D189">
        <v>1</v>
      </c>
      <c r="E189" t="s">
        <v>8</v>
      </c>
      <c r="F189">
        <v>0.4</v>
      </c>
      <c r="G189" t="s">
        <v>8</v>
      </c>
      <c r="H189">
        <v>1.75</v>
      </c>
      <c r="I189" t="s">
        <v>107</v>
      </c>
      <c r="J189" t="s">
        <v>116</v>
      </c>
      <c r="K189" t="s">
        <v>8</v>
      </c>
      <c r="L189" t="s">
        <v>400</v>
      </c>
    </row>
    <row r="190" spans="1:12" ht="15">
      <c r="A190" s="8" t="str">
        <f>HYPERLINK("http://www.analog.com/zh/ad6645#details", "AD6645-80")</f>
        <v>AD6645-80</v>
      </c>
      <c r="B190">
        <v>14</v>
      </c>
      <c r="C190">
        <v>80000000</v>
      </c>
      <c r="D190">
        <v>1</v>
      </c>
      <c r="E190">
        <v>0.5</v>
      </c>
      <c r="F190">
        <v>2.2000000000000002</v>
      </c>
      <c r="G190" t="s">
        <v>8</v>
      </c>
      <c r="H190">
        <v>1.75</v>
      </c>
      <c r="I190" t="s">
        <v>31</v>
      </c>
      <c r="J190" t="s">
        <v>116</v>
      </c>
      <c r="K190">
        <v>45.55</v>
      </c>
      <c r="L190" t="s">
        <v>402</v>
      </c>
    </row>
    <row r="191" spans="1:12" ht="15">
      <c r="A191" s="8" t="str">
        <f>HYPERLINK("http://www.analog.com/zh/ad6645#details", "AD6645-105")</f>
        <v>AD6645-105</v>
      </c>
      <c r="B191">
        <v>14</v>
      </c>
      <c r="C191">
        <v>105000000</v>
      </c>
      <c r="D191">
        <v>1</v>
      </c>
      <c r="E191">
        <v>1.5</v>
      </c>
      <c r="F191">
        <v>2.2000000000000002</v>
      </c>
      <c r="G191" t="s">
        <v>8</v>
      </c>
      <c r="H191">
        <v>1.75</v>
      </c>
      <c r="I191" t="s">
        <v>31</v>
      </c>
      <c r="J191" t="s">
        <v>116</v>
      </c>
      <c r="K191">
        <v>58.37</v>
      </c>
      <c r="L191" t="s">
        <v>402</v>
      </c>
    </row>
    <row r="192" spans="1:12" ht="15">
      <c r="A192" s="8" t="str">
        <f>HYPERLINK("http://www.analog.com/zh/ad9433#details", "AD9433-125")</f>
        <v>AD9433-125</v>
      </c>
      <c r="B192">
        <v>12</v>
      </c>
      <c r="C192">
        <v>125000000</v>
      </c>
      <c r="D192">
        <v>1</v>
      </c>
      <c r="E192">
        <v>0.5</v>
      </c>
      <c r="F192">
        <v>2</v>
      </c>
      <c r="G192" t="s">
        <v>8</v>
      </c>
      <c r="H192">
        <v>1.5</v>
      </c>
      <c r="I192" t="s">
        <v>31</v>
      </c>
      <c r="J192" t="s">
        <v>116</v>
      </c>
      <c r="K192">
        <v>35.549999999999997</v>
      </c>
      <c r="L192" t="s">
        <v>404</v>
      </c>
    </row>
    <row r="193" spans="1:12" ht="15">
      <c r="A193" s="8" t="str">
        <f>HYPERLINK("http://www.analog.com/zh/ad9433#details", "AD9433-105")</f>
        <v>AD9433-105</v>
      </c>
      <c r="B193">
        <v>12</v>
      </c>
      <c r="C193">
        <v>105000000</v>
      </c>
      <c r="D193">
        <v>1</v>
      </c>
      <c r="E193">
        <v>0.5</v>
      </c>
      <c r="F193">
        <v>2</v>
      </c>
      <c r="G193" t="s">
        <v>8</v>
      </c>
      <c r="H193">
        <v>1.425</v>
      </c>
      <c r="I193" t="s">
        <v>31</v>
      </c>
      <c r="J193" t="s">
        <v>116</v>
      </c>
      <c r="K193">
        <v>33.83</v>
      </c>
      <c r="L193" t="s">
        <v>404</v>
      </c>
    </row>
    <row r="194" spans="1:12" ht="15">
      <c r="A194" s="8" t="str">
        <f>HYPERLINK("http://www.analog.com/zh/ad9218#details", "AD9218-80")</f>
        <v>AD9218-80</v>
      </c>
      <c r="B194">
        <v>10</v>
      </c>
      <c r="C194">
        <v>80000000</v>
      </c>
      <c r="D194" t="s">
        <v>8</v>
      </c>
      <c r="E194">
        <v>0.75</v>
      </c>
      <c r="F194" t="s">
        <v>8</v>
      </c>
      <c r="G194" t="s">
        <v>8</v>
      </c>
      <c r="H194">
        <v>0.56499999999999995</v>
      </c>
      <c r="I194" t="s">
        <v>31</v>
      </c>
      <c r="J194" t="s">
        <v>116</v>
      </c>
      <c r="K194">
        <v>13.93</v>
      </c>
      <c r="L194" t="s">
        <v>392</v>
      </c>
    </row>
    <row r="195" spans="1:12" ht="15">
      <c r="A195" s="8" t="str">
        <f>HYPERLINK("http://www.analog.com/zh/ad9218#details", "AD9218-65")</f>
        <v>AD9218-65</v>
      </c>
      <c r="B195">
        <v>10</v>
      </c>
      <c r="C195">
        <v>65000000</v>
      </c>
      <c r="D195" t="s">
        <v>8</v>
      </c>
      <c r="E195">
        <v>1</v>
      </c>
      <c r="F195" t="s">
        <v>8</v>
      </c>
      <c r="G195" t="s">
        <v>8</v>
      </c>
      <c r="H195">
        <v>0.39</v>
      </c>
      <c r="I195" t="s">
        <v>31</v>
      </c>
      <c r="J195" t="s">
        <v>116</v>
      </c>
      <c r="K195">
        <v>12.26</v>
      </c>
      <c r="L195" t="s">
        <v>392</v>
      </c>
    </row>
    <row r="196" spans="1:12" ht="15">
      <c r="A196" s="8" t="str">
        <f>HYPERLINK("http://www.analog.com/zh/ad9218#details", "AD9218-40")</f>
        <v>AD9218-40</v>
      </c>
      <c r="B196">
        <v>10</v>
      </c>
      <c r="C196">
        <v>40000000</v>
      </c>
      <c r="D196">
        <v>2</v>
      </c>
      <c r="E196">
        <v>0.3</v>
      </c>
      <c r="F196">
        <v>2</v>
      </c>
      <c r="G196" t="s">
        <v>8</v>
      </c>
      <c r="H196">
        <v>0.34</v>
      </c>
      <c r="I196" t="s">
        <v>31</v>
      </c>
      <c r="J196" t="s">
        <v>116</v>
      </c>
      <c r="K196">
        <v>9.3800000000000008</v>
      </c>
      <c r="L196" t="s">
        <v>392</v>
      </c>
    </row>
    <row r="197" spans="1:12" ht="15">
      <c r="A197" s="8" t="str">
        <f>HYPERLINK("http://www.analog.com/zh/ad9218#details", "AD9218-105")</f>
        <v>AD9218-105</v>
      </c>
      <c r="B197">
        <v>10</v>
      </c>
      <c r="C197">
        <v>105000000</v>
      </c>
      <c r="D197">
        <v>2</v>
      </c>
      <c r="E197">
        <v>2</v>
      </c>
      <c r="F197">
        <v>1</v>
      </c>
      <c r="G197" t="s">
        <v>8</v>
      </c>
      <c r="H197">
        <v>0.56499999999999995</v>
      </c>
      <c r="I197" t="s">
        <v>31</v>
      </c>
      <c r="J197" t="s">
        <v>116</v>
      </c>
      <c r="K197">
        <v>17.850000000000001</v>
      </c>
      <c r="L197" t="s">
        <v>392</v>
      </c>
    </row>
    <row r="198" spans="1:12" ht="15">
      <c r="A198" s="8" t="str">
        <f>HYPERLINK("http://www.analog.com/zh/ad9235#details", "AD9235-65")</f>
        <v>AD9235-65</v>
      </c>
      <c r="B198">
        <v>12</v>
      </c>
      <c r="C198">
        <v>65000000</v>
      </c>
      <c r="D198">
        <v>1</v>
      </c>
      <c r="E198">
        <v>0.7</v>
      </c>
      <c r="F198">
        <v>2</v>
      </c>
      <c r="G198" t="s">
        <v>8</v>
      </c>
      <c r="H198">
        <v>0.35</v>
      </c>
      <c r="I198" t="s">
        <v>31</v>
      </c>
      <c r="J198" t="s">
        <v>116</v>
      </c>
      <c r="K198">
        <v>12.5</v>
      </c>
      <c r="L198" t="s">
        <v>412</v>
      </c>
    </row>
    <row r="199" spans="1:12" ht="15">
      <c r="A199" s="8" t="str">
        <f>HYPERLINK("http://www.analog.com/zh/ad9235#details", "AD9235-40")</f>
        <v>AD9235-40</v>
      </c>
      <c r="B199">
        <v>12</v>
      </c>
      <c r="C199">
        <v>40000000</v>
      </c>
      <c r="D199" t="s">
        <v>8</v>
      </c>
      <c r="E199">
        <v>0.5</v>
      </c>
      <c r="F199" t="s">
        <v>8</v>
      </c>
      <c r="G199" t="s">
        <v>8</v>
      </c>
      <c r="H199">
        <v>0.20499999999999999</v>
      </c>
      <c r="I199" t="s">
        <v>31</v>
      </c>
      <c r="J199" t="s">
        <v>116</v>
      </c>
      <c r="K199">
        <v>8.23</v>
      </c>
      <c r="L199" t="s">
        <v>412</v>
      </c>
    </row>
    <row r="200" spans="1:12" ht="15">
      <c r="A200" s="8" t="str">
        <f>HYPERLINK("http://www.analog.com/zh/ad9235#details", "AD9235-20")</f>
        <v>AD9235-20</v>
      </c>
      <c r="B200">
        <v>12</v>
      </c>
      <c r="C200">
        <v>20000000</v>
      </c>
      <c r="D200">
        <v>1</v>
      </c>
      <c r="E200">
        <v>0.45</v>
      </c>
      <c r="F200">
        <v>2</v>
      </c>
      <c r="G200" t="s">
        <v>8</v>
      </c>
      <c r="H200">
        <v>0.11</v>
      </c>
      <c r="I200" t="s">
        <v>31</v>
      </c>
      <c r="J200" t="s">
        <v>116</v>
      </c>
      <c r="K200">
        <v>7.29</v>
      </c>
      <c r="L200" t="s">
        <v>412</v>
      </c>
    </row>
    <row r="201" spans="1:12" ht="15">
      <c r="A201" s="8" t="str">
        <f>HYPERLINK("http://www.analog.com/zh/ad10465#details", "AD10465")</f>
        <v>AD10465</v>
      </c>
      <c r="B201">
        <v>14</v>
      </c>
      <c r="C201">
        <v>65000000</v>
      </c>
      <c r="D201">
        <v>2</v>
      </c>
      <c r="E201" t="s">
        <v>8</v>
      </c>
      <c r="F201">
        <v>4</v>
      </c>
      <c r="G201" t="s">
        <v>8</v>
      </c>
      <c r="H201">
        <v>3.5</v>
      </c>
      <c r="I201" t="s">
        <v>31</v>
      </c>
      <c r="J201" t="s">
        <v>116</v>
      </c>
      <c r="K201">
        <v>944.03</v>
      </c>
      <c r="L201" t="s">
        <v>418</v>
      </c>
    </row>
    <row r="202" spans="1:12" ht="15">
      <c r="A202" s="8" t="str">
        <f>HYPERLINK("http://www.analog.com/zh/ad9410#details", "AD9410")</f>
        <v>AD9410</v>
      </c>
      <c r="B202">
        <v>10</v>
      </c>
      <c r="C202">
        <v>210000000</v>
      </c>
      <c r="D202">
        <v>1</v>
      </c>
      <c r="E202">
        <v>1.65</v>
      </c>
      <c r="F202">
        <v>1.5</v>
      </c>
      <c r="G202" t="s">
        <v>8</v>
      </c>
      <c r="H202">
        <v>2.4</v>
      </c>
      <c r="I202" t="s">
        <v>31</v>
      </c>
      <c r="J202" t="s">
        <v>116</v>
      </c>
      <c r="K202">
        <v>54.69</v>
      </c>
      <c r="L202" t="s">
        <v>420</v>
      </c>
    </row>
    <row r="203" spans="1:12" ht="15">
      <c r="A203" s="8" t="str">
        <f>HYPERLINK("http://www.analog.com/zh/ad9214#details", "AD9214-80")</f>
        <v>AD9214-80</v>
      </c>
      <c r="B203">
        <v>10</v>
      </c>
      <c r="C203">
        <v>80000000</v>
      </c>
      <c r="D203" t="s">
        <v>8</v>
      </c>
      <c r="E203">
        <v>0.75</v>
      </c>
      <c r="F203" t="s">
        <v>8</v>
      </c>
      <c r="G203" t="s">
        <v>8</v>
      </c>
      <c r="H203">
        <v>0.22</v>
      </c>
      <c r="I203" t="s">
        <v>31</v>
      </c>
      <c r="J203" t="s">
        <v>116</v>
      </c>
      <c r="K203">
        <v>8.6999999999999993</v>
      </c>
      <c r="L203" t="s">
        <v>423</v>
      </c>
    </row>
    <row r="204" spans="1:12" ht="15">
      <c r="A204" s="8" t="str">
        <f>HYPERLINK("http://www.analog.com/zh/ad9214#details", "AD9214-65")</f>
        <v>AD9214-65</v>
      </c>
      <c r="B204">
        <v>10</v>
      </c>
      <c r="C204">
        <v>65000000</v>
      </c>
      <c r="D204">
        <v>1</v>
      </c>
      <c r="E204">
        <v>0.75</v>
      </c>
      <c r="F204">
        <v>2</v>
      </c>
      <c r="G204" t="s">
        <v>8</v>
      </c>
      <c r="H204">
        <v>0.22</v>
      </c>
      <c r="I204" t="s">
        <v>31</v>
      </c>
      <c r="J204" t="s">
        <v>116</v>
      </c>
      <c r="K204">
        <v>6.52</v>
      </c>
      <c r="L204" t="s">
        <v>423</v>
      </c>
    </row>
    <row r="205" spans="1:12" ht="15">
      <c r="A205" s="8" t="str">
        <f>HYPERLINK("http://www.analog.com/zh/ad9214#details", "AD9214-105")</f>
        <v>AD9214-105</v>
      </c>
      <c r="B205">
        <v>10</v>
      </c>
      <c r="C205">
        <v>105000000</v>
      </c>
      <c r="D205">
        <v>1</v>
      </c>
      <c r="E205">
        <v>1.5</v>
      </c>
      <c r="F205">
        <v>2</v>
      </c>
      <c r="G205" t="s">
        <v>8</v>
      </c>
      <c r="H205">
        <v>0.32500000000000001</v>
      </c>
      <c r="I205" t="s">
        <v>31</v>
      </c>
      <c r="J205" t="s">
        <v>116</v>
      </c>
      <c r="K205">
        <v>11.15</v>
      </c>
      <c r="L205" t="s">
        <v>423</v>
      </c>
    </row>
    <row r="206" spans="1:12" ht="15">
      <c r="A206" s="8" t="str">
        <f>HYPERLINK("http://www.analog.com/zh/ad10200#details", "AD10200")</f>
        <v>AD10200</v>
      </c>
      <c r="B206">
        <v>12</v>
      </c>
      <c r="C206">
        <v>105000000</v>
      </c>
      <c r="D206">
        <v>2</v>
      </c>
      <c r="E206">
        <v>0.75</v>
      </c>
      <c r="F206">
        <v>2.048</v>
      </c>
      <c r="G206" t="s">
        <v>8</v>
      </c>
      <c r="H206">
        <v>2.2000000000000002</v>
      </c>
      <c r="I206" t="s">
        <v>107</v>
      </c>
      <c r="J206" t="s">
        <v>116</v>
      </c>
      <c r="K206" t="s">
        <v>8</v>
      </c>
      <c r="L206" t="s">
        <v>427</v>
      </c>
    </row>
    <row r="207" spans="1:12" ht="15">
      <c r="A207" s="8" t="str">
        <f>HYPERLINK("http://www.analog.com/zh/ad9226#details", "AD9226")</f>
        <v>AD9226</v>
      </c>
      <c r="B207">
        <v>12</v>
      </c>
      <c r="C207">
        <v>65000000</v>
      </c>
      <c r="D207">
        <v>1</v>
      </c>
      <c r="E207">
        <v>0.6</v>
      </c>
      <c r="F207">
        <v>2</v>
      </c>
      <c r="G207" t="s">
        <v>8</v>
      </c>
      <c r="H207">
        <v>0.5</v>
      </c>
      <c r="I207" t="s">
        <v>31</v>
      </c>
      <c r="J207" t="s">
        <v>116</v>
      </c>
      <c r="K207">
        <v>21.12</v>
      </c>
      <c r="L207" t="s">
        <v>430</v>
      </c>
    </row>
    <row r="208" spans="1:12" ht="15">
      <c r="A208" s="8" t="str">
        <f>HYPERLINK("http://www.analog.com/zh/ad6644#details", "AD6644-65")</f>
        <v>AD6644-65</v>
      </c>
      <c r="B208">
        <v>14</v>
      </c>
      <c r="C208">
        <v>65000000</v>
      </c>
      <c r="D208">
        <v>1</v>
      </c>
      <c r="E208">
        <v>0.5</v>
      </c>
      <c r="F208">
        <v>2.2000000000000002</v>
      </c>
      <c r="G208" t="s">
        <v>8</v>
      </c>
      <c r="H208">
        <v>1.5</v>
      </c>
      <c r="I208" t="s">
        <v>431</v>
      </c>
      <c r="J208" t="s">
        <v>116</v>
      </c>
      <c r="K208">
        <v>46.95</v>
      </c>
      <c r="L208" t="s">
        <v>433</v>
      </c>
    </row>
    <row r="209" spans="1:12" ht="15">
      <c r="A209" s="8" t="str">
        <f>HYPERLINK("http://www.analog.com/zh/ad6644#details", "AD6644-40")</f>
        <v>AD6644-40</v>
      </c>
      <c r="B209">
        <v>14</v>
      </c>
      <c r="C209">
        <v>40000000</v>
      </c>
      <c r="D209">
        <v>1</v>
      </c>
      <c r="E209">
        <v>0.5</v>
      </c>
      <c r="F209">
        <v>2.2000000000000002</v>
      </c>
      <c r="G209" t="s">
        <v>8</v>
      </c>
      <c r="H209">
        <v>1.5</v>
      </c>
      <c r="I209" t="s">
        <v>431</v>
      </c>
      <c r="J209" t="s">
        <v>116</v>
      </c>
      <c r="K209">
        <v>34.909999999999997</v>
      </c>
      <c r="L209" t="s">
        <v>433</v>
      </c>
    </row>
    <row r="210" spans="1:12" ht="15">
      <c r="A210" s="8" t="str">
        <f>HYPERLINK("http://www.analog.com/zh/ad9432#details", "AD9432-80")</f>
        <v>AD9432-80</v>
      </c>
      <c r="B210">
        <v>12</v>
      </c>
      <c r="C210">
        <v>80000000</v>
      </c>
      <c r="D210">
        <v>1</v>
      </c>
      <c r="E210">
        <v>0.5</v>
      </c>
      <c r="F210">
        <v>2</v>
      </c>
      <c r="G210" t="s">
        <v>8</v>
      </c>
      <c r="H210">
        <v>1</v>
      </c>
      <c r="I210" t="s">
        <v>31</v>
      </c>
      <c r="J210" t="s">
        <v>116</v>
      </c>
      <c r="K210">
        <v>29.08</v>
      </c>
      <c r="L210" t="s">
        <v>436</v>
      </c>
    </row>
    <row r="211" spans="1:12" ht="15">
      <c r="A211" s="8" t="str">
        <f>HYPERLINK("http://www.analog.com/zh/ad9432#details", "AD9432-105")</f>
        <v>AD9432-105</v>
      </c>
      <c r="B211">
        <v>12</v>
      </c>
      <c r="C211">
        <v>105000000</v>
      </c>
      <c r="D211">
        <v>1</v>
      </c>
      <c r="E211">
        <v>0.5</v>
      </c>
      <c r="F211">
        <v>2</v>
      </c>
      <c r="G211" t="s">
        <v>8</v>
      </c>
      <c r="H211">
        <v>1.1000000000000001</v>
      </c>
      <c r="I211" t="s">
        <v>31</v>
      </c>
      <c r="J211" t="s">
        <v>116</v>
      </c>
      <c r="K211">
        <v>36.119999999999997</v>
      </c>
      <c r="L211" t="s">
        <v>436</v>
      </c>
    </row>
    <row r="212" spans="1:12" ht="15">
      <c r="A212" s="8" t="str">
        <f>HYPERLINK("http://www.analog.com/zh/ad9203#details", "AD9203")</f>
        <v>AD9203</v>
      </c>
      <c r="B212">
        <v>10</v>
      </c>
      <c r="C212">
        <v>40000000</v>
      </c>
      <c r="D212">
        <v>1</v>
      </c>
      <c r="E212">
        <v>0.65</v>
      </c>
      <c r="F212">
        <v>2</v>
      </c>
      <c r="G212" t="s">
        <v>8</v>
      </c>
      <c r="H212">
        <v>0.108</v>
      </c>
      <c r="I212" t="s">
        <v>31</v>
      </c>
      <c r="J212" t="s">
        <v>116</v>
      </c>
      <c r="K212">
        <v>4.18</v>
      </c>
      <c r="L212" t="s">
        <v>440</v>
      </c>
    </row>
    <row r="213" spans="1:12" ht="15">
      <c r="A213" s="8" t="str">
        <f>HYPERLINK("http://www.analog.com/zh/ad9288#details", "AD9288-40")</f>
        <v>AD9288-40</v>
      </c>
      <c r="B213">
        <v>8</v>
      </c>
      <c r="C213">
        <v>40000000</v>
      </c>
      <c r="D213">
        <v>2</v>
      </c>
      <c r="E213">
        <v>0.5</v>
      </c>
      <c r="F213">
        <v>1.3</v>
      </c>
      <c r="G213" t="s">
        <v>8</v>
      </c>
      <c r="H213">
        <v>0.156</v>
      </c>
      <c r="I213" t="s">
        <v>31</v>
      </c>
      <c r="J213" t="s">
        <v>116</v>
      </c>
      <c r="K213">
        <v>3.78</v>
      </c>
      <c r="L213" t="s">
        <v>392</v>
      </c>
    </row>
    <row r="214" spans="1:12" ht="15">
      <c r="A214" s="8" t="str">
        <f>HYPERLINK("http://www.analog.com/zh/ad9288#details", "AD9288-100")</f>
        <v>AD9288-100</v>
      </c>
      <c r="B214">
        <v>8</v>
      </c>
      <c r="C214">
        <v>100000000</v>
      </c>
      <c r="D214">
        <v>2</v>
      </c>
      <c r="E214">
        <v>0.5</v>
      </c>
      <c r="F214">
        <v>1.3</v>
      </c>
      <c r="G214" t="s">
        <v>8</v>
      </c>
      <c r="H214">
        <v>0.18</v>
      </c>
      <c r="I214" t="s">
        <v>31</v>
      </c>
      <c r="J214" t="s">
        <v>116</v>
      </c>
      <c r="K214">
        <v>11.69</v>
      </c>
      <c r="L214" t="s">
        <v>392</v>
      </c>
    </row>
    <row r="215" spans="1:12" ht="15">
      <c r="A215" s="8" t="str">
        <f>HYPERLINK("http://www.analog.com/zh/ad9054a#details", "AD9054A-200")</f>
        <v>AD9054A-200</v>
      </c>
      <c r="B215">
        <v>8</v>
      </c>
      <c r="C215">
        <v>200000000</v>
      </c>
      <c r="D215">
        <v>1</v>
      </c>
      <c r="E215">
        <v>0.6</v>
      </c>
      <c r="F215">
        <v>1</v>
      </c>
      <c r="G215" t="s">
        <v>8</v>
      </c>
      <c r="H215">
        <v>0.78100000000000003</v>
      </c>
      <c r="I215" t="s">
        <v>8</v>
      </c>
      <c r="J215" t="s">
        <v>116</v>
      </c>
      <c r="K215" t="s">
        <v>8</v>
      </c>
      <c r="L215" t="s">
        <v>8</v>
      </c>
    </row>
    <row r="216" spans="1:12" ht="15">
      <c r="A216" s="8" t="str">
        <f>HYPERLINK("http://www.analog.com/zh/ad9054a#details", "AD9054A-135")</f>
        <v>AD9054A-135</v>
      </c>
      <c r="B216">
        <v>8</v>
      </c>
      <c r="C216">
        <v>135000000</v>
      </c>
      <c r="D216">
        <v>1</v>
      </c>
      <c r="E216">
        <v>0.6</v>
      </c>
      <c r="F216">
        <v>1</v>
      </c>
      <c r="G216" t="s">
        <v>8</v>
      </c>
      <c r="H216">
        <v>0.7</v>
      </c>
      <c r="I216" t="s">
        <v>8</v>
      </c>
      <c r="J216" t="s">
        <v>116</v>
      </c>
      <c r="K216" t="s">
        <v>8</v>
      </c>
      <c r="L216" t="s">
        <v>8</v>
      </c>
    </row>
    <row r="217" spans="1:12" ht="15">
      <c r="A217" s="8" t="str">
        <f>HYPERLINK("http://www.analog.com/zh/ad9283#details", "AD9283-80")</f>
        <v>AD9283-80</v>
      </c>
      <c r="B217">
        <v>8</v>
      </c>
      <c r="C217">
        <v>50000000</v>
      </c>
      <c r="D217">
        <v>1</v>
      </c>
      <c r="E217">
        <v>0.75</v>
      </c>
      <c r="F217">
        <v>1.0640000000000001</v>
      </c>
      <c r="G217" t="s">
        <v>8</v>
      </c>
      <c r="H217">
        <v>0.09</v>
      </c>
      <c r="I217" t="s">
        <v>31</v>
      </c>
      <c r="J217" t="s">
        <v>116</v>
      </c>
      <c r="K217">
        <v>3.34</v>
      </c>
      <c r="L217" t="s">
        <v>448</v>
      </c>
    </row>
    <row r="218" spans="1:12" ht="15">
      <c r="A218" s="8" t="str">
        <f>HYPERLINK("http://www.analog.com/zh/ad9283#details", "AD9283-50")</f>
        <v>AD9283-50</v>
      </c>
      <c r="B218">
        <v>8</v>
      </c>
      <c r="C218">
        <v>50000000</v>
      </c>
      <c r="D218">
        <v>1</v>
      </c>
      <c r="E218">
        <v>0.75</v>
      </c>
      <c r="F218">
        <v>1.0640000000000001</v>
      </c>
      <c r="G218" t="s">
        <v>8</v>
      </c>
      <c r="H218">
        <v>0.08</v>
      </c>
      <c r="I218" t="s">
        <v>31</v>
      </c>
      <c r="J218" t="s">
        <v>116</v>
      </c>
      <c r="K218">
        <v>2.78</v>
      </c>
      <c r="L218" t="s">
        <v>448</v>
      </c>
    </row>
    <row r="219" spans="1:12" ht="15">
      <c r="A219" s="8" t="str">
        <f>HYPERLINK("http://www.analog.com/zh/ad9283#details", "AD9283-100")</f>
        <v>AD9283-100</v>
      </c>
      <c r="B219">
        <v>8</v>
      </c>
      <c r="C219">
        <v>100000000</v>
      </c>
      <c r="D219">
        <v>1</v>
      </c>
      <c r="E219">
        <v>0.75</v>
      </c>
      <c r="F219">
        <v>1.0640000000000001</v>
      </c>
      <c r="G219" t="s">
        <v>8</v>
      </c>
      <c r="H219">
        <v>0.09</v>
      </c>
      <c r="I219" t="s">
        <v>31</v>
      </c>
      <c r="J219" t="s">
        <v>116</v>
      </c>
      <c r="K219">
        <v>6.13</v>
      </c>
      <c r="L219" t="s">
        <v>448</v>
      </c>
    </row>
    <row r="220" spans="1:12" ht="15">
      <c r="A220" s="8" t="str">
        <f>HYPERLINK("http://www.analog.com/zh/ad9225#details", "AD9225")</f>
        <v>AD9225</v>
      </c>
      <c r="B220">
        <v>12</v>
      </c>
      <c r="C220">
        <v>25000000</v>
      </c>
      <c r="D220">
        <v>1</v>
      </c>
      <c r="E220">
        <v>1</v>
      </c>
      <c r="F220">
        <v>4</v>
      </c>
      <c r="G220" t="s">
        <v>8</v>
      </c>
      <c r="H220">
        <v>0.38300000000000001</v>
      </c>
      <c r="I220" t="s">
        <v>31</v>
      </c>
      <c r="J220" t="s">
        <v>116</v>
      </c>
      <c r="K220">
        <v>15.92</v>
      </c>
      <c r="L220" t="s">
        <v>453</v>
      </c>
    </row>
    <row r="221" spans="1:12" ht="15">
      <c r="A221" s="8" t="str">
        <f>HYPERLINK("http://www.analog.com/zh/ad9224#details", "AD9224")</f>
        <v>AD9224</v>
      </c>
      <c r="B221">
        <v>12</v>
      </c>
      <c r="C221">
        <v>40000000</v>
      </c>
      <c r="D221">
        <v>1</v>
      </c>
      <c r="E221">
        <v>1.5</v>
      </c>
      <c r="F221">
        <v>4</v>
      </c>
      <c r="G221" t="s">
        <v>8</v>
      </c>
      <c r="H221">
        <v>0.45</v>
      </c>
      <c r="I221" t="s">
        <v>31</v>
      </c>
      <c r="J221" t="s">
        <v>116</v>
      </c>
      <c r="K221">
        <v>13.41</v>
      </c>
      <c r="L221" t="s">
        <v>423</v>
      </c>
    </row>
    <row r="222" spans="1:12" ht="15">
      <c r="A222" s="8" t="str">
        <f>HYPERLINK("http://www.analog.com/zh/ad9051#details", "AD9051")</f>
        <v>AD9051</v>
      </c>
      <c r="B222">
        <v>10</v>
      </c>
      <c r="C222">
        <v>60000000</v>
      </c>
      <c r="D222">
        <v>1</v>
      </c>
      <c r="E222">
        <v>0.75</v>
      </c>
      <c r="F222">
        <v>1.3</v>
      </c>
      <c r="G222" t="s">
        <v>8</v>
      </c>
      <c r="H222">
        <v>0.315</v>
      </c>
      <c r="I222" t="s">
        <v>8</v>
      </c>
      <c r="J222" t="s">
        <v>116</v>
      </c>
      <c r="K222">
        <v>7.66</v>
      </c>
      <c r="L222" t="s">
        <v>423</v>
      </c>
    </row>
    <row r="223" spans="1:12" ht="15">
      <c r="A223" s="8" t="str">
        <f>HYPERLINK("http://www.analog.com/zh/ad9281#details", "AD9281")</f>
        <v>AD9281</v>
      </c>
      <c r="B223">
        <v>8</v>
      </c>
      <c r="C223">
        <v>28000000</v>
      </c>
      <c r="D223">
        <v>2</v>
      </c>
      <c r="E223">
        <v>0.25</v>
      </c>
      <c r="F223">
        <v>2.25</v>
      </c>
      <c r="G223" t="s">
        <v>8</v>
      </c>
      <c r="H223">
        <v>0.26</v>
      </c>
      <c r="I223" t="s">
        <v>31</v>
      </c>
      <c r="J223" t="s">
        <v>116</v>
      </c>
      <c r="K223">
        <v>4.3</v>
      </c>
      <c r="L223" t="s">
        <v>423</v>
      </c>
    </row>
    <row r="224" spans="1:12" ht="15">
      <c r="A224" s="8" t="str">
        <f>HYPERLINK("http://www.analog.com/zh/ad9201#details", "AD9201")</f>
        <v>AD9201</v>
      </c>
      <c r="B224">
        <v>10</v>
      </c>
      <c r="C224">
        <v>20000000</v>
      </c>
      <c r="D224">
        <v>2</v>
      </c>
      <c r="E224">
        <v>1.2</v>
      </c>
      <c r="F224">
        <v>2.25</v>
      </c>
      <c r="G224" t="s">
        <v>8</v>
      </c>
      <c r="H224">
        <v>0.245</v>
      </c>
      <c r="I224" t="s">
        <v>31</v>
      </c>
      <c r="J224" t="s">
        <v>116</v>
      </c>
      <c r="K224">
        <v>5.51</v>
      </c>
      <c r="L224" t="s">
        <v>423</v>
      </c>
    </row>
    <row r="225" spans="1:12" ht="15">
      <c r="A225" s="8" t="str">
        <f>HYPERLINK("http://www.analog.com/zh/ad6640#details", "AD6640")</f>
        <v>AD6640</v>
      </c>
      <c r="B225">
        <v>12</v>
      </c>
      <c r="C225">
        <v>65000000</v>
      </c>
      <c r="D225">
        <v>1</v>
      </c>
      <c r="E225">
        <v>1.25</v>
      </c>
      <c r="F225">
        <v>2</v>
      </c>
      <c r="G225" t="s">
        <v>8</v>
      </c>
      <c r="H225">
        <v>0.86499999999999999</v>
      </c>
      <c r="I225" t="s">
        <v>31</v>
      </c>
      <c r="J225" t="s">
        <v>116</v>
      </c>
      <c r="K225">
        <v>43.44</v>
      </c>
      <c r="L225" t="s">
        <v>464</v>
      </c>
    </row>
    <row r="226" spans="1:12" ht="15">
      <c r="A226" s="8" t="str">
        <f>HYPERLINK("http://www.analog.com/zh/ad7720#details", "AD7720")</f>
        <v>AD7720</v>
      </c>
      <c r="B226">
        <v>16</v>
      </c>
      <c r="C226">
        <v>12500000</v>
      </c>
      <c r="D226">
        <v>1</v>
      </c>
      <c r="E226">
        <v>2</v>
      </c>
      <c r="F226">
        <v>2.62</v>
      </c>
      <c r="G226" t="s">
        <v>8</v>
      </c>
      <c r="H226">
        <v>0.215</v>
      </c>
      <c r="I226" t="s">
        <v>31</v>
      </c>
      <c r="J226" t="s">
        <v>183</v>
      </c>
      <c r="K226">
        <v>11.42</v>
      </c>
      <c r="L226" t="s">
        <v>440</v>
      </c>
    </row>
    <row r="227" spans="1:12" ht="15">
      <c r="A227" s="8" t="str">
        <f>HYPERLINK("http://www.analog.com/zh/ad9280#details", "AD9280")</f>
        <v>AD9280</v>
      </c>
      <c r="B227">
        <v>8</v>
      </c>
      <c r="C227">
        <v>32000000</v>
      </c>
      <c r="D227">
        <v>1</v>
      </c>
      <c r="E227">
        <v>0.3</v>
      </c>
      <c r="F227">
        <v>2</v>
      </c>
      <c r="G227" t="s">
        <v>8</v>
      </c>
      <c r="H227">
        <v>0.11</v>
      </c>
      <c r="I227" t="s">
        <v>31</v>
      </c>
      <c r="J227" t="s">
        <v>116</v>
      </c>
      <c r="K227">
        <v>2.4</v>
      </c>
      <c r="L227" t="s">
        <v>423</v>
      </c>
    </row>
    <row r="228" spans="1:12" ht="15">
      <c r="A228" s="8" t="str">
        <f>HYPERLINK("http://www.analog.com/zh/ad9240#details", "AD9240")</f>
        <v>AD9240</v>
      </c>
      <c r="B228">
        <v>14</v>
      </c>
      <c r="C228">
        <v>10000000</v>
      </c>
      <c r="D228">
        <v>1</v>
      </c>
      <c r="E228">
        <v>2.5</v>
      </c>
      <c r="F228">
        <v>5</v>
      </c>
      <c r="G228" t="s">
        <v>8</v>
      </c>
      <c r="H228">
        <v>0.33</v>
      </c>
      <c r="I228" t="s">
        <v>156</v>
      </c>
      <c r="J228" t="s">
        <v>116</v>
      </c>
      <c r="K228">
        <v>20.21</v>
      </c>
      <c r="L228" t="s">
        <v>471</v>
      </c>
    </row>
    <row r="229" spans="1:12" ht="15">
      <c r="A229" s="8" t="str">
        <f>HYPERLINK("http://www.analog.com/zh/ad9200#details", "AD9200")</f>
        <v>AD9200</v>
      </c>
      <c r="B229">
        <v>10</v>
      </c>
      <c r="C229">
        <v>20000000</v>
      </c>
      <c r="D229">
        <v>1</v>
      </c>
      <c r="E229">
        <v>0.75</v>
      </c>
      <c r="F229">
        <v>2</v>
      </c>
      <c r="G229" t="s">
        <v>8</v>
      </c>
      <c r="H229">
        <v>0.1</v>
      </c>
      <c r="I229" t="s">
        <v>31</v>
      </c>
      <c r="J229" t="s">
        <v>116</v>
      </c>
      <c r="K229">
        <v>2.78</v>
      </c>
      <c r="L229" t="s">
        <v>472</v>
      </c>
    </row>
    <row r="230" spans="1:12" ht="15">
      <c r="A230" s="8" t="str">
        <f>HYPERLINK("http://www.analog.com/zh/ad9059#details", "AD9059")</f>
        <v>AD9059</v>
      </c>
      <c r="B230">
        <v>8</v>
      </c>
      <c r="C230">
        <v>60000000</v>
      </c>
      <c r="D230">
        <v>2</v>
      </c>
      <c r="E230">
        <v>0.75</v>
      </c>
      <c r="F230">
        <v>1</v>
      </c>
      <c r="G230" t="s">
        <v>8</v>
      </c>
      <c r="H230">
        <v>0.505</v>
      </c>
      <c r="I230" t="s">
        <v>31</v>
      </c>
      <c r="J230" t="s">
        <v>116</v>
      </c>
      <c r="K230">
        <v>14.55</v>
      </c>
      <c r="L230" t="s">
        <v>423</v>
      </c>
    </row>
    <row r="231" spans="1:12" ht="15">
      <c r="A231" s="8" t="str">
        <f>HYPERLINK("http://www.analog.com/zh/ad9057#details", "AD9057-80")</f>
        <v>AD9057-80</v>
      </c>
      <c r="B231">
        <v>8</v>
      </c>
      <c r="C231">
        <v>80000000</v>
      </c>
      <c r="D231">
        <v>1</v>
      </c>
      <c r="E231">
        <v>0.75</v>
      </c>
      <c r="F231">
        <v>1</v>
      </c>
      <c r="G231" t="s">
        <v>8</v>
      </c>
      <c r="H231">
        <v>0.28100000000000003</v>
      </c>
      <c r="I231" t="s">
        <v>107</v>
      </c>
      <c r="J231" t="s">
        <v>116</v>
      </c>
      <c r="K231">
        <v>3.67</v>
      </c>
      <c r="L231" t="s">
        <v>448</v>
      </c>
    </row>
    <row r="232" spans="1:12" ht="15">
      <c r="A232" s="8" t="str">
        <f>HYPERLINK("http://www.analog.com/zh/ad9057#details", "AD9057-60")</f>
        <v>AD9057-60</v>
      </c>
      <c r="B232">
        <v>8</v>
      </c>
      <c r="C232">
        <v>60000000</v>
      </c>
      <c r="D232" t="s">
        <v>8</v>
      </c>
      <c r="E232">
        <v>0.75</v>
      </c>
      <c r="F232" t="s">
        <v>8</v>
      </c>
      <c r="G232" t="s">
        <v>8</v>
      </c>
      <c r="H232">
        <v>0.20499999999999999</v>
      </c>
      <c r="I232" t="s">
        <v>107</v>
      </c>
      <c r="J232" t="s">
        <v>116</v>
      </c>
      <c r="K232">
        <v>3.18</v>
      </c>
      <c r="L232" t="s">
        <v>448</v>
      </c>
    </row>
    <row r="233" spans="1:12" ht="15">
      <c r="A233" s="8" t="str">
        <f>HYPERLINK("http://www.analog.com/zh/ad9057#details", "AD9057-40")</f>
        <v>AD9057-40</v>
      </c>
      <c r="B233">
        <v>8</v>
      </c>
      <c r="C233">
        <v>40000000</v>
      </c>
      <c r="D233">
        <v>1</v>
      </c>
      <c r="E233">
        <v>0.75</v>
      </c>
      <c r="F233">
        <v>1</v>
      </c>
      <c r="G233" t="s">
        <v>8</v>
      </c>
      <c r="H233">
        <v>0.28100000000000003</v>
      </c>
      <c r="I233" t="s">
        <v>107</v>
      </c>
      <c r="J233" t="s">
        <v>116</v>
      </c>
      <c r="K233">
        <v>2.82</v>
      </c>
      <c r="L233" t="s">
        <v>448</v>
      </c>
    </row>
    <row r="234" spans="1:12" ht="15">
      <c r="A234" s="8" t="str">
        <f>HYPERLINK("http://www.analog.com/zh/ad10242#details", "AD10242")</f>
        <v>AD10242</v>
      </c>
      <c r="B234">
        <v>12</v>
      </c>
      <c r="C234">
        <v>40000000</v>
      </c>
      <c r="D234">
        <v>2</v>
      </c>
      <c r="E234">
        <v>0.3</v>
      </c>
      <c r="F234">
        <v>4</v>
      </c>
      <c r="G234" t="s">
        <v>8</v>
      </c>
      <c r="H234">
        <v>2</v>
      </c>
      <c r="I234" t="s">
        <v>107</v>
      </c>
      <c r="J234" t="s">
        <v>116</v>
      </c>
      <c r="K234" t="s">
        <v>8</v>
      </c>
      <c r="L234" t="s">
        <v>418</v>
      </c>
    </row>
    <row r="235" spans="1:12" ht="15">
      <c r="A235" s="8" t="str">
        <f>HYPERLINK("http://www.analog.com/zh/ad9220#details", "AD9220")</f>
        <v>AD9220</v>
      </c>
      <c r="B235">
        <v>12</v>
      </c>
      <c r="C235">
        <v>10000000</v>
      </c>
      <c r="D235">
        <v>1</v>
      </c>
      <c r="E235">
        <v>0.5</v>
      </c>
      <c r="F235">
        <v>5</v>
      </c>
      <c r="G235" t="s">
        <v>8</v>
      </c>
      <c r="H235">
        <v>0.31</v>
      </c>
      <c r="I235" t="s">
        <v>31</v>
      </c>
      <c r="J235" t="s">
        <v>116</v>
      </c>
      <c r="K235">
        <v>6.73</v>
      </c>
      <c r="L235" t="s">
        <v>453</v>
      </c>
    </row>
    <row r="236" spans="1:12" ht="15">
      <c r="A236" s="8" t="str">
        <f>HYPERLINK("http://www.analog.com/zh/ad876#details", "AD876")</f>
        <v>AD876</v>
      </c>
      <c r="B236">
        <v>10</v>
      </c>
      <c r="C236">
        <v>20000000</v>
      </c>
      <c r="D236">
        <v>1</v>
      </c>
      <c r="E236">
        <v>1</v>
      </c>
      <c r="F236">
        <v>2.9</v>
      </c>
      <c r="G236" t="s">
        <v>8</v>
      </c>
      <c r="H236">
        <v>0.19</v>
      </c>
      <c r="I236" t="s">
        <v>481</v>
      </c>
      <c r="J236" t="s">
        <v>116</v>
      </c>
      <c r="K236">
        <v>4.21</v>
      </c>
      <c r="L236" t="s">
        <v>483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Web Display</vt:lpstr>
      <vt:lpstr>Raw Data Display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wangdc</cp:lastModifiedBy>
  <dcterms:modified xsi:type="dcterms:W3CDTF">2017-07-29T03:33:04Z</dcterms:modified>
</cp:coreProperties>
</file>