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" yWindow="360" windowWidth="23400" windowHeight="9210" activeTab="1"/>
  </bookViews>
  <sheets>
    <sheet name="Cover" sheetId="1" r:id="rId1"/>
    <sheet name="Web Display" sheetId="2" r:id="rId2"/>
    <sheet name="Raw Data Display" sheetId="3" r:id="rId3"/>
  </sheets>
  <definedNames>
    <definedName name="_xlnm._FilterDatabase" localSheetId="1" hidden="1">'Web Display'!$A$1:$N$152</definedName>
  </definedNames>
  <calcPr calcId="125725"/>
</workbook>
</file>

<file path=xl/calcChain.xml><?xml version="1.0" encoding="utf-8"?>
<calcChain xmlns="http://schemas.openxmlformats.org/spreadsheetml/2006/main">
  <c r="A152" i="3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152" i="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B3" i="1"/>
</calcChain>
</file>

<file path=xl/sharedStrings.xml><?xml version="1.0" encoding="utf-8"?>
<sst xmlns="http://schemas.openxmlformats.org/spreadsheetml/2006/main" count="1650" uniqueCount="525">
  <si>
    <t>Date Created</t>
  </si>
  <si>
    <t>7/24/2017 10:55:53</t>
  </si>
  <si>
    <t>Product Type</t>
  </si>
  <si>
    <t>Precision Amplifiers (Vos &lt;=1mV &amp; TCVos&lt;=2uV/C)</t>
  </si>
  <si>
    <t>Web Link</t>
  </si>
  <si>
    <t>Filter Conditions</t>
  </si>
  <si>
    <t>Column Name</t>
  </si>
  <si>
    <t>Filter Values</t>
  </si>
  <si>
    <t/>
  </si>
  <si>
    <t>Vos (max) (V)</t>
  </si>
  <si>
    <t>&lt;= 0.001</t>
  </si>
  <si>
    <t>Vos TC (typ) (V/°C)</t>
  </si>
  <si>
    <t>&lt;= 0.000002</t>
  </si>
  <si>
    <t>产品型号</t>
  </si>
  <si>
    <t>Vs span (min)</t>
  </si>
  <si>
    <t>Vs span (max)</t>
  </si>
  <si>
    <t>Iq/Amp (typ)</t>
  </si>
  <si>
    <t># of Amps</t>
  </si>
  <si>
    <t>Ibias (max)</t>
  </si>
  <si>
    <t>Vos (max)</t>
  </si>
  <si>
    <t>Vos TC (typ)</t>
  </si>
  <si>
    <t>GBP (typ)</t>
  </si>
  <si>
    <t>Slew Rate (typ)</t>
  </si>
  <si>
    <t>0.1 to 10 Hz VNoise (typ)</t>
  </si>
  <si>
    <t>VNoise Density (typ)</t>
  </si>
  <si>
    <t>US Price 1000 to 4999</t>
  </si>
  <si>
    <t>Package</t>
  </si>
  <si>
    <t>(V)</t>
  </si>
  <si>
    <t>(A)</t>
  </si>
  <si>
    <t>(V/°C)</t>
  </si>
  <si>
    <t>(Hz)</t>
  </si>
  <si>
    <t>(V/us)</t>
  </si>
  <si>
    <t>(V p-p)</t>
  </si>
  <si>
    <t>(V/rtHz)</t>
  </si>
  <si>
    <t>($ US)</t>
  </si>
  <si>
    <t>665µ</t>
  </si>
  <si>
    <t>10p</t>
  </si>
  <si>
    <t>350µ</t>
  </si>
  <si>
    <t>2µ</t>
  </si>
  <si>
    <t>8M</t>
  </si>
  <si>
    <t>750n</t>
  </si>
  <si>
    <t>12.5n</t>
  </si>
  <si>
    <t>$3.38</t>
  </si>
  <si>
    <t>16 ld LFCSP (4x4mm, 2.35mm exposed pad),14 ld SOIC</t>
  </si>
  <si>
    <t>715µ</t>
  </si>
  <si>
    <t>$1.26</t>
  </si>
  <si>
    <t>5 ld SOT-23,8 ld SOIC</t>
  </si>
  <si>
    <t>840µ</t>
  </si>
  <si>
    <t>150p</t>
  </si>
  <si>
    <t>5µ</t>
  </si>
  <si>
    <t>2.5n</t>
  </si>
  <si>
    <t>2.7M</t>
  </si>
  <si>
    <t>117n</t>
  </si>
  <si>
    <t>5.8n</t>
  </si>
  <si>
    <t>$0.84</t>
  </si>
  <si>
    <t>8 ld SOIC,8 ld MSOP</t>
  </si>
  <si>
    <t>1m</t>
  </si>
  <si>
    <t>1.5µ</t>
  </si>
  <si>
    <t>100µ</t>
  </si>
  <si>
    <t>700n</t>
  </si>
  <si>
    <t>200M</t>
  </si>
  <si>
    <t>160n</t>
  </si>
  <si>
    <t>3.3n</t>
  </si>
  <si>
    <t>$2.49</t>
  </si>
  <si>
    <t>14 ld TSSOP</t>
  </si>
  <si>
    <t>570µ</t>
  </si>
  <si>
    <t>800n</t>
  </si>
  <si>
    <t>125µ</t>
  </si>
  <si>
    <t>200n</t>
  </si>
  <si>
    <t>30M</t>
  </si>
  <si>
    <t>5.2n</t>
  </si>
  <si>
    <t>$0.99</t>
  </si>
  <si>
    <t>8 ld SOT-23</t>
  </si>
  <si>
    <t>0.75µ</t>
  </si>
  <si>
    <t>$1.97</t>
  </si>
  <si>
    <t>8 ld MSOP,8 ld LFCSP (3x3mm 1.74x1.45mm EP),8 ld SOIC</t>
  </si>
  <si>
    <t>900µ</t>
  </si>
  <si>
    <t>20f</t>
  </si>
  <si>
    <t>40µ</t>
  </si>
  <si>
    <t>0.13µ</t>
  </si>
  <si>
    <t>2M</t>
  </si>
  <si>
    <t>4µ</t>
  </si>
  <si>
    <t>14n</t>
  </si>
  <si>
    <t>$11.40</t>
  </si>
  <si>
    <t>8 ld SOIC</t>
  </si>
  <si>
    <t>830µ</t>
  </si>
  <si>
    <t>$3.10</t>
  </si>
  <si>
    <t>14 ld TSSOP,14 ld SOIC</t>
  </si>
  <si>
    <t>4n</t>
  </si>
  <si>
    <t>$1.46</t>
  </si>
  <si>
    <t>8 ld MSOP,8 ld SOIC</t>
  </si>
  <si>
    <t>$1.75</t>
  </si>
  <si>
    <t>10 ld LFCSP (3x3mm),8 ld MSOP</t>
  </si>
  <si>
    <t>8.5m</t>
  </si>
  <si>
    <t>1p</t>
  </si>
  <si>
    <t>80µ</t>
  </si>
  <si>
    <t>100n</t>
  </si>
  <si>
    <t>175M</t>
  </si>
  <si>
    <t>5n</t>
  </si>
  <si>
    <t>$5.73</t>
  </si>
  <si>
    <t>28 ld TSSOP (4.4mm)</t>
  </si>
  <si>
    <t>500µ</t>
  </si>
  <si>
    <t>1n</t>
  </si>
  <si>
    <t>60µ</t>
  </si>
  <si>
    <t>1µ</t>
  </si>
  <si>
    <t>3.5M</t>
  </si>
  <si>
    <t>175n</t>
  </si>
  <si>
    <t>8n</t>
  </si>
  <si>
    <t>$0.85</t>
  </si>
  <si>
    <t>$1.09</t>
  </si>
  <si>
    <t>6 ld SC70,6 ld SOT-23</t>
  </si>
  <si>
    <t>$3.14</t>
  </si>
  <si>
    <t>$1.53</t>
  </si>
  <si>
    <t>1.6m</t>
  </si>
  <si>
    <t>25p</t>
  </si>
  <si>
    <t>400µ</t>
  </si>
  <si>
    <t>16.3M</t>
  </si>
  <si>
    <t>450n</t>
  </si>
  <si>
    <t>7.3n</t>
  </si>
  <si>
    <t>$3.65</t>
  </si>
  <si>
    <t>16 ld LFCSP (4x4mm, 2.1mm exposed pad) ,14 ld SOIC</t>
  </si>
  <si>
    <t>625µ</t>
  </si>
  <si>
    <t>400n</t>
  </si>
  <si>
    <t>500n</t>
  </si>
  <si>
    <t>15.9M</t>
  </si>
  <si>
    <t>3.9n</t>
  </si>
  <si>
    <t>$1.50</t>
  </si>
  <si>
    <t>$4.45</t>
  </si>
  <si>
    <t>16 ld LFCSP 4x4 ,14 ld TSSOP</t>
  </si>
  <si>
    <t>35µ</t>
  </si>
  <si>
    <t>250n</t>
  </si>
  <si>
    <t>3.9M</t>
  </si>
  <si>
    <t>7n</t>
  </si>
  <si>
    <t>$0.77</t>
  </si>
  <si>
    <t>$2.90</t>
  </si>
  <si>
    <t>630µ</t>
  </si>
  <si>
    <t>3p</t>
  </si>
  <si>
    <t>600n</t>
  </si>
  <si>
    <t>4M</t>
  </si>
  <si>
    <t>3µ</t>
  </si>
  <si>
    <t>18n</t>
  </si>
  <si>
    <t>$1.13</t>
  </si>
  <si>
    <t>8 ld MSOP,8 ld LFCSP (3x3mm, 1.6x2.34mm exposed pad</t>
  </si>
  <si>
    <t>1.1m</t>
  </si>
  <si>
    <t>250µ</t>
  </si>
  <si>
    <t>350n</t>
  </si>
  <si>
    <t>9.7M</t>
  </si>
  <si>
    <t>130n</t>
  </si>
  <si>
    <t>4.2n</t>
  </si>
  <si>
    <t>$68.00</t>
  </si>
  <si>
    <t>8 ld Flatpack,CHIPS OR DIE,8 ld SOIC</t>
  </si>
  <si>
    <t>3m</t>
  </si>
  <si>
    <t>6µ</t>
  </si>
  <si>
    <t>150n</t>
  </si>
  <si>
    <t>1.5G</t>
  </si>
  <si>
    <t>99n</t>
  </si>
  <si>
    <t>$1.89</t>
  </si>
  <si>
    <t>6 ld SOT-23,8 ld SOIC</t>
  </si>
  <si>
    <t>$3.21</t>
  </si>
  <si>
    <t>10 ld MSOP</t>
  </si>
  <si>
    <t>1.55m</t>
  </si>
  <si>
    <t>2p</t>
  </si>
  <si>
    <t>120µ</t>
  </si>
  <si>
    <t>900n</t>
  </si>
  <si>
    <t>10M</t>
  </si>
  <si>
    <t>14.5n</t>
  </si>
  <si>
    <t>$0.98</t>
  </si>
  <si>
    <t>8 ld LFCSP (3x3mm, 1.6x2.34mm exposed pad,8 ld MSOP</t>
  </si>
  <si>
    <t>$1.38</t>
  </si>
  <si>
    <t>1.4m</t>
  </si>
  <si>
    <t>250p</t>
  </si>
  <si>
    <t>2.5µ</t>
  </si>
  <si>
    <t>2n</t>
  </si>
  <si>
    <t>3.4M</t>
  </si>
  <si>
    <t>500m</t>
  </si>
  <si>
    <t>5.9n</t>
  </si>
  <si>
    <t>$1.52</t>
  </si>
  <si>
    <t>8 ld LFCSP (2.44x1.6 6mm EP),8 ld MSOP,8 ld LFCSP (3x3mm, 1.6x2.34mm exposed pad</t>
  </si>
  <si>
    <t>25n</t>
  </si>
  <si>
    <t>300µ</t>
  </si>
  <si>
    <t>786k</t>
  </si>
  <si>
    <t>400m</t>
  </si>
  <si>
    <t>27n</t>
  </si>
  <si>
    <t>$2.70</t>
  </si>
  <si>
    <t>14 ld TSSOP,16 ld LFCSP (3x3mm, 1.6mm exposed pad)</t>
  </si>
  <si>
    <t>22µ</t>
  </si>
  <si>
    <t>20p</t>
  </si>
  <si>
    <t>230k</t>
  </si>
  <si>
    <t>80m</t>
  </si>
  <si>
    <t>45n</t>
  </si>
  <si>
    <t>$1.35</t>
  </si>
  <si>
    <t>$1.43</t>
  </si>
  <si>
    <t>8 ld LFCSP (3x3mm, 1.6x2.34mm exposed pad,8 ld MSOP,8 ld SOIC</t>
  </si>
  <si>
    <t>17µ</t>
  </si>
  <si>
    <t>90M</t>
  </si>
  <si>
    <t>CHIPS OR DIE,10 ld MSOP</t>
  </si>
  <si>
    <t>850µ</t>
  </si>
  <si>
    <t>90p</t>
  </si>
  <si>
    <t>4.5µ</t>
  </si>
  <si>
    <t>80n</t>
  </si>
  <si>
    <t>1.5M</t>
  </si>
  <si>
    <t>1.2µ</t>
  </si>
  <si>
    <t>66n</t>
  </si>
  <si>
    <t>$1.28</t>
  </si>
  <si>
    <t>8 ld LFCSP (3x3mm, 1.6x2.34mm exposed pad,8 ld SOIC</t>
  </si>
  <si>
    <t>$2.85</t>
  </si>
  <si>
    <t>$1.87</t>
  </si>
  <si>
    <t>8 ld LFCSP (2x2, w/1.6 x1.0 ep) ,8 ld MSOP</t>
  </si>
  <si>
    <t>200p</t>
  </si>
  <si>
    <t>$0.95</t>
  </si>
  <si>
    <t>7m</t>
  </si>
  <si>
    <t>5p</t>
  </si>
  <si>
    <t>200µ</t>
  </si>
  <si>
    <t>79.9M</t>
  </si>
  <si>
    <t>4.8n</t>
  </si>
  <si>
    <t>$3.47</t>
  </si>
  <si>
    <t>8 ld LFCSP (3x3mm 1.74x1.45mm EP),8 ld SOIC</t>
  </si>
  <si>
    <t>7.9m</t>
  </si>
  <si>
    <t>50M</t>
  </si>
  <si>
    <t>900p</t>
  </si>
  <si>
    <t>8 ld SOIC-EP (2.41mm Exposed pad)</t>
  </si>
  <si>
    <t>215µ</t>
  </si>
  <si>
    <t>560k</t>
  </si>
  <si>
    <t>480m</t>
  </si>
  <si>
    <t>11n</t>
  </si>
  <si>
    <t>$3.56</t>
  </si>
  <si>
    <t>14 ld TSSOP,16 ld LFCSP 4x4</t>
  </si>
  <si>
    <t>15µ</t>
  </si>
  <si>
    <t>70p</t>
  </si>
  <si>
    <t>20n</t>
  </si>
  <si>
    <t>125k</t>
  </si>
  <si>
    <t>60m</t>
  </si>
  <si>
    <t>1.96µ</t>
  </si>
  <si>
    <t>95n</t>
  </si>
  <si>
    <t>$0.93</t>
  </si>
  <si>
    <t>5 ld SC70,5 ld SOT-23</t>
  </si>
  <si>
    <t>19M</t>
  </si>
  <si>
    <t>8 ld SOIC,8 ld LFCSP (3x3mm 1.74x1.45mm EP)</t>
  </si>
  <si>
    <t>13µ</t>
  </si>
  <si>
    <t>$1.47</t>
  </si>
  <si>
    <t>8 ld MSOP,8 ld LFCSP (3x3mm 1.74x1.45mm EP)</t>
  </si>
  <si>
    <t>$1.96</t>
  </si>
  <si>
    <t>2.25m</t>
  </si>
  <si>
    <t>300n</t>
  </si>
  <si>
    <t>6.5M</t>
  </si>
  <si>
    <t>60n</t>
  </si>
  <si>
    <t>2.8n</t>
  </si>
  <si>
    <t>$0.75</t>
  </si>
  <si>
    <t>8 ld LFCSP (2x2mm) ,8 ld SOIC</t>
  </si>
  <si>
    <t>2.2m</t>
  </si>
  <si>
    <t>90n</t>
  </si>
  <si>
    <t>12M</t>
  </si>
  <si>
    <t>1.8n</t>
  </si>
  <si>
    <t>$1.73</t>
  </si>
  <si>
    <t>$1.14</t>
  </si>
  <si>
    <t>8 ld SOIC,5 ld SOT-23</t>
  </si>
  <si>
    <t>5.7m</t>
  </si>
  <si>
    <t>76n</t>
  </si>
  <si>
    <t>1.07n</t>
  </si>
  <si>
    <t>$2.25</t>
  </si>
  <si>
    <t>8.1m</t>
  </si>
  <si>
    <t>$2.29</t>
  </si>
  <si>
    <t>8 ld SOIC-EP</t>
  </si>
  <si>
    <t>1.5m</t>
  </si>
  <si>
    <t>75p</t>
  </si>
  <si>
    <t>9µ</t>
  </si>
  <si>
    <t>30n</t>
  </si>
  <si>
    <t>$1.86</t>
  </si>
  <si>
    <t>8 ld LFCSP (3x3mm 1.74x2.38 EP) ,8 ld MSOP,8 ld SOIC</t>
  </si>
  <si>
    <t>285µ</t>
  </si>
  <si>
    <t>45p</t>
  </si>
  <si>
    <t>520k</t>
  </si>
  <si>
    <t>300m</t>
  </si>
  <si>
    <t>21n</t>
  </si>
  <si>
    <t>$1.08</t>
  </si>
  <si>
    <t>540k</t>
  </si>
  <si>
    <t>$1.17</t>
  </si>
  <si>
    <t>$1.58</t>
  </si>
  <si>
    <t>210µ</t>
  </si>
  <si>
    <t>60p</t>
  </si>
  <si>
    <t>430k</t>
  </si>
  <si>
    <t>52n</t>
  </si>
  <si>
    <t>$0.72</t>
  </si>
  <si>
    <t>$3.24</t>
  </si>
  <si>
    <t>2.9m</t>
  </si>
  <si>
    <t>50µ</t>
  </si>
  <si>
    <t>$1.66</t>
  </si>
  <si>
    <t>160µ</t>
  </si>
  <si>
    <t>10n</t>
  </si>
  <si>
    <t>$2.23</t>
  </si>
  <si>
    <t>150µ</t>
  </si>
  <si>
    <t>600k</t>
  </si>
  <si>
    <t>200m</t>
  </si>
  <si>
    <t>$0.45</t>
  </si>
  <si>
    <t>8 ld PDIP,8 ld SOIC</t>
  </si>
  <si>
    <t>$3.41</t>
  </si>
  <si>
    <t>14 ld SOIC,16 ld LFCSP (4x4mm, 2.1mm exposed pad)</t>
  </si>
  <si>
    <t>1.3m</t>
  </si>
  <si>
    <t>130µ</t>
  </si>
  <si>
    <t>$0.76</t>
  </si>
  <si>
    <t>8 ld SOIC,5 ld TSOT</t>
  </si>
  <si>
    <t>180µ</t>
  </si>
  <si>
    <t>50n</t>
  </si>
  <si>
    <t>$0.50</t>
  </si>
  <si>
    <t>5 ld TSOT,8 ld SOIC</t>
  </si>
  <si>
    <t>1.2m</t>
  </si>
  <si>
    <t>5.3µ</t>
  </si>
  <si>
    <t>35M</t>
  </si>
  <si>
    <t>2.1n</t>
  </si>
  <si>
    <t>$2.32</t>
  </si>
  <si>
    <t>8 ld LFCSP (3x3mm, 1.6x2.34mm exposed pad,8 ld MSOP,CHIPS OR DIE,8 ld SOIC</t>
  </si>
  <si>
    <t>75µ</t>
  </si>
  <si>
    <t>$1.18</t>
  </si>
  <si>
    <t>$1.59</t>
  </si>
  <si>
    <t>4.5m</t>
  </si>
  <si>
    <t>28M</t>
  </si>
  <si>
    <t>2.7n</t>
  </si>
  <si>
    <t>$1.25</t>
  </si>
  <si>
    <t>$0.80</t>
  </si>
  <si>
    <t>300p</t>
  </si>
  <si>
    <t>2.5M</t>
  </si>
  <si>
    <t>22n</t>
  </si>
  <si>
    <t>$2.73</t>
  </si>
  <si>
    <t>14 ld SOIC,14 ld TSSOP</t>
  </si>
  <si>
    <t>100p</t>
  </si>
  <si>
    <t>8 ld SOIC,8 ld MSOP,SOIC 150 MIL</t>
  </si>
  <si>
    <t>2m</t>
  </si>
  <si>
    <t>24M</t>
  </si>
  <si>
    <t>2.4µ</t>
  </si>
  <si>
    <t>3.5m</t>
  </si>
  <si>
    <t>12n</t>
  </si>
  <si>
    <t>77n</t>
  </si>
  <si>
    <t>$1.62</t>
  </si>
  <si>
    <t>1.7m</t>
  </si>
  <si>
    <t>$1.29</t>
  </si>
  <si>
    <t>316k</t>
  </si>
  <si>
    <t>100m</t>
  </si>
  <si>
    <t>2.3µ</t>
  </si>
  <si>
    <t>$1.85</t>
  </si>
  <si>
    <t>$1.02</t>
  </si>
  <si>
    <t>2.5m</t>
  </si>
  <si>
    <t>80p</t>
  </si>
  <si>
    <t>1.7µ</t>
  </si>
  <si>
    <t>7.6n</t>
  </si>
  <si>
    <t>$4.08</t>
  </si>
  <si>
    <t>$1.06</t>
  </si>
  <si>
    <t>$0.68</t>
  </si>
  <si>
    <t>5 ld TSOT</t>
  </si>
  <si>
    <t>6.5m</t>
  </si>
  <si>
    <t>11µ</t>
  </si>
  <si>
    <t>190M</t>
  </si>
  <si>
    <t>4.3n</t>
  </si>
  <si>
    <t>$1.91</t>
  </si>
  <si>
    <t>CHIPS OR DIE,8 ld SOIC,10 ld MSOP</t>
  </si>
  <si>
    <t>$1.20</t>
  </si>
  <si>
    <t>6.5n</t>
  </si>
  <si>
    <t>$1.77</t>
  </si>
  <si>
    <t>14 ld SOIC,14 ld TSSOP,CHIPS OR DIE</t>
  </si>
  <si>
    <t>54M</t>
  </si>
  <si>
    <t>6.6n</t>
  </si>
  <si>
    <t>5 ld SOT-23</t>
  </si>
  <si>
    <t>$0.73</t>
  </si>
  <si>
    <t>5 ld SOT-23,5 Ball WLCSP</t>
  </si>
  <si>
    <t>$1.05</t>
  </si>
  <si>
    <t>1.3M</t>
  </si>
  <si>
    <t>700m</t>
  </si>
  <si>
    <t>7.9n</t>
  </si>
  <si>
    <t>$3.60</t>
  </si>
  <si>
    <t>$0.96</t>
  </si>
  <si>
    <t>5 ld SOT-23,8 ld SOIC,5 ld TSOT</t>
  </si>
  <si>
    <t>25M</t>
  </si>
  <si>
    <t>1.8µ</t>
  </si>
  <si>
    <t>6n</t>
  </si>
  <si>
    <t>$7.50</t>
  </si>
  <si>
    <t>$1.31</t>
  </si>
  <si>
    <t>8 ld MSOP,8 ld SOIC,8 ball WLCSP</t>
  </si>
  <si>
    <t>$1.56</t>
  </si>
  <si>
    <t>$3.75</t>
  </si>
  <si>
    <t>$0.81</t>
  </si>
  <si>
    <t>7.8m</t>
  </si>
  <si>
    <t>11.3µ</t>
  </si>
  <si>
    <t>1G</t>
  </si>
  <si>
    <t>290µ</t>
  </si>
  <si>
    <t>700k</t>
  </si>
  <si>
    <t>15n</t>
  </si>
  <si>
    <t>$3.31</t>
  </si>
  <si>
    <t>$1.80</t>
  </si>
  <si>
    <t>8 ld TSSOP,8 ld SOIC</t>
  </si>
  <si>
    <t>750µ</t>
  </si>
  <si>
    <t>600µ</t>
  </si>
  <si>
    <t>8.4M</t>
  </si>
  <si>
    <t>$1.01</t>
  </si>
  <si>
    <t>14 ld SOIC,14 ld TSSOP,16 ld QSOP</t>
  </si>
  <si>
    <t>$0.39</t>
  </si>
  <si>
    <t>$0.48</t>
  </si>
  <si>
    <t>975µ</t>
  </si>
  <si>
    <t>50p</t>
  </si>
  <si>
    <t>1.3µ</t>
  </si>
  <si>
    <t>51n</t>
  </si>
  <si>
    <t>$3.40</t>
  </si>
  <si>
    <t>$1.78</t>
  </si>
  <si>
    <t>8 ld SOIC,8 ld TSSOP</t>
  </si>
  <si>
    <t>$1.11</t>
  </si>
  <si>
    <t>42n</t>
  </si>
  <si>
    <t>$3.43</t>
  </si>
  <si>
    <t>$1.94</t>
  </si>
  <si>
    <t>$1.22</t>
  </si>
  <si>
    <t>$1.24</t>
  </si>
  <si>
    <t>$0.94</t>
  </si>
  <si>
    <t>5 ld SOT-23,5 ld SC70</t>
  </si>
  <si>
    <t>775µ</t>
  </si>
  <si>
    <t>325µ</t>
  </si>
  <si>
    <t>15M</t>
  </si>
  <si>
    <t>9.5n</t>
  </si>
  <si>
    <t>4.25M</t>
  </si>
  <si>
    <t>$1.72</t>
  </si>
  <si>
    <t>$4.11</t>
  </si>
  <si>
    <t>450k</t>
  </si>
  <si>
    <t>26n</t>
  </si>
  <si>
    <t>$2.04</t>
  </si>
  <si>
    <t>$2.71</t>
  </si>
  <si>
    <t>14 ld SOIC,14 ld PDIP</t>
  </si>
  <si>
    <t>30µ</t>
  </si>
  <si>
    <t>35k</t>
  </si>
  <si>
    <t>15m</t>
  </si>
  <si>
    <t>65n</t>
  </si>
  <si>
    <t>$2.69</t>
  </si>
  <si>
    <t>$3.45</t>
  </si>
  <si>
    <t>CHIPS OR DIE,8 ld PDIP,8 ld SOIC</t>
  </si>
  <si>
    <t>$1.90</t>
  </si>
  <si>
    <t>420µ</t>
  </si>
  <si>
    <t>1.1µ</t>
  </si>
  <si>
    <t>3M</t>
  </si>
  <si>
    <t>700µ</t>
  </si>
  <si>
    <t>$4.20</t>
  </si>
  <si>
    <t>14 ld PDIP,14 ld TSSOP,14 ld SOIC</t>
  </si>
  <si>
    <t>35n</t>
  </si>
  <si>
    <t>$2.40</t>
  </si>
  <si>
    <t>175µ</t>
  </si>
  <si>
    <t>85k</t>
  </si>
  <si>
    <t>30m</t>
  </si>
  <si>
    <t>1.25µ</t>
  </si>
  <si>
    <t>$4.89</t>
  </si>
  <si>
    <t>16 ld SOIC - Wide,14 ld PDIP</t>
  </si>
  <si>
    <t>120n</t>
  </si>
  <si>
    <t>4.7n</t>
  </si>
  <si>
    <t>$4.61</t>
  </si>
  <si>
    <t>16 ld SOIC - Wide</t>
  </si>
  <si>
    <t>1.9M</t>
  </si>
  <si>
    <t>13n</t>
  </si>
  <si>
    <t>8 ld SOIC,8 ld MSOP,8 ld PDIP</t>
  </si>
  <si>
    <t>$2.14</t>
  </si>
  <si>
    <t>8 ld SOIC,8 ld PDIP</t>
  </si>
  <si>
    <t>9M</t>
  </si>
  <si>
    <t>$2.45</t>
  </si>
  <si>
    <t>10.5m</t>
  </si>
  <si>
    <t>110M</t>
  </si>
  <si>
    <t>$4.67</t>
  </si>
  <si>
    <t>500k</t>
  </si>
  <si>
    <t>150m</t>
  </si>
  <si>
    <t>$4.49</t>
  </si>
  <si>
    <t>16 ld SOIC - Wide,LCC:CER LEADLESS CHIP CARR,14 ld PDIP</t>
  </si>
  <si>
    <t>10m</t>
  </si>
  <si>
    <t>20M</t>
  </si>
  <si>
    <t>380n</t>
  </si>
  <si>
    <t>2.9n</t>
  </si>
  <si>
    <t>$5.86</t>
  </si>
  <si>
    <t>400p</t>
  </si>
  <si>
    <t>4.5M</t>
  </si>
  <si>
    <t>$6.16</t>
  </si>
  <si>
    <t>800k</t>
  </si>
  <si>
    <t>$2.48</t>
  </si>
  <si>
    <t>270p</t>
  </si>
  <si>
    <t>$4.54</t>
  </si>
  <si>
    <t>16 ld SOIC - Wide,20 ld LCC,14 ld PDIP</t>
  </si>
  <si>
    <t>17n</t>
  </si>
  <si>
    <t>$2.61</t>
  </si>
  <si>
    <t>8 ld SOIC,8 ld CerDIP,8 ld PDIP</t>
  </si>
  <si>
    <t>5.3m</t>
  </si>
  <si>
    <t>7µ</t>
  </si>
  <si>
    <t>750M</t>
  </si>
  <si>
    <t>1.7n</t>
  </si>
  <si>
    <t>$2.78</t>
  </si>
  <si>
    <t>8 ld SOIC,8 ld PDIP,CHIPS OR DIE,8 ld CerDIP,20 ld LCC</t>
  </si>
  <si>
    <t>4.7M</t>
  </si>
  <si>
    <t>16n</t>
  </si>
  <si>
    <t>$2.05</t>
  </si>
  <si>
    <t>8 ld SOIC,CERDIP GLASS SEAL,8 ld PDIP,LCC:CER LEADLESS CHIP CARR</t>
  </si>
  <si>
    <t>25µ</t>
  </si>
  <si>
    <t>0.1µ</t>
  </si>
  <si>
    <t>$0.83</t>
  </si>
  <si>
    <t>2.75m</t>
  </si>
  <si>
    <t>900k</t>
  </si>
  <si>
    <t>230n</t>
  </si>
  <si>
    <t>9.6n</t>
  </si>
  <si>
    <t>$3.99</t>
  </si>
  <si>
    <t>8 ld CerDIP,8 ld PDIP</t>
  </si>
  <si>
    <t>8 ld SOIC,8 ld PDIP,CERDIP GLASS SEAL</t>
  </si>
  <si>
    <t>$3.15</t>
  </si>
  <si>
    <t>8 ld CerDIP,8 ld PDIP,CERDIP GLASS SEAL,16 ld SOIC - Wide,LCC:CER LEADLESS CHIP CARR</t>
  </si>
  <si>
    <t>800µ</t>
  </si>
  <si>
    <t>$5.53</t>
  </si>
  <si>
    <t>CERDIP GLASS SEAL,16 ld SOIC - Wide,LCC:CER LEADLESS CHIP CARR</t>
  </si>
  <si>
    <t>3.25m</t>
  </si>
  <si>
    <t>5M</t>
  </si>
  <si>
    <t>3.2n</t>
  </si>
  <si>
    <t>$2.86</t>
  </si>
  <si>
    <t>8 ld PDIP,16 ld SOIC - Wide,CERDIP GLASS SEAL</t>
  </si>
  <si>
    <t>6M</t>
  </si>
  <si>
    <t>$4.52</t>
  </si>
  <si>
    <t>16 ld SOIC - Wide,LCC:CER LEADLESS CHIP CARR,CERDIP GLASS SEAL,14 ld PDIP</t>
  </si>
  <si>
    <t>725µ</t>
  </si>
  <si>
    <t>220µ</t>
  </si>
  <si>
    <t>$5.21</t>
  </si>
  <si>
    <t>14 ld CerDIP,16 ld SOIC - Wide,14 ld PDIP,LCC:CER LEADLESS CHIP CARR,CHIPS OR DIE</t>
  </si>
  <si>
    <t>$4.01</t>
  </si>
  <si>
    <t>8 ld CerDIP,ROUND HEADER/METAL CAN,LCC:CER LEADLESS CHIP CARR,CHIPS OR DIE</t>
  </si>
  <si>
    <t>40n</t>
  </si>
  <si>
    <t>3n</t>
  </si>
  <si>
    <t>$1.21</t>
  </si>
  <si>
    <t>ROUND HEADER/METAL CAN,CERDIP GLASS SEAL,8 ld SOIC,8 ld PDIP,CHIPS OR DIE</t>
  </si>
  <si>
    <t>4m</t>
  </si>
  <si>
    <t>$0.66</t>
  </si>
  <si>
    <t>VNoise Density (typ)</t>
    <phoneticPr fontId="5" type="noConversion"/>
  </si>
  <si>
    <t>Slew Rate (typ)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</si>
</sst>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name val="Calibri"/>
    </font>
    <font>
      <u/>
      <sz val="11"/>
      <color rgb="FF0563C1"/>
      <name val="Calibri"/>
    </font>
    <font>
      <b/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5D9F1"/>
        <bgColor rgb="FFC5D9F1"/>
      </patternFill>
    </fill>
    <fill>
      <patternFill patternType="solid">
        <fgColor rgb="FFC5D9F1"/>
        <bgColor rgb="FFC5D9F1"/>
      </patternFill>
    </fill>
    <fill>
      <patternFill patternType="solid">
        <fgColor rgb="FFC5D9F1"/>
        <bgColor rgb="FFC5D9F1"/>
      </patternFill>
    </fill>
    <fill>
      <patternFill patternType="solid">
        <fgColor rgb="FFC5D9F1"/>
        <bgColor rgb="FFC5D9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4" fillId="0" borderId="0" xfId="0" applyFont="1"/>
    <xf numFmtId="0" fontId="3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6" fillId="3" borderId="0" xfId="0" applyFont="1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0" customWidth="1"/>
    <col min="2" max="2" width="25" customWidth="1"/>
    <col min="3" max="3" width="20" customWidth="1"/>
  </cols>
  <sheetData>
    <row r="1" spans="1:3">
      <c r="A1" s="2" t="s">
        <v>0</v>
      </c>
      <c r="B1" t="s">
        <v>1</v>
      </c>
    </row>
    <row r="2" spans="1:3">
      <c r="A2" s="2" t="s">
        <v>2</v>
      </c>
      <c r="B2" t="s">
        <v>3</v>
      </c>
    </row>
    <row r="3" spans="1:3">
      <c r="A3" s="2" t="s">
        <v>4</v>
      </c>
      <c r="B3" s="1" t="str">
        <f>HYPERLINK("http://www.analog.com/cn/parametricsearch/11094#/p4501=0.0000025|0.001&amp;p4089=0.000000002|0.000002", "http://www.analog.com/cn/parametricsearch/11094#/p4501=0.0000025|0.001&amp;p4089=0.000000002|0.000002")</f>
        <v>http://www.analog.com/cn/parametricsearch/11094#/p4501=0.0000025|0.001&amp;p4089=0.000000002|0.000002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152"/>
  <sheetViews>
    <sheetView tabSelected="1" workbookViewId="0">
      <selection activeCell="K157" sqref="K157"/>
    </sheetView>
  </sheetViews>
  <sheetFormatPr defaultRowHeight="15"/>
  <cols>
    <col min="1" max="1" width="15" customWidth="1"/>
    <col min="2" max="3" width="16" customWidth="1"/>
    <col min="4" max="9" width="15" customWidth="1"/>
    <col min="10" max="10" width="13.85546875" customWidth="1"/>
    <col min="11" max="11" width="30" customWidth="1"/>
    <col min="12" max="12" width="24" customWidth="1"/>
    <col min="13" max="13" width="25" customWidth="1"/>
    <col min="14" max="14" width="15" customWidth="1"/>
  </cols>
  <sheetData>
    <row r="1" spans="1:14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14" t="s">
        <v>524</v>
      </c>
      <c r="K1" s="3" t="s">
        <v>23</v>
      </c>
      <c r="L1" s="14" t="s">
        <v>523</v>
      </c>
      <c r="M1" s="3" t="s">
        <v>25</v>
      </c>
      <c r="N1" s="3" t="s">
        <v>26</v>
      </c>
    </row>
    <row r="2" spans="1:14" hidden="1">
      <c r="A2" s="4" t="s">
        <v>8</v>
      </c>
      <c r="B2" s="4" t="s">
        <v>27</v>
      </c>
      <c r="C2" s="4" t="s">
        <v>27</v>
      </c>
      <c r="D2" s="4" t="s">
        <v>28</v>
      </c>
      <c r="E2" s="4" t="s">
        <v>8</v>
      </c>
      <c r="F2" s="4" t="s">
        <v>28</v>
      </c>
      <c r="G2" s="4" t="s">
        <v>27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8</v>
      </c>
    </row>
    <row r="3" spans="1:14" hidden="1">
      <c r="A3" s="5" t="str">
        <f>HYPERLINK("http://www.analog.com/zh/ada4622-4#details", "ADA4622-4")</f>
        <v>ADA4622-4</v>
      </c>
      <c r="B3">
        <v>5</v>
      </c>
      <c r="C3">
        <v>30</v>
      </c>
      <c r="D3" t="s">
        <v>35</v>
      </c>
      <c r="E3">
        <v>4</v>
      </c>
      <c r="F3" t="s">
        <v>36</v>
      </c>
      <c r="G3" t="s">
        <v>37</v>
      </c>
      <c r="H3" t="s">
        <v>38</v>
      </c>
      <c r="I3" t="s">
        <v>39</v>
      </c>
      <c r="J3">
        <v>23</v>
      </c>
      <c r="K3" t="s">
        <v>40</v>
      </c>
      <c r="L3" t="s">
        <v>41</v>
      </c>
      <c r="M3" t="s">
        <v>42</v>
      </c>
      <c r="N3" t="s">
        <v>43</v>
      </c>
    </row>
    <row r="4" spans="1:14" hidden="1">
      <c r="A4" s="5" t="str">
        <f>HYPERLINK("http://www.analog.com/zh/ada4622-1#details", "ADA4622-1")</f>
        <v>ADA4622-1</v>
      </c>
      <c r="B4">
        <v>5</v>
      </c>
      <c r="C4">
        <v>30</v>
      </c>
      <c r="D4" t="s">
        <v>44</v>
      </c>
      <c r="E4">
        <v>1</v>
      </c>
      <c r="F4" t="s">
        <v>36</v>
      </c>
      <c r="G4" t="s">
        <v>37</v>
      </c>
      <c r="H4" t="s">
        <v>38</v>
      </c>
      <c r="I4" t="s">
        <v>39</v>
      </c>
      <c r="J4">
        <v>23</v>
      </c>
      <c r="K4" t="s">
        <v>40</v>
      </c>
      <c r="L4" t="s">
        <v>41</v>
      </c>
      <c r="M4" t="s">
        <v>45</v>
      </c>
      <c r="N4" t="s">
        <v>46</v>
      </c>
    </row>
    <row r="5" spans="1:14" hidden="1">
      <c r="A5" s="5" t="str">
        <f>HYPERLINK("http://www.analog.com/zh/ada4522-1#details", "ADA4522-1")</f>
        <v>ADA4522-1</v>
      </c>
      <c r="B5">
        <v>4.5</v>
      </c>
      <c r="C5">
        <v>55</v>
      </c>
      <c r="D5" t="s">
        <v>47</v>
      </c>
      <c r="E5">
        <v>1</v>
      </c>
      <c r="F5" t="s">
        <v>48</v>
      </c>
      <c r="G5" t="s">
        <v>49</v>
      </c>
      <c r="H5" t="s">
        <v>50</v>
      </c>
      <c r="I5" t="s">
        <v>51</v>
      </c>
      <c r="J5">
        <v>1.7</v>
      </c>
      <c r="K5" t="s">
        <v>52</v>
      </c>
      <c r="L5" t="s">
        <v>53</v>
      </c>
      <c r="M5" t="s">
        <v>54</v>
      </c>
      <c r="N5" t="s">
        <v>55</v>
      </c>
    </row>
    <row r="6" spans="1:14" hidden="1">
      <c r="A6" s="5" t="str">
        <f>HYPERLINK("http://www.analog.com/zh/ada4807-4#details", "ADA4807-4")</f>
        <v>ADA4807-4</v>
      </c>
      <c r="B6">
        <v>2.7</v>
      </c>
      <c r="C6">
        <v>11</v>
      </c>
      <c r="D6" t="s">
        <v>56</v>
      </c>
      <c r="E6">
        <v>4</v>
      </c>
      <c r="F6" t="s">
        <v>57</v>
      </c>
      <c r="G6" t="s">
        <v>58</v>
      </c>
      <c r="H6" t="s">
        <v>59</v>
      </c>
      <c r="I6" t="s">
        <v>60</v>
      </c>
      <c r="J6">
        <v>225</v>
      </c>
      <c r="K6" t="s">
        <v>61</v>
      </c>
      <c r="L6" t="s">
        <v>62</v>
      </c>
      <c r="M6" t="s">
        <v>63</v>
      </c>
      <c r="N6" t="s">
        <v>64</v>
      </c>
    </row>
    <row r="7" spans="1:14" hidden="1">
      <c r="A7" s="5" t="str">
        <f>HYPERLINK("http://www.analog.com/zh/ada4806-1#details", "ADA4806-1")</f>
        <v>ADA4806-1</v>
      </c>
      <c r="B7">
        <v>3</v>
      </c>
      <c r="C7">
        <v>10</v>
      </c>
      <c r="D7" t="s">
        <v>65</v>
      </c>
      <c r="E7">
        <v>1</v>
      </c>
      <c r="F7" t="s">
        <v>66</v>
      </c>
      <c r="G7" t="s">
        <v>67</v>
      </c>
      <c r="H7" t="s">
        <v>68</v>
      </c>
      <c r="I7" t="s">
        <v>69</v>
      </c>
      <c r="J7">
        <v>160</v>
      </c>
      <c r="K7" t="s">
        <v>8</v>
      </c>
      <c r="L7" t="s">
        <v>70</v>
      </c>
      <c r="M7" t="s">
        <v>71</v>
      </c>
      <c r="N7" t="s">
        <v>72</v>
      </c>
    </row>
    <row r="8" spans="1:14">
      <c r="A8" s="5" t="str">
        <f>HYPERLINK("http://www.analog.com/zh/ada4622-2#details", "ADA4622-2")</f>
        <v>ADA4622-2</v>
      </c>
      <c r="B8">
        <v>5</v>
      </c>
      <c r="C8">
        <v>30</v>
      </c>
      <c r="D8" t="s">
        <v>35</v>
      </c>
      <c r="E8">
        <v>2</v>
      </c>
      <c r="F8" t="s">
        <v>36</v>
      </c>
      <c r="G8" t="s">
        <v>37</v>
      </c>
      <c r="H8" t="s">
        <v>38</v>
      </c>
      <c r="I8" t="s">
        <v>39</v>
      </c>
      <c r="J8">
        <v>23</v>
      </c>
      <c r="K8" t="s">
        <v>73</v>
      </c>
      <c r="L8" t="s">
        <v>41</v>
      </c>
      <c r="M8" t="s">
        <v>74</v>
      </c>
      <c r="N8" t="s">
        <v>75</v>
      </c>
    </row>
    <row r="9" spans="1:14" hidden="1">
      <c r="A9" s="5" t="str">
        <f>HYPERLINK("http://www.analog.com/zh/ada4530-1#details", "ADA4530-1")</f>
        <v>ADA4530-1</v>
      </c>
      <c r="B9">
        <v>4.5</v>
      </c>
      <c r="C9">
        <v>16</v>
      </c>
      <c r="D9" t="s">
        <v>76</v>
      </c>
      <c r="E9">
        <v>1</v>
      </c>
      <c r="F9" t="s">
        <v>77</v>
      </c>
      <c r="G9" t="s">
        <v>78</v>
      </c>
      <c r="H9" t="s">
        <v>79</v>
      </c>
      <c r="I9" t="s">
        <v>80</v>
      </c>
      <c r="J9">
        <v>1.4</v>
      </c>
      <c r="K9" t="s">
        <v>81</v>
      </c>
      <c r="L9" t="s">
        <v>82</v>
      </c>
      <c r="M9" t="s">
        <v>83</v>
      </c>
      <c r="N9" t="s">
        <v>84</v>
      </c>
    </row>
    <row r="10" spans="1:14" hidden="1">
      <c r="A10" s="5" t="str">
        <f>HYPERLINK("http://www.analog.com/zh/ada4522-4#details", "ADA4522-4")</f>
        <v>ADA4522-4</v>
      </c>
      <c r="B10">
        <v>4.5</v>
      </c>
      <c r="C10">
        <v>55</v>
      </c>
      <c r="D10" t="s">
        <v>85</v>
      </c>
      <c r="E10">
        <v>4</v>
      </c>
      <c r="F10" t="s">
        <v>48</v>
      </c>
      <c r="G10" t="s">
        <v>49</v>
      </c>
      <c r="H10" t="s">
        <v>50</v>
      </c>
      <c r="I10" t="s">
        <v>51</v>
      </c>
      <c r="J10">
        <v>1.7</v>
      </c>
      <c r="K10" t="s">
        <v>52</v>
      </c>
      <c r="L10" t="s">
        <v>53</v>
      </c>
      <c r="M10" t="s">
        <v>86</v>
      </c>
      <c r="N10" t="s">
        <v>87</v>
      </c>
    </row>
    <row r="11" spans="1:14" hidden="1">
      <c r="A11" s="5" t="str">
        <f>HYPERLINK("http://www.analog.com/zh/ada4522-2#details", "ADA4522-2")</f>
        <v>ADA4522-2</v>
      </c>
      <c r="B11">
        <v>4.5</v>
      </c>
      <c r="C11">
        <v>55</v>
      </c>
      <c r="D11" t="s">
        <v>85</v>
      </c>
      <c r="E11">
        <v>2</v>
      </c>
      <c r="F11" t="s">
        <v>48</v>
      </c>
      <c r="G11" t="s">
        <v>49</v>
      </c>
      <c r="H11" t="s">
        <v>88</v>
      </c>
      <c r="I11" t="s">
        <v>51</v>
      </c>
      <c r="J11">
        <v>1.7</v>
      </c>
      <c r="K11" t="s">
        <v>52</v>
      </c>
      <c r="L11" t="s">
        <v>53</v>
      </c>
      <c r="M11" t="s">
        <v>89</v>
      </c>
      <c r="N11" t="s">
        <v>90</v>
      </c>
    </row>
    <row r="12" spans="1:14" hidden="1">
      <c r="A12" s="5" t="str">
        <f>HYPERLINK("http://www.analog.com/zh/ada4807-2#details", "ADA4807-2")</f>
        <v>ADA4807-2</v>
      </c>
      <c r="B12">
        <v>2.7</v>
      </c>
      <c r="C12">
        <v>11</v>
      </c>
      <c r="D12" t="s">
        <v>56</v>
      </c>
      <c r="E12">
        <v>2</v>
      </c>
      <c r="F12" t="s">
        <v>57</v>
      </c>
      <c r="G12" t="s">
        <v>58</v>
      </c>
      <c r="H12" t="s">
        <v>59</v>
      </c>
      <c r="I12" t="s">
        <v>60</v>
      </c>
      <c r="J12">
        <v>225</v>
      </c>
      <c r="K12" t="s">
        <v>61</v>
      </c>
      <c r="L12" t="s">
        <v>62</v>
      </c>
      <c r="M12" t="s">
        <v>91</v>
      </c>
      <c r="N12" t="s">
        <v>92</v>
      </c>
    </row>
    <row r="13" spans="1:14" hidden="1">
      <c r="A13" s="5" t="str">
        <f>HYPERLINK("http://www.analog.com/zh/ada4350#details", "ADA4350")</f>
        <v>ADA4350</v>
      </c>
      <c r="B13">
        <v>3.3</v>
      </c>
      <c r="C13">
        <v>12</v>
      </c>
      <c r="D13" t="s">
        <v>93</v>
      </c>
      <c r="E13">
        <v>1</v>
      </c>
      <c r="F13" t="s">
        <v>94</v>
      </c>
      <c r="G13" t="s">
        <v>95</v>
      </c>
      <c r="H13" t="s">
        <v>96</v>
      </c>
      <c r="I13" t="s">
        <v>97</v>
      </c>
      <c r="J13">
        <v>100</v>
      </c>
      <c r="K13" t="s">
        <v>8</v>
      </c>
      <c r="L13" t="s">
        <v>98</v>
      </c>
      <c r="M13" t="s">
        <v>99</v>
      </c>
      <c r="N13" t="s">
        <v>100</v>
      </c>
    </row>
    <row r="14" spans="1:14" hidden="1">
      <c r="A14" s="5" t="str">
        <f>HYPERLINK("http://www.analog.com/zh/ada4177-1#details", "ADA4177-1")</f>
        <v>ADA4177-1</v>
      </c>
      <c r="B14">
        <v>10</v>
      </c>
      <c r="C14">
        <v>30</v>
      </c>
      <c r="D14" t="s">
        <v>101</v>
      </c>
      <c r="E14">
        <v>1</v>
      </c>
      <c r="F14" t="s">
        <v>102</v>
      </c>
      <c r="G14" t="s">
        <v>103</v>
      </c>
      <c r="H14" t="s">
        <v>104</v>
      </c>
      <c r="I14" t="s">
        <v>105</v>
      </c>
      <c r="J14">
        <v>1.5</v>
      </c>
      <c r="K14" t="s">
        <v>106</v>
      </c>
      <c r="L14" t="s">
        <v>107</v>
      </c>
      <c r="M14" t="s">
        <v>108</v>
      </c>
      <c r="N14" t="s">
        <v>90</v>
      </c>
    </row>
    <row r="15" spans="1:14" hidden="1">
      <c r="A15" s="5" t="str">
        <f>HYPERLINK("http://www.analog.com/zh/ada4807-1#details", "ADA4807-1")</f>
        <v>ADA4807-1</v>
      </c>
      <c r="B15">
        <v>2.7</v>
      </c>
      <c r="C15">
        <v>11</v>
      </c>
      <c r="D15" t="s">
        <v>56</v>
      </c>
      <c r="E15">
        <v>1</v>
      </c>
      <c r="F15" t="s">
        <v>57</v>
      </c>
      <c r="G15" t="s">
        <v>58</v>
      </c>
      <c r="H15" t="s">
        <v>59</v>
      </c>
      <c r="I15" t="s">
        <v>60</v>
      </c>
      <c r="J15">
        <v>225</v>
      </c>
      <c r="K15" t="s">
        <v>61</v>
      </c>
      <c r="L15" t="s">
        <v>62</v>
      </c>
      <c r="M15" t="s">
        <v>109</v>
      </c>
      <c r="N15" t="s">
        <v>110</v>
      </c>
    </row>
    <row r="16" spans="1:14" hidden="1">
      <c r="A16" s="5" t="str">
        <f>HYPERLINK("http://www.analog.com/zh/ada4177-4#details", "ADA4177-4")</f>
        <v>ADA4177-4</v>
      </c>
      <c r="B16">
        <v>10</v>
      </c>
      <c r="C16">
        <v>30</v>
      </c>
      <c r="D16" t="s">
        <v>101</v>
      </c>
      <c r="E16">
        <v>4</v>
      </c>
      <c r="F16" t="s">
        <v>102</v>
      </c>
      <c r="G16" t="s">
        <v>103</v>
      </c>
      <c r="H16" t="s">
        <v>104</v>
      </c>
      <c r="I16" t="s">
        <v>105</v>
      </c>
      <c r="J16">
        <v>1.5</v>
      </c>
      <c r="K16" t="s">
        <v>106</v>
      </c>
      <c r="L16" t="s">
        <v>107</v>
      </c>
      <c r="M16" t="s">
        <v>111</v>
      </c>
      <c r="N16" t="s">
        <v>87</v>
      </c>
    </row>
    <row r="17" spans="1:14" hidden="1">
      <c r="A17" s="5" t="str">
        <f>HYPERLINK("http://www.analog.com/zh/ada4177-2#details", "ADA4177-2")</f>
        <v>ADA4177-2</v>
      </c>
      <c r="B17">
        <v>10</v>
      </c>
      <c r="C17">
        <v>30</v>
      </c>
      <c r="D17" t="s">
        <v>101</v>
      </c>
      <c r="E17">
        <v>2</v>
      </c>
      <c r="F17" t="s">
        <v>102</v>
      </c>
      <c r="G17" t="s">
        <v>103</v>
      </c>
      <c r="H17" t="s">
        <v>104</v>
      </c>
      <c r="I17" t="s">
        <v>105</v>
      </c>
      <c r="J17">
        <v>1.5</v>
      </c>
      <c r="K17" t="s">
        <v>106</v>
      </c>
      <c r="L17" t="s">
        <v>107</v>
      </c>
      <c r="M17" t="s">
        <v>112</v>
      </c>
      <c r="N17" t="s">
        <v>90</v>
      </c>
    </row>
    <row r="18" spans="1:14" hidden="1">
      <c r="A18" s="5" t="str">
        <f>HYPERLINK("http://www.analog.com/zh/ada4610-4#details", "ADA4610-4")</f>
        <v>ADA4610-4</v>
      </c>
      <c r="B18">
        <v>10</v>
      </c>
      <c r="C18">
        <v>36</v>
      </c>
      <c r="D18" t="s">
        <v>113</v>
      </c>
      <c r="E18">
        <v>4</v>
      </c>
      <c r="F18" t="s">
        <v>114</v>
      </c>
      <c r="G18" t="s">
        <v>115</v>
      </c>
      <c r="H18" t="s">
        <v>104</v>
      </c>
      <c r="I18" t="s">
        <v>116</v>
      </c>
      <c r="J18">
        <v>25</v>
      </c>
      <c r="K18" t="s">
        <v>117</v>
      </c>
      <c r="L18" t="s">
        <v>118</v>
      </c>
      <c r="M18" t="s">
        <v>119</v>
      </c>
      <c r="N18" t="s">
        <v>120</v>
      </c>
    </row>
    <row r="19" spans="1:14" hidden="1">
      <c r="A19" s="5" t="str">
        <f>HYPERLINK("http://www.analog.com/zh/ada4084-1#details", "ADA4084-1")</f>
        <v>ADA4084-1</v>
      </c>
      <c r="B19">
        <v>3</v>
      </c>
      <c r="C19">
        <v>30</v>
      </c>
      <c r="D19" t="s">
        <v>121</v>
      </c>
      <c r="E19">
        <v>1</v>
      </c>
      <c r="F19" t="s">
        <v>122</v>
      </c>
      <c r="G19" t="s">
        <v>58</v>
      </c>
      <c r="H19" t="s">
        <v>123</v>
      </c>
      <c r="I19" t="s">
        <v>124</v>
      </c>
      <c r="J19">
        <v>4.5999999999999996</v>
      </c>
      <c r="K19" t="s">
        <v>96</v>
      </c>
      <c r="L19" t="s">
        <v>125</v>
      </c>
      <c r="M19" t="s">
        <v>126</v>
      </c>
      <c r="N19" t="s">
        <v>46</v>
      </c>
    </row>
    <row r="20" spans="1:14" hidden="1">
      <c r="A20" s="5" t="str">
        <f>HYPERLINK("http://www.analog.com/zh/ada4084-4#details", "ADA4084-4")</f>
        <v>ADA4084-4</v>
      </c>
      <c r="B20">
        <v>3</v>
      </c>
      <c r="C20">
        <v>30</v>
      </c>
      <c r="D20" t="s">
        <v>121</v>
      </c>
      <c r="E20">
        <v>4</v>
      </c>
      <c r="F20" t="s">
        <v>122</v>
      </c>
      <c r="G20" t="s">
        <v>58</v>
      </c>
      <c r="H20" t="s">
        <v>123</v>
      </c>
      <c r="I20" t="s">
        <v>124</v>
      </c>
      <c r="J20">
        <v>4.5999999999999996</v>
      </c>
      <c r="K20" t="s">
        <v>96</v>
      </c>
      <c r="L20" t="s">
        <v>125</v>
      </c>
      <c r="M20" t="s">
        <v>127</v>
      </c>
      <c r="N20" t="s">
        <v>128</v>
      </c>
    </row>
    <row r="21" spans="1:14" hidden="1">
      <c r="A21" s="5" t="str">
        <f>HYPERLINK("http://www.analog.com/zh/ada4077-1#details", "ADA4077-1")</f>
        <v>ADA4077-1</v>
      </c>
      <c r="B21">
        <v>5</v>
      </c>
      <c r="C21">
        <v>30</v>
      </c>
      <c r="D21" t="s">
        <v>115</v>
      </c>
      <c r="E21">
        <v>1</v>
      </c>
      <c r="F21" t="s">
        <v>102</v>
      </c>
      <c r="G21" t="s">
        <v>129</v>
      </c>
      <c r="H21" t="s">
        <v>130</v>
      </c>
      <c r="I21" t="s">
        <v>131</v>
      </c>
      <c r="J21">
        <v>1</v>
      </c>
      <c r="K21" t="s">
        <v>130</v>
      </c>
      <c r="L21" t="s">
        <v>132</v>
      </c>
      <c r="M21" t="s">
        <v>133</v>
      </c>
      <c r="N21" t="s">
        <v>90</v>
      </c>
    </row>
    <row r="22" spans="1:14" hidden="1">
      <c r="A22" s="5" t="str">
        <f>HYPERLINK("http://www.analog.com/zh/ada4077-4#details", "ADA4077-4")</f>
        <v>ADA4077-4</v>
      </c>
      <c r="B22">
        <v>5</v>
      </c>
      <c r="C22">
        <v>30</v>
      </c>
      <c r="D22" t="s">
        <v>115</v>
      </c>
      <c r="E22">
        <v>4</v>
      </c>
      <c r="F22" t="s">
        <v>102</v>
      </c>
      <c r="G22" t="s">
        <v>129</v>
      </c>
      <c r="H22" t="s">
        <v>130</v>
      </c>
      <c r="I22" t="s">
        <v>131</v>
      </c>
      <c r="J22">
        <v>1</v>
      </c>
      <c r="K22" t="s">
        <v>130</v>
      </c>
      <c r="L22" t="s">
        <v>132</v>
      </c>
      <c r="M22" t="s">
        <v>134</v>
      </c>
      <c r="N22" t="s">
        <v>87</v>
      </c>
    </row>
    <row r="23" spans="1:14" hidden="1">
      <c r="A23" s="5" t="str">
        <f>HYPERLINK("http://www.analog.com/zh/ada4661-2#details", "ADA4661-2")</f>
        <v>ADA4661-2</v>
      </c>
      <c r="B23">
        <v>3</v>
      </c>
      <c r="C23">
        <v>18</v>
      </c>
      <c r="D23" t="s">
        <v>135</v>
      </c>
      <c r="E23">
        <v>2</v>
      </c>
      <c r="F23" t="s">
        <v>136</v>
      </c>
      <c r="G23" t="s">
        <v>58</v>
      </c>
      <c r="H23" t="s">
        <v>137</v>
      </c>
      <c r="I23" t="s">
        <v>138</v>
      </c>
      <c r="J23">
        <v>2.2000000000000002</v>
      </c>
      <c r="K23" t="s">
        <v>139</v>
      </c>
      <c r="L23" t="s">
        <v>140</v>
      </c>
      <c r="M23" t="s">
        <v>141</v>
      </c>
      <c r="N23" t="s">
        <v>142</v>
      </c>
    </row>
    <row r="24" spans="1:14" hidden="1">
      <c r="A24" s="5" t="str">
        <f>HYPERLINK("http://www.analog.com/zh/ad8634#details", "AD8634")</f>
        <v>AD8634</v>
      </c>
      <c r="B24">
        <v>3</v>
      </c>
      <c r="C24">
        <v>30</v>
      </c>
      <c r="D24" t="s">
        <v>143</v>
      </c>
      <c r="E24">
        <v>2</v>
      </c>
      <c r="F24" t="s">
        <v>68</v>
      </c>
      <c r="G24" t="s">
        <v>144</v>
      </c>
      <c r="H24" t="s">
        <v>145</v>
      </c>
      <c r="I24" t="s">
        <v>146</v>
      </c>
      <c r="J24">
        <v>5</v>
      </c>
      <c r="K24" t="s">
        <v>147</v>
      </c>
      <c r="L24" t="s">
        <v>148</v>
      </c>
      <c r="M24" t="s">
        <v>149</v>
      </c>
      <c r="N24" t="s">
        <v>150</v>
      </c>
    </row>
    <row r="25" spans="1:14" hidden="1">
      <c r="A25" s="5" t="str">
        <f>HYPERLINK("http://www.analog.com/zh/ada4895-1#details", "ADA4895-1")</f>
        <v>ADA4895-1</v>
      </c>
      <c r="B25">
        <v>3</v>
      </c>
      <c r="C25">
        <v>10</v>
      </c>
      <c r="D25" t="s">
        <v>151</v>
      </c>
      <c r="E25">
        <v>1</v>
      </c>
      <c r="F25" t="s">
        <v>152</v>
      </c>
      <c r="G25" t="s">
        <v>37</v>
      </c>
      <c r="H25" t="s">
        <v>153</v>
      </c>
      <c r="I25" t="s">
        <v>154</v>
      </c>
      <c r="J25">
        <v>943</v>
      </c>
      <c r="K25" t="s">
        <v>155</v>
      </c>
      <c r="L25" t="s">
        <v>102</v>
      </c>
      <c r="M25" t="s">
        <v>156</v>
      </c>
      <c r="N25" t="s">
        <v>157</v>
      </c>
    </row>
    <row r="26" spans="1:14" hidden="1">
      <c r="A26" s="5" t="str">
        <f>HYPERLINK("http://www.analog.com/zh/ada4895-2#details", "ADA4895-2")</f>
        <v>ADA4895-2</v>
      </c>
      <c r="B26">
        <v>3</v>
      </c>
      <c r="C26">
        <v>10</v>
      </c>
      <c r="D26" t="s">
        <v>151</v>
      </c>
      <c r="E26">
        <v>2</v>
      </c>
      <c r="F26" t="s">
        <v>152</v>
      </c>
      <c r="G26" t="s">
        <v>37</v>
      </c>
      <c r="H26" t="s">
        <v>153</v>
      </c>
      <c r="I26" t="s">
        <v>154</v>
      </c>
      <c r="J26">
        <v>943</v>
      </c>
      <c r="K26" t="s">
        <v>155</v>
      </c>
      <c r="L26" t="s">
        <v>102</v>
      </c>
      <c r="M26" t="s">
        <v>158</v>
      </c>
      <c r="N26" t="s">
        <v>159</v>
      </c>
    </row>
    <row r="27" spans="1:14">
      <c r="A27" s="5" t="str">
        <f>HYPERLINK("http://www.analog.com/zh/ada4500-2#details", "ADA4500-2")</f>
        <v>ADA4500-2</v>
      </c>
      <c r="B27">
        <v>2.7</v>
      </c>
      <c r="C27">
        <v>5.5</v>
      </c>
      <c r="D27" t="s">
        <v>160</v>
      </c>
      <c r="E27">
        <v>2</v>
      </c>
      <c r="F27" t="s">
        <v>161</v>
      </c>
      <c r="G27" t="s">
        <v>162</v>
      </c>
      <c r="H27" t="s">
        <v>163</v>
      </c>
      <c r="I27" t="s">
        <v>164</v>
      </c>
      <c r="J27">
        <v>5.5</v>
      </c>
      <c r="K27" t="s">
        <v>38</v>
      </c>
      <c r="L27" t="s">
        <v>165</v>
      </c>
      <c r="M27" t="s">
        <v>166</v>
      </c>
      <c r="N27" t="s">
        <v>167</v>
      </c>
    </row>
    <row r="28" spans="1:14" hidden="1">
      <c r="A28" s="5" t="str">
        <f>HYPERLINK("http://www.analog.com/zh/ada4077-2#details", "ADA4077-2")</f>
        <v>ADA4077-2</v>
      </c>
      <c r="B28">
        <v>5</v>
      </c>
      <c r="C28">
        <v>30</v>
      </c>
      <c r="D28" t="s">
        <v>115</v>
      </c>
      <c r="E28">
        <v>2</v>
      </c>
      <c r="F28" t="s">
        <v>102</v>
      </c>
      <c r="G28" t="s">
        <v>129</v>
      </c>
      <c r="H28" t="s">
        <v>130</v>
      </c>
      <c r="I28" t="s">
        <v>131</v>
      </c>
      <c r="J28">
        <v>1</v>
      </c>
      <c r="K28" t="s">
        <v>130</v>
      </c>
      <c r="L28" t="s">
        <v>132</v>
      </c>
      <c r="M28" t="s">
        <v>168</v>
      </c>
      <c r="N28" t="s">
        <v>55</v>
      </c>
    </row>
    <row r="29" spans="1:14" hidden="1">
      <c r="A29" s="5" t="str">
        <f>HYPERLINK("http://www.analog.com/zh/ada4528-2#details", "ADA4528-2")</f>
        <v>ADA4528-2</v>
      </c>
      <c r="B29">
        <v>2.2000000000000002</v>
      </c>
      <c r="C29">
        <v>5.5</v>
      </c>
      <c r="D29" t="s">
        <v>169</v>
      </c>
      <c r="E29">
        <v>2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155</v>
      </c>
      <c r="L29" t="s">
        <v>175</v>
      </c>
      <c r="M29" t="s">
        <v>176</v>
      </c>
      <c r="N29" t="s">
        <v>177</v>
      </c>
    </row>
    <row r="30" spans="1:14" hidden="1">
      <c r="A30" s="5" t="str">
        <f>HYPERLINK("http://www.analog.com/zh/ada4096-4#details", "ADA4096-4")</f>
        <v>ADA4096-4</v>
      </c>
      <c r="B30">
        <v>3</v>
      </c>
      <c r="C30">
        <v>30</v>
      </c>
      <c r="D30" t="s">
        <v>103</v>
      </c>
      <c r="E30">
        <v>4</v>
      </c>
      <c r="F30" t="s">
        <v>178</v>
      </c>
      <c r="G30" t="s">
        <v>179</v>
      </c>
      <c r="H30" t="s">
        <v>104</v>
      </c>
      <c r="I30" t="s">
        <v>180</v>
      </c>
      <c r="J30" t="s">
        <v>181</v>
      </c>
      <c r="K30" t="s">
        <v>59</v>
      </c>
      <c r="L30" t="s">
        <v>182</v>
      </c>
      <c r="M30" t="s">
        <v>183</v>
      </c>
      <c r="N30" t="s">
        <v>184</v>
      </c>
    </row>
    <row r="31" spans="1:14" hidden="1">
      <c r="A31" s="5" t="str">
        <f>HYPERLINK("http://www.analog.com/zh/ad8659#details", "AD8659")</f>
        <v>AD8659</v>
      </c>
      <c r="B31">
        <v>2.7</v>
      </c>
      <c r="C31">
        <v>18</v>
      </c>
      <c r="D31" t="s">
        <v>185</v>
      </c>
      <c r="E31">
        <v>4</v>
      </c>
      <c r="F31" t="s">
        <v>186</v>
      </c>
      <c r="G31" t="s">
        <v>37</v>
      </c>
      <c r="H31" t="s">
        <v>38</v>
      </c>
      <c r="I31" t="s">
        <v>187</v>
      </c>
      <c r="J31" t="s">
        <v>188</v>
      </c>
      <c r="K31" t="s">
        <v>49</v>
      </c>
      <c r="L31" t="s">
        <v>189</v>
      </c>
      <c r="M31" t="s">
        <v>190</v>
      </c>
      <c r="N31" t="s">
        <v>43</v>
      </c>
    </row>
    <row r="32" spans="1:14">
      <c r="A32" s="5" t="str">
        <f>HYPERLINK("http://www.analog.com/zh/ada4610-2#details", "ADA4610-2")</f>
        <v>ADA4610-2</v>
      </c>
      <c r="B32">
        <v>10</v>
      </c>
      <c r="C32">
        <v>36</v>
      </c>
      <c r="D32" t="s">
        <v>113</v>
      </c>
      <c r="E32">
        <v>2</v>
      </c>
      <c r="F32" t="s">
        <v>114</v>
      </c>
      <c r="G32" t="s">
        <v>115</v>
      </c>
      <c r="H32" t="s">
        <v>123</v>
      </c>
      <c r="I32" t="s">
        <v>116</v>
      </c>
      <c r="J32">
        <v>25</v>
      </c>
      <c r="K32" t="s">
        <v>117</v>
      </c>
      <c r="L32" t="s">
        <v>118</v>
      </c>
      <c r="M32" t="s">
        <v>191</v>
      </c>
      <c r="N32" t="s">
        <v>192</v>
      </c>
    </row>
    <row r="33" spans="1:14" hidden="1">
      <c r="A33" s="5" t="str">
        <f>HYPERLINK("http://www.analog.com/zh/ada4897-2#details", "ADA4897-2")</f>
        <v>ADA4897-2</v>
      </c>
      <c r="B33">
        <v>3</v>
      </c>
      <c r="C33">
        <v>10</v>
      </c>
      <c r="D33" t="s">
        <v>151</v>
      </c>
      <c r="E33">
        <v>2</v>
      </c>
      <c r="F33" t="s">
        <v>193</v>
      </c>
      <c r="G33" t="s">
        <v>101</v>
      </c>
      <c r="H33" t="s">
        <v>68</v>
      </c>
      <c r="I33" t="s">
        <v>194</v>
      </c>
      <c r="J33">
        <v>120</v>
      </c>
      <c r="K33" t="s">
        <v>155</v>
      </c>
      <c r="L33" t="s">
        <v>102</v>
      </c>
      <c r="M33" t="s">
        <v>158</v>
      </c>
      <c r="N33" t="s">
        <v>195</v>
      </c>
    </row>
    <row r="34" spans="1:14" hidden="1">
      <c r="A34" s="5" t="str">
        <f>HYPERLINK("http://www.analog.com/zh/ada4638-1#details", "ADA4638-1")</f>
        <v>ADA4638-1</v>
      </c>
      <c r="B34">
        <v>4.5</v>
      </c>
      <c r="C34">
        <v>30</v>
      </c>
      <c r="D34" t="s">
        <v>196</v>
      </c>
      <c r="E34">
        <v>1</v>
      </c>
      <c r="F34" t="s">
        <v>197</v>
      </c>
      <c r="G34" t="s">
        <v>198</v>
      </c>
      <c r="H34" t="s">
        <v>199</v>
      </c>
      <c r="I34" t="s">
        <v>200</v>
      </c>
      <c r="J34">
        <v>1.5</v>
      </c>
      <c r="K34" t="s">
        <v>201</v>
      </c>
      <c r="L34" t="s">
        <v>202</v>
      </c>
      <c r="M34" t="s">
        <v>203</v>
      </c>
      <c r="N34" t="s">
        <v>204</v>
      </c>
    </row>
    <row r="35" spans="1:14" hidden="1">
      <c r="A35" s="5" t="str">
        <f>HYPERLINK("http://www.analog.com/zh/ada4084-2#details", "ADA4084-2")</f>
        <v>ADA4084-2</v>
      </c>
      <c r="B35">
        <v>3</v>
      </c>
      <c r="C35">
        <v>30</v>
      </c>
      <c r="D35" t="s">
        <v>121</v>
      </c>
      <c r="E35">
        <v>2</v>
      </c>
      <c r="F35" t="s">
        <v>122</v>
      </c>
      <c r="G35" t="s">
        <v>58</v>
      </c>
      <c r="H35" t="s">
        <v>123</v>
      </c>
      <c r="I35" t="s">
        <v>124</v>
      </c>
      <c r="J35">
        <v>4.5999999999999996</v>
      </c>
      <c r="K35" t="s">
        <v>96</v>
      </c>
      <c r="L35" t="s">
        <v>125</v>
      </c>
      <c r="M35" t="s">
        <v>205</v>
      </c>
      <c r="N35" t="s">
        <v>192</v>
      </c>
    </row>
    <row r="36" spans="1:14" hidden="1">
      <c r="A36" s="5" t="str">
        <f>HYPERLINK("http://www.analog.com/zh/ada4897-1#details", "ADA4897-1")</f>
        <v>ADA4897-1</v>
      </c>
      <c r="B36">
        <v>3</v>
      </c>
      <c r="C36">
        <v>10</v>
      </c>
      <c r="D36" t="s">
        <v>151</v>
      </c>
      <c r="E36">
        <v>1</v>
      </c>
      <c r="F36" t="s">
        <v>193</v>
      </c>
      <c r="G36" t="s">
        <v>101</v>
      </c>
      <c r="H36" t="s">
        <v>68</v>
      </c>
      <c r="I36" t="s">
        <v>194</v>
      </c>
      <c r="J36">
        <v>120</v>
      </c>
      <c r="K36" t="s">
        <v>155</v>
      </c>
      <c r="L36" t="s">
        <v>102</v>
      </c>
      <c r="M36" t="s">
        <v>156</v>
      </c>
      <c r="N36" t="s">
        <v>157</v>
      </c>
    </row>
    <row r="37" spans="1:14" hidden="1">
      <c r="A37" s="5" t="str">
        <f>HYPERLINK("http://www.analog.com/zh/ada4896-2#details", "ADA4896-2")</f>
        <v>ADA4896-2</v>
      </c>
      <c r="B37">
        <v>3</v>
      </c>
      <c r="C37">
        <v>10</v>
      </c>
      <c r="D37" t="s">
        <v>151</v>
      </c>
      <c r="E37">
        <v>2</v>
      </c>
      <c r="F37" t="s">
        <v>193</v>
      </c>
      <c r="G37" t="s">
        <v>101</v>
      </c>
      <c r="H37" t="s">
        <v>68</v>
      </c>
      <c r="I37" t="s">
        <v>194</v>
      </c>
      <c r="J37">
        <v>120</v>
      </c>
      <c r="K37" t="s">
        <v>155</v>
      </c>
      <c r="L37" t="s">
        <v>102</v>
      </c>
      <c r="M37" t="s">
        <v>158</v>
      </c>
      <c r="N37" t="s">
        <v>167</v>
      </c>
    </row>
    <row r="38" spans="1:14" hidden="1">
      <c r="A38" s="5" t="str">
        <f>HYPERLINK("http://www.analog.com/zh/ada4096-2#details", "ADA4096-2")</f>
        <v>ADA4096-2</v>
      </c>
      <c r="B38">
        <v>3</v>
      </c>
      <c r="C38">
        <v>30</v>
      </c>
      <c r="D38" t="s">
        <v>103</v>
      </c>
      <c r="E38">
        <v>2</v>
      </c>
      <c r="F38" t="s">
        <v>178</v>
      </c>
      <c r="G38" t="s">
        <v>179</v>
      </c>
      <c r="H38" t="s">
        <v>104</v>
      </c>
      <c r="I38" t="s">
        <v>180</v>
      </c>
      <c r="J38" t="s">
        <v>181</v>
      </c>
      <c r="K38" t="s">
        <v>59</v>
      </c>
      <c r="L38" t="s">
        <v>182</v>
      </c>
      <c r="M38" t="s">
        <v>206</v>
      </c>
      <c r="N38" t="s">
        <v>207</v>
      </c>
    </row>
    <row r="39" spans="1:14" hidden="1">
      <c r="A39" s="5" t="str">
        <f>HYPERLINK("http://www.analog.com/zh/ada4528-1#details", "ADA4528-1")</f>
        <v>ADA4528-1</v>
      </c>
      <c r="B39">
        <v>2.2000000000000002</v>
      </c>
      <c r="C39">
        <v>5.5</v>
      </c>
      <c r="D39" t="s">
        <v>169</v>
      </c>
      <c r="E39">
        <v>1</v>
      </c>
      <c r="F39" t="s">
        <v>208</v>
      </c>
      <c r="G39" t="s">
        <v>171</v>
      </c>
      <c r="H39" t="s">
        <v>172</v>
      </c>
      <c r="I39" t="s">
        <v>173</v>
      </c>
      <c r="J39" t="s">
        <v>174</v>
      </c>
      <c r="K39" t="s">
        <v>155</v>
      </c>
      <c r="L39" t="s">
        <v>175</v>
      </c>
      <c r="M39" t="s">
        <v>166</v>
      </c>
      <c r="N39" t="s">
        <v>167</v>
      </c>
    </row>
    <row r="40" spans="1:14" hidden="1">
      <c r="A40" s="5" t="str">
        <f>HYPERLINK("http://www.analog.com/zh/ad8657#details", "AD8657")</f>
        <v>AD8657</v>
      </c>
      <c r="B40">
        <v>2.7</v>
      </c>
      <c r="C40">
        <v>18</v>
      </c>
      <c r="D40" t="s">
        <v>185</v>
      </c>
      <c r="E40">
        <v>2</v>
      </c>
      <c r="F40" t="s">
        <v>186</v>
      </c>
      <c r="G40" t="s">
        <v>37</v>
      </c>
      <c r="H40" t="s">
        <v>38</v>
      </c>
      <c r="I40" t="s">
        <v>187</v>
      </c>
      <c r="J40" t="s">
        <v>188</v>
      </c>
      <c r="K40" t="s">
        <v>49</v>
      </c>
      <c r="L40" t="s">
        <v>189</v>
      </c>
      <c r="M40" t="s">
        <v>209</v>
      </c>
      <c r="N40" t="s">
        <v>142</v>
      </c>
    </row>
    <row r="41" spans="1:14" hidden="1">
      <c r="A41" s="5" t="str">
        <f>HYPERLINK("http://www.analog.com/zh/ada4637-1#details", "ADA4637-1")</f>
        <v>ADA4637-1</v>
      </c>
      <c r="B41">
        <v>9</v>
      </c>
      <c r="C41">
        <v>30</v>
      </c>
      <c r="D41" t="s">
        <v>210</v>
      </c>
      <c r="E41">
        <v>1</v>
      </c>
      <c r="F41" t="s">
        <v>211</v>
      </c>
      <c r="G41" t="s">
        <v>212</v>
      </c>
      <c r="H41" t="s">
        <v>104</v>
      </c>
      <c r="I41" t="s">
        <v>213</v>
      </c>
      <c r="J41">
        <v>170</v>
      </c>
      <c r="K41" t="s">
        <v>59</v>
      </c>
      <c r="L41" t="s">
        <v>214</v>
      </c>
      <c r="M41" t="s">
        <v>215</v>
      </c>
      <c r="N41" t="s">
        <v>216</v>
      </c>
    </row>
    <row r="42" spans="1:14" hidden="1">
      <c r="A42" s="5" t="str">
        <f>HYPERLINK("http://www.analog.com/zh/ada4898-2#details", "ADA4898-2")</f>
        <v>ADA4898-2</v>
      </c>
      <c r="B42">
        <v>9</v>
      </c>
      <c r="C42">
        <v>36</v>
      </c>
      <c r="D42" t="s">
        <v>217</v>
      </c>
      <c r="E42">
        <v>2</v>
      </c>
      <c r="F42" t="s">
        <v>122</v>
      </c>
      <c r="G42" t="s">
        <v>67</v>
      </c>
      <c r="H42" t="s">
        <v>104</v>
      </c>
      <c r="I42" t="s">
        <v>218</v>
      </c>
      <c r="J42">
        <v>55</v>
      </c>
      <c r="K42" t="s">
        <v>8</v>
      </c>
      <c r="L42" t="s">
        <v>219</v>
      </c>
      <c r="M42" t="s">
        <v>158</v>
      </c>
      <c r="N42" t="s">
        <v>220</v>
      </c>
    </row>
    <row r="43" spans="1:14" hidden="1">
      <c r="A43" s="5" t="str">
        <f>HYPERLINK("http://www.analog.com/zh/ad8624#details", "AD8624")</f>
        <v>AD8624</v>
      </c>
      <c r="B43">
        <v>5</v>
      </c>
      <c r="C43">
        <v>36</v>
      </c>
      <c r="D43" t="s">
        <v>221</v>
      </c>
      <c r="E43">
        <v>4</v>
      </c>
      <c r="F43" t="s">
        <v>208</v>
      </c>
      <c r="G43" t="s">
        <v>67</v>
      </c>
      <c r="H43" t="s">
        <v>123</v>
      </c>
      <c r="I43" t="s">
        <v>222</v>
      </c>
      <c r="J43" t="s">
        <v>223</v>
      </c>
      <c r="K43" t="s">
        <v>68</v>
      </c>
      <c r="L43" t="s">
        <v>224</v>
      </c>
      <c r="M43" t="s">
        <v>225</v>
      </c>
      <c r="N43" t="s">
        <v>226</v>
      </c>
    </row>
    <row r="44" spans="1:14" hidden="1">
      <c r="A44" s="5" t="str">
        <f>HYPERLINK("http://www.analog.com/zh/ada4051-1#details", "ADA4051-1")</f>
        <v>ADA4051-1</v>
      </c>
      <c r="B44">
        <v>0</v>
      </c>
      <c r="C44">
        <v>5</v>
      </c>
      <c r="D44" t="s">
        <v>227</v>
      </c>
      <c r="E44">
        <v>1</v>
      </c>
      <c r="F44" t="s">
        <v>228</v>
      </c>
      <c r="G44" t="s">
        <v>193</v>
      </c>
      <c r="H44" t="s">
        <v>229</v>
      </c>
      <c r="I44" t="s">
        <v>230</v>
      </c>
      <c r="J44" t="s">
        <v>231</v>
      </c>
      <c r="K44" t="s">
        <v>232</v>
      </c>
      <c r="L44" t="s">
        <v>233</v>
      </c>
      <c r="M44" t="s">
        <v>234</v>
      </c>
      <c r="N44" t="s">
        <v>235</v>
      </c>
    </row>
    <row r="45" spans="1:14" hidden="1">
      <c r="A45" s="5" t="str">
        <f>HYPERLINK("http://www.analog.com/zh/ada4627-1#details", "ADA4627-1")</f>
        <v>ADA4627-1</v>
      </c>
      <c r="B45">
        <v>9</v>
      </c>
      <c r="C45">
        <v>36</v>
      </c>
      <c r="D45" t="s">
        <v>210</v>
      </c>
      <c r="E45">
        <v>1</v>
      </c>
      <c r="F45" t="s">
        <v>211</v>
      </c>
      <c r="G45" t="s">
        <v>212</v>
      </c>
      <c r="H45" t="s">
        <v>104</v>
      </c>
      <c r="I45" t="s">
        <v>236</v>
      </c>
      <c r="J45">
        <v>56</v>
      </c>
      <c r="K45" t="s">
        <v>59</v>
      </c>
      <c r="L45" t="s">
        <v>214</v>
      </c>
      <c r="M45" t="s">
        <v>215</v>
      </c>
      <c r="N45" t="s">
        <v>237</v>
      </c>
    </row>
    <row r="46" spans="1:14" hidden="1">
      <c r="A46" s="5" t="str">
        <f>HYPERLINK("http://www.analog.com/zh/ada4051-2#details", "ADA4051-2")</f>
        <v>ADA4051-2</v>
      </c>
      <c r="B46">
        <v>0</v>
      </c>
      <c r="C46">
        <v>5</v>
      </c>
      <c r="D46" t="s">
        <v>238</v>
      </c>
      <c r="E46">
        <v>2</v>
      </c>
      <c r="F46" t="s">
        <v>228</v>
      </c>
      <c r="G46" t="s">
        <v>227</v>
      </c>
      <c r="H46" t="s">
        <v>229</v>
      </c>
      <c r="I46" t="s">
        <v>230</v>
      </c>
      <c r="J46" t="s">
        <v>231</v>
      </c>
      <c r="K46" t="s">
        <v>232</v>
      </c>
      <c r="L46" t="s">
        <v>233</v>
      </c>
      <c r="M46" t="s">
        <v>239</v>
      </c>
      <c r="N46" t="s">
        <v>240</v>
      </c>
    </row>
    <row r="47" spans="1:14" hidden="1">
      <c r="A47" s="5" t="str">
        <f>HYPERLINK("http://www.analog.com/zh/ad8622#details", "AD8622")</f>
        <v>AD8622</v>
      </c>
      <c r="B47">
        <v>5</v>
      </c>
      <c r="C47">
        <v>36</v>
      </c>
      <c r="D47" t="s">
        <v>221</v>
      </c>
      <c r="E47">
        <v>2</v>
      </c>
      <c r="F47" t="s">
        <v>208</v>
      </c>
      <c r="G47" t="s">
        <v>67</v>
      </c>
      <c r="H47" t="s">
        <v>123</v>
      </c>
      <c r="I47" t="s">
        <v>222</v>
      </c>
      <c r="J47" t="s">
        <v>223</v>
      </c>
      <c r="K47" t="s">
        <v>68</v>
      </c>
      <c r="L47" t="s">
        <v>224</v>
      </c>
      <c r="M47" t="s">
        <v>241</v>
      </c>
      <c r="N47" t="s">
        <v>90</v>
      </c>
    </row>
    <row r="48" spans="1:14" hidden="1">
      <c r="A48" s="5" t="str">
        <f>HYPERLINK("http://www.analog.com/zh/ada4075-2#details", "ADA4075-2")</f>
        <v>ADA4075-2</v>
      </c>
      <c r="B48">
        <v>9</v>
      </c>
      <c r="C48">
        <v>36</v>
      </c>
      <c r="D48" t="s">
        <v>242</v>
      </c>
      <c r="E48">
        <v>2</v>
      </c>
      <c r="F48" t="s">
        <v>96</v>
      </c>
      <c r="G48" t="s">
        <v>56</v>
      </c>
      <c r="H48" t="s">
        <v>243</v>
      </c>
      <c r="I48" t="s">
        <v>244</v>
      </c>
      <c r="J48">
        <v>12</v>
      </c>
      <c r="K48" t="s">
        <v>245</v>
      </c>
      <c r="L48" t="s">
        <v>246</v>
      </c>
      <c r="M48" t="s">
        <v>247</v>
      </c>
      <c r="N48" t="s">
        <v>248</v>
      </c>
    </row>
    <row r="49" spans="1:14">
      <c r="A49" s="5" t="str">
        <f>HYPERLINK("http://www.analog.com/zh/ada4004-2#details", "ADA4004-2")</f>
        <v>ADA4004-2</v>
      </c>
      <c r="B49">
        <v>10</v>
      </c>
      <c r="C49">
        <v>30</v>
      </c>
      <c r="D49" t="s">
        <v>249</v>
      </c>
      <c r="E49">
        <v>2</v>
      </c>
      <c r="F49" t="s">
        <v>250</v>
      </c>
      <c r="G49" t="s">
        <v>67</v>
      </c>
      <c r="H49" t="s">
        <v>59</v>
      </c>
      <c r="I49" t="s">
        <v>251</v>
      </c>
      <c r="J49">
        <v>2.7</v>
      </c>
      <c r="K49" t="s">
        <v>153</v>
      </c>
      <c r="L49" t="s">
        <v>252</v>
      </c>
      <c r="M49" t="s">
        <v>253</v>
      </c>
      <c r="N49" t="s">
        <v>55</v>
      </c>
    </row>
    <row r="50" spans="1:14" hidden="1">
      <c r="A50" s="5" t="str">
        <f>HYPERLINK("http://www.analog.com/zh/ada4004-1#details", "ADA4004-1")</f>
        <v>ADA4004-1</v>
      </c>
      <c r="B50">
        <v>10</v>
      </c>
      <c r="C50">
        <v>30</v>
      </c>
      <c r="D50" t="s">
        <v>249</v>
      </c>
      <c r="E50">
        <v>1</v>
      </c>
      <c r="F50" t="s">
        <v>250</v>
      </c>
      <c r="G50" t="s">
        <v>67</v>
      </c>
      <c r="H50" t="s">
        <v>59</v>
      </c>
      <c r="I50" t="s">
        <v>251</v>
      </c>
      <c r="J50">
        <v>2.7</v>
      </c>
      <c r="K50" t="s">
        <v>153</v>
      </c>
      <c r="L50" t="s">
        <v>252</v>
      </c>
      <c r="M50" t="s">
        <v>254</v>
      </c>
      <c r="N50" t="s">
        <v>255</v>
      </c>
    </row>
    <row r="51" spans="1:14" hidden="1">
      <c r="A51" s="5" t="str">
        <f>HYPERLINK("http://www.analog.com/zh/ad8597#details", "AD8597")</f>
        <v>AD8597</v>
      </c>
      <c r="B51">
        <v>9</v>
      </c>
      <c r="C51">
        <v>30</v>
      </c>
      <c r="D51" t="s">
        <v>256</v>
      </c>
      <c r="E51">
        <v>1</v>
      </c>
      <c r="F51" t="s">
        <v>68</v>
      </c>
      <c r="G51" t="s">
        <v>162</v>
      </c>
      <c r="H51" t="s">
        <v>66</v>
      </c>
      <c r="I51" t="s">
        <v>164</v>
      </c>
      <c r="J51">
        <v>16</v>
      </c>
      <c r="K51" t="s">
        <v>257</v>
      </c>
      <c r="L51" t="s">
        <v>258</v>
      </c>
      <c r="M51" t="s">
        <v>259</v>
      </c>
      <c r="N51" t="s">
        <v>216</v>
      </c>
    </row>
    <row r="52" spans="1:14" hidden="1">
      <c r="A52" s="5" t="str">
        <f>HYPERLINK("http://www.analog.com/zh/ada4898-1#details", "ADA4898-1")</f>
        <v>ADA4898-1</v>
      </c>
      <c r="B52">
        <v>9</v>
      </c>
      <c r="C52">
        <v>36</v>
      </c>
      <c r="D52" t="s">
        <v>260</v>
      </c>
      <c r="E52">
        <v>1</v>
      </c>
      <c r="F52" t="s">
        <v>122</v>
      </c>
      <c r="G52" t="s">
        <v>67</v>
      </c>
      <c r="H52" t="s">
        <v>104</v>
      </c>
      <c r="I52" t="s">
        <v>218</v>
      </c>
      <c r="J52">
        <v>55</v>
      </c>
      <c r="K52" t="s">
        <v>8</v>
      </c>
      <c r="L52" t="s">
        <v>219</v>
      </c>
      <c r="M52" t="s">
        <v>261</v>
      </c>
      <c r="N52" t="s">
        <v>262</v>
      </c>
    </row>
    <row r="53" spans="1:14" hidden="1">
      <c r="A53" s="5" t="str">
        <f>HYPERLINK("http://www.analog.com/zh/ad8639#details", "AD8639")</f>
        <v>AD8639</v>
      </c>
      <c r="B53">
        <v>4.5</v>
      </c>
      <c r="C53">
        <v>16</v>
      </c>
      <c r="D53" t="s">
        <v>263</v>
      </c>
      <c r="E53">
        <v>2</v>
      </c>
      <c r="F53" t="s">
        <v>264</v>
      </c>
      <c r="G53" t="s">
        <v>265</v>
      </c>
      <c r="H53" t="s">
        <v>266</v>
      </c>
      <c r="I53" t="s">
        <v>200</v>
      </c>
      <c r="J53">
        <v>2</v>
      </c>
      <c r="K53" t="s">
        <v>201</v>
      </c>
      <c r="L53" t="s">
        <v>245</v>
      </c>
      <c r="M53" t="s">
        <v>267</v>
      </c>
      <c r="N53" t="s">
        <v>268</v>
      </c>
    </row>
    <row r="54" spans="1:14" hidden="1">
      <c r="A54" s="5" t="str">
        <f>HYPERLINK("http://www.analog.com/zh/ad8669#details", "AD8669")</f>
        <v>AD8669</v>
      </c>
      <c r="B54">
        <v>5</v>
      </c>
      <c r="C54">
        <v>16</v>
      </c>
      <c r="D54" t="s">
        <v>269</v>
      </c>
      <c r="E54">
        <v>4</v>
      </c>
      <c r="F54" t="s">
        <v>270</v>
      </c>
      <c r="G54" t="s">
        <v>179</v>
      </c>
      <c r="H54" t="s">
        <v>57</v>
      </c>
      <c r="I54" t="s">
        <v>271</v>
      </c>
      <c r="J54" t="s">
        <v>272</v>
      </c>
      <c r="K54" t="s">
        <v>171</v>
      </c>
      <c r="L54" t="s">
        <v>273</v>
      </c>
      <c r="M54" t="s">
        <v>183</v>
      </c>
      <c r="N54" t="s">
        <v>87</v>
      </c>
    </row>
    <row r="55" spans="1:14" hidden="1">
      <c r="A55" s="5" t="str">
        <f>HYPERLINK("http://www.analog.com/zh/ad8638#details", "AD8638")</f>
        <v>AD8638</v>
      </c>
      <c r="B55">
        <v>4.5</v>
      </c>
      <c r="C55">
        <v>16</v>
      </c>
      <c r="D55" t="s">
        <v>263</v>
      </c>
      <c r="E55">
        <v>1</v>
      </c>
      <c r="F55" t="s">
        <v>264</v>
      </c>
      <c r="G55" t="s">
        <v>265</v>
      </c>
      <c r="H55" t="s">
        <v>266</v>
      </c>
      <c r="I55" t="s">
        <v>200</v>
      </c>
      <c r="J55">
        <v>2</v>
      </c>
      <c r="K55" t="s">
        <v>201</v>
      </c>
      <c r="L55" t="s">
        <v>245</v>
      </c>
      <c r="M55" t="s">
        <v>274</v>
      </c>
      <c r="N55" t="s">
        <v>46</v>
      </c>
    </row>
    <row r="56" spans="1:14" hidden="1">
      <c r="A56" s="5" t="str">
        <f>HYPERLINK("http://www.analog.com/zh/ad8663#details", "AD8663")</f>
        <v>AD8663</v>
      </c>
      <c r="B56">
        <v>5</v>
      </c>
      <c r="C56">
        <v>16</v>
      </c>
      <c r="D56" t="s">
        <v>269</v>
      </c>
      <c r="E56">
        <v>1</v>
      </c>
      <c r="F56" t="s">
        <v>270</v>
      </c>
      <c r="G56" t="s">
        <v>179</v>
      </c>
      <c r="H56" t="s">
        <v>57</v>
      </c>
      <c r="I56" t="s">
        <v>275</v>
      </c>
      <c r="J56" t="s">
        <v>272</v>
      </c>
      <c r="K56" t="s">
        <v>171</v>
      </c>
      <c r="L56" t="s">
        <v>273</v>
      </c>
      <c r="M56" t="s">
        <v>276</v>
      </c>
      <c r="N56" t="s">
        <v>237</v>
      </c>
    </row>
    <row r="57" spans="1:14" hidden="1">
      <c r="A57" s="5" t="str">
        <f>HYPERLINK("http://www.analog.com/zh/ad8667#details", "AD8667")</f>
        <v>AD8667</v>
      </c>
      <c r="B57">
        <v>5</v>
      </c>
      <c r="C57">
        <v>16</v>
      </c>
      <c r="D57" t="s">
        <v>269</v>
      </c>
      <c r="E57">
        <v>2</v>
      </c>
      <c r="F57" t="s">
        <v>270</v>
      </c>
      <c r="G57" t="s">
        <v>179</v>
      </c>
      <c r="H57" t="s">
        <v>57</v>
      </c>
      <c r="I57" t="s">
        <v>271</v>
      </c>
      <c r="J57" t="s">
        <v>272</v>
      </c>
      <c r="K57" t="s">
        <v>171</v>
      </c>
      <c r="L57" t="s">
        <v>273</v>
      </c>
      <c r="M57" t="s">
        <v>277</v>
      </c>
      <c r="N57" t="s">
        <v>90</v>
      </c>
    </row>
    <row r="58" spans="1:14" hidden="1">
      <c r="A58" s="5" t="str">
        <f>HYPERLINK("http://www.analog.com/zh/ad8539#details", "AD8539")</f>
        <v>AD8539</v>
      </c>
      <c r="B58">
        <v>2.7</v>
      </c>
      <c r="C58">
        <v>5</v>
      </c>
      <c r="D58" t="s">
        <v>278</v>
      </c>
      <c r="E58">
        <v>2</v>
      </c>
      <c r="F58" t="s">
        <v>279</v>
      </c>
      <c r="G58" t="s">
        <v>227</v>
      </c>
      <c r="H58" t="s">
        <v>266</v>
      </c>
      <c r="I58" t="s">
        <v>280</v>
      </c>
      <c r="J58" t="s">
        <v>181</v>
      </c>
      <c r="K58" t="s">
        <v>201</v>
      </c>
      <c r="L58" t="s">
        <v>281</v>
      </c>
      <c r="M58" t="s">
        <v>282</v>
      </c>
      <c r="N58" t="s">
        <v>90</v>
      </c>
    </row>
    <row r="59" spans="1:14" hidden="1">
      <c r="A59" s="5" t="str">
        <f>HYPERLINK("http://www.analog.com/zh/ad8599#details", "AD8599")</f>
        <v>AD8599</v>
      </c>
      <c r="B59">
        <v>9</v>
      </c>
      <c r="C59">
        <v>36</v>
      </c>
      <c r="D59" t="s">
        <v>256</v>
      </c>
      <c r="E59">
        <v>2</v>
      </c>
      <c r="F59" t="s">
        <v>68</v>
      </c>
      <c r="G59" t="s">
        <v>162</v>
      </c>
      <c r="H59" t="s">
        <v>66</v>
      </c>
      <c r="I59" t="s">
        <v>164</v>
      </c>
      <c r="J59">
        <v>16</v>
      </c>
      <c r="K59" t="s">
        <v>257</v>
      </c>
      <c r="L59" t="s">
        <v>258</v>
      </c>
      <c r="M59" t="s">
        <v>283</v>
      </c>
      <c r="N59" t="s">
        <v>84</v>
      </c>
    </row>
    <row r="60" spans="1:14">
      <c r="A60" s="9" t="str">
        <f>HYPERLINK("http://www.analog.com/zh/ad8676#details", "AD8676")</f>
        <v>AD8676</v>
      </c>
      <c r="B60" s="10">
        <v>10</v>
      </c>
      <c r="C60" s="10">
        <v>30</v>
      </c>
      <c r="D60" s="10" t="s">
        <v>284</v>
      </c>
      <c r="E60" s="10">
        <v>2</v>
      </c>
      <c r="F60" s="10" t="s">
        <v>172</v>
      </c>
      <c r="G60" s="10" t="s">
        <v>285</v>
      </c>
      <c r="H60" s="10" t="s">
        <v>68</v>
      </c>
      <c r="I60" s="10" t="s">
        <v>164</v>
      </c>
      <c r="J60" s="13">
        <v>2.5</v>
      </c>
      <c r="K60" s="10" t="s">
        <v>96</v>
      </c>
      <c r="L60" s="12" t="s">
        <v>246</v>
      </c>
      <c r="M60" t="s">
        <v>286</v>
      </c>
      <c r="N60" t="s">
        <v>55</v>
      </c>
    </row>
    <row r="61" spans="1:14" hidden="1">
      <c r="A61" s="5" t="str">
        <f>HYPERLINK("http://www.analog.com/zh/ad8664#details", "AD8664")</f>
        <v>AD8664</v>
      </c>
      <c r="B61">
        <v>5</v>
      </c>
      <c r="C61">
        <v>16</v>
      </c>
      <c r="D61" t="s">
        <v>160</v>
      </c>
      <c r="E61">
        <v>4</v>
      </c>
      <c r="F61" t="s">
        <v>94</v>
      </c>
      <c r="G61" t="s">
        <v>287</v>
      </c>
      <c r="H61" t="s">
        <v>38</v>
      </c>
      <c r="I61" t="s">
        <v>138</v>
      </c>
      <c r="J61">
        <v>3.5</v>
      </c>
      <c r="K61" t="s">
        <v>171</v>
      </c>
      <c r="L61" t="s">
        <v>288</v>
      </c>
      <c r="M61" t="s">
        <v>289</v>
      </c>
      <c r="N61" t="s">
        <v>87</v>
      </c>
    </row>
    <row r="62" spans="1:14" hidden="1">
      <c r="A62" s="5" t="str">
        <f>HYPERLINK("http://www.analog.com/zh/op07d#details", "OP07D")</f>
        <v>OP07D</v>
      </c>
      <c r="B62">
        <v>8</v>
      </c>
      <c r="C62">
        <v>36</v>
      </c>
      <c r="D62" t="s">
        <v>143</v>
      </c>
      <c r="E62">
        <v>1</v>
      </c>
      <c r="F62" t="s">
        <v>102</v>
      </c>
      <c r="G62" t="s">
        <v>290</v>
      </c>
      <c r="H62" t="s">
        <v>123</v>
      </c>
      <c r="I62" t="s">
        <v>291</v>
      </c>
      <c r="J62" t="s">
        <v>292</v>
      </c>
      <c r="K62" t="s">
        <v>8</v>
      </c>
      <c r="L62" t="s">
        <v>288</v>
      </c>
      <c r="M62" t="s">
        <v>293</v>
      </c>
      <c r="N62" t="s">
        <v>294</v>
      </c>
    </row>
    <row r="63" spans="1:14" hidden="1">
      <c r="A63" s="5" t="str">
        <f>HYPERLINK("http://www.analog.com/zh/ada4004-4#details", "ADA4004-4")</f>
        <v>ADA4004-4</v>
      </c>
      <c r="B63">
        <v>10</v>
      </c>
      <c r="C63">
        <v>30</v>
      </c>
      <c r="D63" t="s">
        <v>249</v>
      </c>
      <c r="E63">
        <v>4</v>
      </c>
      <c r="F63" t="s">
        <v>250</v>
      </c>
      <c r="G63" t="s">
        <v>67</v>
      </c>
      <c r="H63" t="s">
        <v>59</v>
      </c>
      <c r="I63" t="s">
        <v>251</v>
      </c>
      <c r="J63">
        <v>2.7</v>
      </c>
      <c r="K63" t="s">
        <v>153</v>
      </c>
      <c r="L63" t="s">
        <v>252</v>
      </c>
      <c r="M63" t="s">
        <v>295</v>
      </c>
      <c r="N63" t="s">
        <v>296</v>
      </c>
    </row>
    <row r="64" spans="1:14" hidden="1">
      <c r="A64" s="5" t="str">
        <f>HYPERLINK("http://www.analog.com/zh/ad8677#details", "AD8677")</f>
        <v>AD8677</v>
      </c>
      <c r="B64">
        <v>8</v>
      </c>
      <c r="C64">
        <v>36</v>
      </c>
      <c r="D64" t="s">
        <v>297</v>
      </c>
      <c r="E64">
        <v>1</v>
      </c>
      <c r="F64" t="s">
        <v>102</v>
      </c>
      <c r="G64" t="s">
        <v>298</v>
      </c>
      <c r="H64" t="s">
        <v>123</v>
      </c>
      <c r="I64" t="s">
        <v>291</v>
      </c>
      <c r="J64" t="s">
        <v>292</v>
      </c>
      <c r="K64" t="s">
        <v>130</v>
      </c>
      <c r="L64" t="s">
        <v>288</v>
      </c>
      <c r="M64" t="s">
        <v>299</v>
      </c>
      <c r="N64" t="s">
        <v>300</v>
      </c>
    </row>
    <row r="65" spans="1:14" hidden="1">
      <c r="A65" s="5" t="str">
        <f>HYPERLINK("http://www.analog.com/zh/ad8538#details", "AD8538")</f>
        <v>AD8538</v>
      </c>
      <c r="B65">
        <v>2.7</v>
      </c>
      <c r="C65">
        <v>5</v>
      </c>
      <c r="D65" t="s">
        <v>301</v>
      </c>
      <c r="E65">
        <v>1</v>
      </c>
      <c r="F65" t="s">
        <v>114</v>
      </c>
      <c r="G65" t="s">
        <v>238</v>
      </c>
      <c r="H65" t="s">
        <v>266</v>
      </c>
      <c r="I65" t="s">
        <v>280</v>
      </c>
      <c r="J65" t="s">
        <v>181</v>
      </c>
      <c r="K65" t="s">
        <v>38</v>
      </c>
      <c r="L65" t="s">
        <v>302</v>
      </c>
      <c r="M65" t="s">
        <v>303</v>
      </c>
      <c r="N65" t="s">
        <v>304</v>
      </c>
    </row>
    <row r="66" spans="1:14" hidden="1">
      <c r="A66" s="5" t="str">
        <f>HYPERLINK("http://www.analog.com/zh/ada4841-2#details", "ADA4841-2")</f>
        <v>ADA4841-2</v>
      </c>
      <c r="B66">
        <v>2.7</v>
      </c>
      <c r="C66">
        <v>12</v>
      </c>
      <c r="D66" t="s">
        <v>305</v>
      </c>
      <c r="E66">
        <v>2</v>
      </c>
      <c r="F66" t="s">
        <v>306</v>
      </c>
      <c r="G66" t="s">
        <v>179</v>
      </c>
      <c r="H66" t="s">
        <v>104</v>
      </c>
      <c r="I66" t="s">
        <v>307</v>
      </c>
      <c r="J66">
        <v>13</v>
      </c>
      <c r="K66" t="s">
        <v>8</v>
      </c>
      <c r="L66" t="s">
        <v>308</v>
      </c>
      <c r="M66" t="s">
        <v>309</v>
      </c>
      <c r="N66" t="s">
        <v>310</v>
      </c>
    </row>
    <row r="67" spans="1:14" hidden="1">
      <c r="A67" s="5" t="str">
        <f>HYPERLINK("http://www.analog.com/zh/ad8675#details", "AD8675")</f>
        <v>AD8675</v>
      </c>
      <c r="B67">
        <v>10</v>
      </c>
      <c r="C67">
        <v>30</v>
      </c>
      <c r="D67" t="s">
        <v>284</v>
      </c>
      <c r="E67">
        <v>1</v>
      </c>
      <c r="F67" t="s">
        <v>172</v>
      </c>
      <c r="G67" t="s">
        <v>311</v>
      </c>
      <c r="H67" t="s">
        <v>137</v>
      </c>
      <c r="I67" t="s">
        <v>164</v>
      </c>
      <c r="J67">
        <v>2.5</v>
      </c>
      <c r="K67" t="s">
        <v>96</v>
      </c>
      <c r="L67" t="s">
        <v>246</v>
      </c>
      <c r="M67" t="s">
        <v>312</v>
      </c>
      <c r="N67" t="s">
        <v>90</v>
      </c>
    </row>
    <row r="68" spans="1:14" hidden="1">
      <c r="A68" s="5" t="str">
        <f>HYPERLINK("http://www.analog.com/zh/ada4841-1#details", "ADA4841-1")</f>
        <v>ADA4841-1</v>
      </c>
      <c r="B68">
        <v>2.7</v>
      </c>
      <c r="C68">
        <v>12</v>
      </c>
      <c r="D68" t="s">
        <v>305</v>
      </c>
      <c r="E68">
        <v>1</v>
      </c>
      <c r="F68" t="s">
        <v>306</v>
      </c>
      <c r="G68" t="s">
        <v>179</v>
      </c>
      <c r="H68" t="s">
        <v>104</v>
      </c>
      <c r="I68" t="s">
        <v>307</v>
      </c>
      <c r="J68">
        <v>13</v>
      </c>
      <c r="K68" t="s">
        <v>8</v>
      </c>
      <c r="L68" t="s">
        <v>308</v>
      </c>
      <c r="M68" t="s">
        <v>313</v>
      </c>
      <c r="N68" t="s">
        <v>157</v>
      </c>
    </row>
    <row r="69" spans="1:14">
      <c r="A69" s="5" t="str">
        <f>HYPERLINK("http://www.analog.com/zh/ad8656#details", "AD8656")</f>
        <v>AD8656</v>
      </c>
      <c r="B69">
        <v>2.7</v>
      </c>
      <c r="C69">
        <v>5.5</v>
      </c>
      <c r="D69" t="s">
        <v>314</v>
      </c>
      <c r="E69">
        <v>2</v>
      </c>
      <c r="F69" t="s">
        <v>36</v>
      </c>
      <c r="G69" t="s">
        <v>144</v>
      </c>
      <c r="H69" t="s">
        <v>122</v>
      </c>
      <c r="I69" t="s">
        <v>315</v>
      </c>
      <c r="J69" s="15">
        <v>11</v>
      </c>
      <c r="K69" t="s">
        <v>8</v>
      </c>
      <c r="L69" t="s">
        <v>316</v>
      </c>
      <c r="M69" t="s">
        <v>317</v>
      </c>
      <c r="N69" t="s">
        <v>90</v>
      </c>
    </row>
    <row r="70" spans="1:14" hidden="1">
      <c r="A70" s="5" t="str">
        <f>HYPERLINK("http://www.analog.com/zh/ad8655#details", "AD8655")</f>
        <v>AD8655</v>
      </c>
      <c r="B70">
        <v>2.7</v>
      </c>
      <c r="C70">
        <v>5.5</v>
      </c>
      <c r="D70" t="s">
        <v>314</v>
      </c>
      <c r="E70">
        <v>1</v>
      </c>
      <c r="F70" t="s">
        <v>36</v>
      </c>
      <c r="G70" t="s">
        <v>144</v>
      </c>
      <c r="H70" t="s">
        <v>122</v>
      </c>
      <c r="I70" t="s">
        <v>315</v>
      </c>
      <c r="J70">
        <v>11</v>
      </c>
      <c r="K70" t="s">
        <v>8</v>
      </c>
      <c r="L70" t="s">
        <v>316</v>
      </c>
      <c r="M70" t="s">
        <v>318</v>
      </c>
      <c r="N70" t="s">
        <v>90</v>
      </c>
    </row>
    <row r="71" spans="1:14" hidden="1">
      <c r="A71" s="5" t="str">
        <f>HYPERLINK("http://www.analog.com/zh/ad8630#details", "AD8630")</f>
        <v>AD8630</v>
      </c>
      <c r="B71">
        <v>2.7</v>
      </c>
      <c r="C71">
        <v>5.5</v>
      </c>
      <c r="D71" t="s">
        <v>196</v>
      </c>
      <c r="E71">
        <v>4</v>
      </c>
      <c r="F71" t="s">
        <v>319</v>
      </c>
      <c r="G71" t="s">
        <v>49</v>
      </c>
      <c r="H71" t="s">
        <v>172</v>
      </c>
      <c r="I71" t="s">
        <v>320</v>
      </c>
      <c r="J71">
        <v>1</v>
      </c>
      <c r="K71" t="s">
        <v>123</v>
      </c>
      <c r="L71" t="s">
        <v>321</v>
      </c>
      <c r="M71" t="s">
        <v>322</v>
      </c>
      <c r="N71" t="s">
        <v>323</v>
      </c>
    </row>
    <row r="72" spans="1:14" hidden="1">
      <c r="A72" s="5" t="str">
        <f>HYPERLINK("http://www.analog.com/zh/ad8629#details", "AD8629")</f>
        <v>AD8629</v>
      </c>
      <c r="B72">
        <v>2.7</v>
      </c>
      <c r="C72">
        <v>5.5</v>
      </c>
      <c r="D72" t="s">
        <v>196</v>
      </c>
      <c r="E72">
        <v>2</v>
      </c>
      <c r="F72" t="s">
        <v>324</v>
      </c>
      <c r="G72" t="s">
        <v>49</v>
      </c>
      <c r="H72" t="s">
        <v>172</v>
      </c>
      <c r="I72" t="s">
        <v>320</v>
      </c>
      <c r="J72">
        <v>1</v>
      </c>
      <c r="K72" t="s">
        <v>123</v>
      </c>
      <c r="L72" t="s">
        <v>321</v>
      </c>
      <c r="M72" t="s">
        <v>239</v>
      </c>
      <c r="N72" t="s">
        <v>325</v>
      </c>
    </row>
    <row r="73" spans="1:14" hidden="1">
      <c r="A73" s="5" t="str">
        <f>HYPERLINK("http://www.analog.com/zh/ad8618#details", "AD8618")</f>
        <v>AD8618</v>
      </c>
      <c r="B73">
        <v>2.7</v>
      </c>
      <c r="C73">
        <v>5.5</v>
      </c>
      <c r="D73" t="s">
        <v>326</v>
      </c>
      <c r="E73">
        <v>4</v>
      </c>
      <c r="F73" t="s">
        <v>94</v>
      </c>
      <c r="G73" t="s">
        <v>103</v>
      </c>
      <c r="H73" t="s">
        <v>57</v>
      </c>
      <c r="I73" t="s">
        <v>327</v>
      </c>
      <c r="J73">
        <v>12</v>
      </c>
      <c r="K73" t="s">
        <v>328</v>
      </c>
      <c r="L73" t="s">
        <v>132</v>
      </c>
      <c r="M73" t="s">
        <v>261</v>
      </c>
      <c r="N73" t="s">
        <v>323</v>
      </c>
    </row>
    <row r="74" spans="1:14" hidden="1">
      <c r="A74" s="5" t="str">
        <f>HYPERLINK("http://www.analog.com/zh/ad8674#details", "AD8674")</f>
        <v>AD8674</v>
      </c>
      <c r="B74">
        <v>8</v>
      </c>
      <c r="C74">
        <v>36</v>
      </c>
      <c r="D74" t="s">
        <v>329</v>
      </c>
      <c r="E74">
        <v>4</v>
      </c>
      <c r="F74" t="s">
        <v>330</v>
      </c>
      <c r="G74" t="s">
        <v>311</v>
      </c>
      <c r="H74" t="s">
        <v>66</v>
      </c>
      <c r="I74" t="s">
        <v>164</v>
      </c>
      <c r="J74">
        <v>4</v>
      </c>
      <c r="K74" t="s">
        <v>331</v>
      </c>
      <c r="L74" t="s">
        <v>246</v>
      </c>
      <c r="M74" t="s">
        <v>283</v>
      </c>
      <c r="N74" t="s">
        <v>323</v>
      </c>
    </row>
    <row r="75" spans="1:14">
      <c r="A75" s="5" t="str">
        <f>HYPERLINK("http://www.analog.com/zh/ad8672#details", "AD8672")</f>
        <v>AD8672</v>
      </c>
      <c r="B75">
        <v>8</v>
      </c>
      <c r="C75">
        <v>36</v>
      </c>
      <c r="D75" t="s">
        <v>329</v>
      </c>
      <c r="E75">
        <v>2</v>
      </c>
      <c r="F75" t="s">
        <v>330</v>
      </c>
      <c r="G75" t="s">
        <v>311</v>
      </c>
      <c r="H75" t="s">
        <v>123</v>
      </c>
      <c r="I75" t="s">
        <v>164</v>
      </c>
      <c r="J75">
        <v>4</v>
      </c>
      <c r="K75" t="s">
        <v>331</v>
      </c>
      <c r="L75" t="s">
        <v>246</v>
      </c>
      <c r="M75" t="s">
        <v>332</v>
      </c>
      <c r="N75" t="s">
        <v>90</v>
      </c>
    </row>
    <row r="76" spans="1:14">
      <c r="A76" s="5" t="str">
        <f>HYPERLINK("http://www.analog.com/zh/ad8616#details", "AD8616")</f>
        <v>AD8616</v>
      </c>
      <c r="B76">
        <v>2.7</v>
      </c>
      <c r="C76">
        <v>5.5</v>
      </c>
      <c r="D76" t="s">
        <v>333</v>
      </c>
      <c r="E76">
        <v>2</v>
      </c>
      <c r="F76" t="s">
        <v>94</v>
      </c>
      <c r="G76" t="s">
        <v>103</v>
      </c>
      <c r="H76" t="s">
        <v>57</v>
      </c>
      <c r="I76" t="s">
        <v>327</v>
      </c>
      <c r="J76">
        <v>12</v>
      </c>
      <c r="K76" t="s">
        <v>328</v>
      </c>
      <c r="L76" t="s">
        <v>132</v>
      </c>
      <c r="M76" t="s">
        <v>334</v>
      </c>
      <c r="N76" t="s">
        <v>55</v>
      </c>
    </row>
    <row r="77" spans="1:14" hidden="1">
      <c r="A77" s="5" t="str">
        <f>HYPERLINK("http://www.analog.com/zh/ad8609#details", "AD8609")</f>
        <v>AD8609</v>
      </c>
      <c r="B77">
        <v>1.8</v>
      </c>
      <c r="C77">
        <v>5</v>
      </c>
      <c r="D77" t="s">
        <v>78</v>
      </c>
      <c r="E77">
        <v>4</v>
      </c>
      <c r="F77" t="s">
        <v>94</v>
      </c>
      <c r="G77" t="s">
        <v>179</v>
      </c>
      <c r="H77" t="s">
        <v>104</v>
      </c>
      <c r="I77" t="s">
        <v>335</v>
      </c>
      <c r="J77" t="s">
        <v>336</v>
      </c>
      <c r="K77" t="s">
        <v>337</v>
      </c>
      <c r="L77" t="s">
        <v>321</v>
      </c>
      <c r="M77" t="s">
        <v>338</v>
      </c>
      <c r="N77" t="s">
        <v>87</v>
      </c>
    </row>
    <row r="78" spans="1:14" hidden="1">
      <c r="A78" s="5" t="str">
        <f>HYPERLINK("http://www.analog.com/zh/ad8607#details", "AD8607")</f>
        <v>AD8607</v>
      </c>
      <c r="B78">
        <v>1.8</v>
      </c>
      <c r="C78">
        <v>5</v>
      </c>
      <c r="D78" t="s">
        <v>285</v>
      </c>
      <c r="E78">
        <v>2</v>
      </c>
      <c r="F78" t="s">
        <v>94</v>
      </c>
      <c r="G78" t="s">
        <v>179</v>
      </c>
      <c r="H78" t="s">
        <v>104</v>
      </c>
      <c r="I78" t="s">
        <v>335</v>
      </c>
      <c r="J78" t="s">
        <v>336</v>
      </c>
      <c r="K78" t="s">
        <v>337</v>
      </c>
      <c r="L78" t="s">
        <v>321</v>
      </c>
      <c r="M78" t="s">
        <v>339</v>
      </c>
      <c r="N78" t="s">
        <v>90</v>
      </c>
    </row>
    <row r="79" spans="1:14" hidden="1">
      <c r="A79" s="5" t="str">
        <f>HYPERLINK("http://www.analog.com/zh/ad8513#details", "AD8513")</f>
        <v>AD8513</v>
      </c>
      <c r="B79">
        <v>9</v>
      </c>
      <c r="C79">
        <v>30</v>
      </c>
      <c r="D79" t="s">
        <v>340</v>
      </c>
      <c r="E79">
        <v>4</v>
      </c>
      <c r="F79" t="s">
        <v>341</v>
      </c>
      <c r="G79" t="s">
        <v>56</v>
      </c>
      <c r="H79" t="s">
        <v>342</v>
      </c>
      <c r="I79" t="s">
        <v>39</v>
      </c>
      <c r="J79">
        <v>20</v>
      </c>
      <c r="K79" t="s">
        <v>8</v>
      </c>
      <c r="L79" t="s">
        <v>343</v>
      </c>
      <c r="M79" t="s">
        <v>344</v>
      </c>
      <c r="N79" t="s">
        <v>87</v>
      </c>
    </row>
    <row r="80" spans="1:14" hidden="1">
      <c r="A80" s="5" t="str">
        <f>HYPERLINK("http://www.analog.com/zh/ad8671#details", "AD8671")</f>
        <v>AD8671</v>
      </c>
      <c r="B80">
        <v>8</v>
      </c>
      <c r="C80">
        <v>36</v>
      </c>
      <c r="D80" t="s">
        <v>329</v>
      </c>
      <c r="E80">
        <v>1</v>
      </c>
      <c r="F80" t="s">
        <v>330</v>
      </c>
      <c r="G80" t="s">
        <v>311</v>
      </c>
      <c r="H80" t="s">
        <v>123</v>
      </c>
      <c r="I80" t="s">
        <v>164</v>
      </c>
      <c r="J80">
        <v>4</v>
      </c>
      <c r="K80" t="s">
        <v>331</v>
      </c>
      <c r="L80" t="s">
        <v>246</v>
      </c>
      <c r="M80" t="s">
        <v>345</v>
      </c>
      <c r="N80" t="s">
        <v>55</v>
      </c>
    </row>
    <row r="81" spans="1:14" hidden="1">
      <c r="A81" s="5" t="str">
        <f>HYPERLINK("http://www.analog.com/zh/ad8603#details", "AD8603")</f>
        <v>AD8603</v>
      </c>
      <c r="B81">
        <v>1.8</v>
      </c>
      <c r="C81">
        <v>5</v>
      </c>
      <c r="D81" t="s">
        <v>285</v>
      </c>
      <c r="E81">
        <v>1</v>
      </c>
      <c r="F81" t="s">
        <v>94</v>
      </c>
      <c r="G81" t="s">
        <v>179</v>
      </c>
      <c r="H81" t="s">
        <v>104</v>
      </c>
      <c r="I81" t="s">
        <v>335</v>
      </c>
      <c r="J81" t="s">
        <v>336</v>
      </c>
      <c r="K81" t="s">
        <v>337</v>
      </c>
      <c r="L81" t="s">
        <v>321</v>
      </c>
      <c r="M81" t="s">
        <v>346</v>
      </c>
      <c r="N81" t="s">
        <v>347</v>
      </c>
    </row>
    <row r="82" spans="1:14" hidden="1">
      <c r="A82" s="5" t="str">
        <f>HYPERLINK("http://www.analog.com/zh/ad8028#details", "AD8028")</f>
        <v>AD8028</v>
      </c>
      <c r="B82">
        <v>2.7</v>
      </c>
      <c r="C82">
        <v>12</v>
      </c>
      <c r="D82" t="s">
        <v>348</v>
      </c>
      <c r="E82">
        <v>2</v>
      </c>
      <c r="F82" t="s">
        <v>349</v>
      </c>
      <c r="G82" t="s">
        <v>76</v>
      </c>
      <c r="H82" t="s">
        <v>57</v>
      </c>
      <c r="I82" t="s">
        <v>350</v>
      </c>
      <c r="J82">
        <v>100</v>
      </c>
      <c r="K82" t="s">
        <v>8</v>
      </c>
      <c r="L82" t="s">
        <v>351</v>
      </c>
      <c r="M82" t="s">
        <v>352</v>
      </c>
      <c r="N82" t="s">
        <v>353</v>
      </c>
    </row>
    <row r="83" spans="1:14" hidden="1">
      <c r="A83" s="5" t="str">
        <f>HYPERLINK("http://www.analog.com/zh/ad8027#details", "AD8027")</f>
        <v>AD8027</v>
      </c>
      <c r="B83">
        <v>2.7</v>
      </c>
      <c r="C83">
        <v>12</v>
      </c>
      <c r="D83" t="s">
        <v>348</v>
      </c>
      <c r="E83">
        <v>1</v>
      </c>
      <c r="F83" t="s">
        <v>349</v>
      </c>
      <c r="G83" t="s">
        <v>76</v>
      </c>
      <c r="H83" t="s">
        <v>57</v>
      </c>
      <c r="I83" t="s">
        <v>350</v>
      </c>
      <c r="J83">
        <v>100</v>
      </c>
      <c r="K83" t="s">
        <v>8</v>
      </c>
      <c r="L83" t="s">
        <v>351</v>
      </c>
      <c r="M83" t="s">
        <v>354</v>
      </c>
      <c r="N83" t="s">
        <v>157</v>
      </c>
    </row>
    <row r="84" spans="1:14" hidden="1">
      <c r="A84" s="5" t="str">
        <f>HYPERLINK("http://www.analog.com/zh/ad8608#details", "AD8608")</f>
        <v>AD8608</v>
      </c>
      <c r="B84">
        <v>2.7</v>
      </c>
      <c r="C84">
        <v>5</v>
      </c>
      <c r="D84" t="s">
        <v>305</v>
      </c>
      <c r="E84">
        <v>4</v>
      </c>
      <c r="F84" t="s">
        <v>94</v>
      </c>
      <c r="G84" t="s">
        <v>179</v>
      </c>
      <c r="H84" t="s">
        <v>57</v>
      </c>
      <c r="I84" t="s">
        <v>164</v>
      </c>
      <c r="J84">
        <v>5</v>
      </c>
      <c r="K84" t="s">
        <v>337</v>
      </c>
      <c r="L84" t="s">
        <v>355</v>
      </c>
      <c r="M84" t="s">
        <v>356</v>
      </c>
      <c r="N84" t="s">
        <v>357</v>
      </c>
    </row>
    <row r="85" spans="1:14" hidden="1">
      <c r="A85" s="5" t="str">
        <f>HYPERLINK("http://www.analog.com/zh/ad8067#details", "AD8067")</f>
        <v>AD8067</v>
      </c>
      <c r="B85">
        <v>5</v>
      </c>
      <c r="C85">
        <v>24</v>
      </c>
      <c r="D85" t="s">
        <v>210</v>
      </c>
      <c r="E85">
        <v>1</v>
      </c>
      <c r="F85" t="s">
        <v>211</v>
      </c>
      <c r="G85" t="s">
        <v>56</v>
      </c>
      <c r="H85" t="s">
        <v>104</v>
      </c>
      <c r="I85" t="s">
        <v>358</v>
      </c>
      <c r="J85">
        <v>640</v>
      </c>
      <c r="K85" t="s">
        <v>8</v>
      </c>
      <c r="L85" t="s">
        <v>359</v>
      </c>
      <c r="M85" t="s">
        <v>156</v>
      </c>
      <c r="N85" t="s">
        <v>360</v>
      </c>
    </row>
    <row r="86" spans="1:14" hidden="1">
      <c r="A86" s="5" t="str">
        <f>HYPERLINK("http://www.analog.com/zh/ad8605#details", "AD8605")</f>
        <v>AD8605</v>
      </c>
      <c r="B86">
        <v>2.7</v>
      </c>
      <c r="C86">
        <v>5</v>
      </c>
      <c r="D86" t="s">
        <v>305</v>
      </c>
      <c r="E86">
        <v>1</v>
      </c>
      <c r="F86" t="s">
        <v>94</v>
      </c>
      <c r="G86" t="s">
        <v>179</v>
      </c>
      <c r="H86" t="s">
        <v>104</v>
      </c>
      <c r="I86" t="s">
        <v>164</v>
      </c>
      <c r="J86">
        <v>5</v>
      </c>
      <c r="K86" t="s">
        <v>337</v>
      </c>
      <c r="L86" t="s">
        <v>355</v>
      </c>
      <c r="M86" t="s">
        <v>361</v>
      </c>
      <c r="N86" t="s">
        <v>362</v>
      </c>
    </row>
    <row r="87" spans="1:14" hidden="1">
      <c r="A87" s="5" t="str">
        <f>HYPERLINK("http://www.analog.com/zh/ad8510#details", "AD8510")</f>
        <v>AD8510</v>
      </c>
      <c r="B87">
        <v>9</v>
      </c>
      <c r="C87">
        <v>30</v>
      </c>
      <c r="D87" t="s">
        <v>340</v>
      </c>
      <c r="E87">
        <v>1</v>
      </c>
      <c r="F87" t="s">
        <v>341</v>
      </c>
      <c r="G87" t="s">
        <v>115</v>
      </c>
      <c r="H87" t="s">
        <v>104</v>
      </c>
      <c r="I87" t="s">
        <v>39</v>
      </c>
      <c r="J87">
        <v>20</v>
      </c>
      <c r="K87" t="s">
        <v>8</v>
      </c>
      <c r="L87" t="s">
        <v>343</v>
      </c>
      <c r="M87" t="s">
        <v>363</v>
      </c>
      <c r="N87" t="s">
        <v>90</v>
      </c>
    </row>
    <row r="88" spans="1:14" hidden="1">
      <c r="A88" s="5" t="str">
        <f>HYPERLINK("http://www.analog.com/zh/op4177#details", "OP4177")</f>
        <v>OP4177</v>
      </c>
      <c r="B88">
        <v>5</v>
      </c>
      <c r="C88">
        <v>30</v>
      </c>
      <c r="D88" t="s">
        <v>101</v>
      </c>
      <c r="E88">
        <v>4</v>
      </c>
      <c r="F88" t="s">
        <v>172</v>
      </c>
      <c r="G88" t="s">
        <v>311</v>
      </c>
      <c r="H88" t="s">
        <v>243</v>
      </c>
      <c r="I88" t="s">
        <v>364</v>
      </c>
      <c r="J88" t="s">
        <v>365</v>
      </c>
      <c r="K88" t="s">
        <v>122</v>
      </c>
      <c r="L88" t="s">
        <v>366</v>
      </c>
      <c r="M88" t="s">
        <v>367</v>
      </c>
      <c r="N88" t="s">
        <v>87</v>
      </c>
    </row>
    <row r="89" spans="1:14" hidden="1">
      <c r="A89" s="5" t="str">
        <f>HYPERLINK("http://www.analog.com/zh/ad8628#details", "AD8628")</f>
        <v>AD8628</v>
      </c>
      <c r="B89">
        <v>2.7</v>
      </c>
      <c r="C89">
        <v>5.5</v>
      </c>
      <c r="D89" t="s">
        <v>196</v>
      </c>
      <c r="E89">
        <v>1</v>
      </c>
      <c r="F89" t="s">
        <v>324</v>
      </c>
      <c r="G89" t="s">
        <v>49</v>
      </c>
      <c r="H89" t="s">
        <v>172</v>
      </c>
      <c r="I89" t="s">
        <v>320</v>
      </c>
      <c r="J89">
        <v>1</v>
      </c>
      <c r="K89" t="s">
        <v>123</v>
      </c>
      <c r="L89" t="s">
        <v>321</v>
      </c>
      <c r="M89" t="s">
        <v>368</v>
      </c>
      <c r="N89" t="s">
        <v>369</v>
      </c>
    </row>
    <row r="90" spans="1:14">
      <c r="A90" s="9" t="str">
        <f>HYPERLINK("http://www.analog.com/zh/ad8620#details", "AD8620")</f>
        <v>AD8620</v>
      </c>
      <c r="B90" s="10">
        <v>10</v>
      </c>
      <c r="C90" s="10">
        <v>26</v>
      </c>
      <c r="D90" s="10" t="s">
        <v>329</v>
      </c>
      <c r="E90" s="10">
        <v>2</v>
      </c>
      <c r="F90" s="10" t="s">
        <v>36</v>
      </c>
      <c r="G90" s="10" t="s">
        <v>290</v>
      </c>
      <c r="H90" s="10" t="s">
        <v>123</v>
      </c>
      <c r="I90" s="10" t="s">
        <v>370</v>
      </c>
      <c r="J90" s="13">
        <v>60</v>
      </c>
      <c r="K90" s="10" t="s">
        <v>371</v>
      </c>
      <c r="L90" s="11" t="s">
        <v>372</v>
      </c>
      <c r="M90" t="s">
        <v>373</v>
      </c>
      <c r="N90" t="s">
        <v>84</v>
      </c>
    </row>
    <row r="91" spans="1:14">
      <c r="A91" s="5" t="str">
        <f>HYPERLINK("http://www.analog.com/zh/ad8606#details", "AD8606")</f>
        <v>AD8606</v>
      </c>
      <c r="B91">
        <v>2.7</v>
      </c>
      <c r="C91">
        <v>5</v>
      </c>
      <c r="D91" t="s">
        <v>305</v>
      </c>
      <c r="E91">
        <v>2</v>
      </c>
      <c r="F91" t="s">
        <v>94</v>
      </c>
      <c r="G91" t="s">
        <v>179</v>
      </c>
      <c r="H91" t="s">
        <v>104</v>
      </c>
      <c r="I91" t="s">
        <v>164</v>
      </c>
      <c r="J91">
        <v>5</v>
      </c>
      <c r="K91" t="s">
        <v>337</v>
      </c>
      <c r="L91" t="s">
        <v>355</v>
      </c>
      <c r="M91" t="s">
        <v>374</v>
      </c>
      <c r="N91" t="s">
        <v>375</v>
      </c>
    </row>
    <row r="92" spans="1:14">
      <c r="A92" s="5" t="str">
        <f>HYPERLINK("http://www.analog.com/zh/ad8512#details", "AD8512")</f>
        <v>AD8512</v>
      </c>
      <c r="B92">
        <v>9</v>
      </c>
      <c r="C92">
        <v>30</v>
      </c>
      <c r="D92" t="s">
        <v>340</v>
      </c>
      <c r="E92">
        <v>2</v>
      </c>
      <c r="F92" t="s">
        <v>341</v>
      </c>
      <c r="G92" t="s">
        <v>115</v>
      </c>
      <c r="H92" t="s">
        <v>104</v>
      </c>
      <c r="I92" t="s">
        <v>39</v>
      </c>
      <c r="J92">
        <v>20</v>
      </c>
      <c r="K92" t="s">
        <v>8</v>
      </c>
      <c r="L92" t="s">
        <v>343</v>
      </c>
      <c r="M92" t="s">
        <v>376</v>
      </c>
      <c r="N92" t="s">
        <v>55</v>
      </c>
    </row>
    <row r="93" spans="1:14" hidden="1">
      <c r="A93" s="5" t="str">
        <f>HYPERLINK("http://www.analog.com/zh/op2177#details", "OP2177")</f>
        <v>OP2177</v>
      </c>
      <c r="B93">
        <v>5</v>
      </c>
      <c r="C93">
        <v>30</v>
      </c>
      <c r="D93" t="s">
        <v>115</v>
      </c>
      <c r="E93">
        <v>2</v>
      </c>
      <c r="F93" t="s">
        <v>172</v>
      </c>
      <c r="G93" t="s">
        <v>311</v>
      </c>
      <c r="H93" t="s">
        <v>68</v>
      </c>
      <c r="I93" t="s">
        <v>364</v>
      </c>
      <c r="J93" t="s">
        <v>365</v>
      </c>
      <c r="K93" t="s">
        <v>122</v>
      </c>
      <c r="L93" t="s">
        <v>366</v>
      </c>
      <c r="M93" t="s">
        <v>112</v>
      </c>
      <c r="N93" t="s">
        <v>55</v>
      </c>
    </row>
    <row r="94" spans="1:14" hidden="1">
      <c r="A94" s="5" t="str">
        <f>HYPERLINK("http://www.analog.com/zh/ad8610#details", "AD8610")</f>
        <v>AD8610</v>
      </c>
      <c r="B94">
        <v>10</v>
      </c>
      <c r="C94">
        <v>26</v>
      </c>
      <c r="D94" t="s">
        <v>329</v>
      </c>
      <c r="E94">
        <v>1</v>
      </c>
      <c r="F94" t="s">
        <v>36</v>
      </c>
      <c r="G94" t="s">
        <v>58</v>
      </c>
      <c r="H94" t="s">
        <v>123</v>
      </c>
      <c r="I94" t="s">
        <v>370</v>
      </c>
      <c r="J94">
        <v>60</v>
      </c>
      <c r="K94" t="s">
        <v>371</v>
      </c>
      <c r="L94" t="s">
        <v>372</v>
      </c>
      <c r="M94" t="s">
        <v>377</v>
      </c>
      <c r="N94" t="s">
        <v>55</v>
      </c>
    </row>
    <row r="95" spans="1:14" hidden="1">
      <c r="A95" s="5" t="str">
        <f>HYPERLINK("http://www.analog.com/zh/op1177#details", "OP1177")</f>
        <v>OP1177</v>
      </c>
      <c r="B95">
        <v>5</v>
      </c>
      <c r="C95">
        <v>30</v>
      </c>
      <c r="D95" t="s">
        <v>115</v>
      </c>
      <c r="E95">
        <v>1</v>
      </c>
      <c r="F95" t="s">
        <v>172</v>
      </c>
      <c r="G95" t="s">
        <v>103</v>
      </c>
      <c r="H95" t="s">
        <v>68</v>
      </c>
      <c r="I95" t="s">
        <v>364</v>
      </c>
      <c r="J95" t="s">
        <v>365</v>
      </c>
      <c r="K95" t="s">
        <v>122</v>
      </c>
      <c r="L95" t="s">
        <v>366</v>
      </c>
      <c r="M95" t="s">
        <v>378</v>
      </c>
      <c r="N95" t="s">
        <v>90</v>
      </c>
    </row>
    <row r="96" spans="1:14" hidden="1">
      <c r="A96" s="5" t="str">
        <f>HYPERLINK("http://www.analog.com/zh/ad8021#details", "AD8021")</f>
        <v>AD8021</v>
      </c>
      <c r="B96">
        <v>4.5</v>
      </c>
      <c r="C96">
        <v>24</v>
      </c>
      <c r="D96" t="s">
        <v>379</v>
      </c>
      <c r="E96">
        <v>1</v>
      </c>
      <c r="F96" t="s">
        <v>380</v>
      </c>
      <c r="G96" t="s">
        <v>56</v>
      </c>
      <c r="H96" t="s">
        <v>123</v>
      </c>
      <c r="I96" t="s">
        <v>381</v>
      </c>
      <c r="J96">
        <v>130</v>
      </c>
      <c r="K96" t="s">
        <v>8</v>
      </c>
      <c r="L96" t="s">
        <v>308</v>
      </c>
      <c r="M96" t="s">
        <v>374</v>
      </c>
      <c r="N96" t="s">
        <v>90</v>
      </c>
    </row>
    <row r="97" spans="1:14" hidden="1">
      <c r="A97" s="5" t="str">
        <f>HYPERLINK("http://www.analog.com/zh/op747#details", "OP747")</f>
        <v>OP747</v>
      </c>
      <c r="B97">
        <v>3</v>
      </c>
      <c r="C97">
        <v>30</v>
      </c>
      <c r="D97" t="s">
        <v>382</v>
      </c>
      <c r="E97">
        <v>4</v>
      </c>
      <c r="F97" t="s">
        <v>288</v>
      </c>
      <c r="G97" t="s">
        <v>179</v>
      </c>
      <c r="H97" t="s">
        <v>122</v>
      </c>
      <c r="I97" t="s">
        <v>383</v>
      </c>
      <c r="J97" t="s">
        <v>292</v>
      </c>
      <c r="K97" t="s">
        <v>122</v>
      </c>
      <c r="L97" t="s">
        <v>384</v>
      </c>
      <c r="M97" t="s">
        <v>385</v>
      </c>
      <c r="N97" t="s">
        <v>87</v>
      </c>
    </row>
    <row r="98" spans="1:14" hidden="1">
      <c r="A98" s="5" t="str">
        <f>HYPERLINK("http://www.analog.com/zh/op727#details", "OP727")</f>
        <v>OP727</v>
      </c>
      <c r="B98">
        <v>3</v>
      </c>
      <c r="C98">
        <v>30</v>
      </c>
      <c r="D98" t="s">
        <v>382</v>
      </c>
      <c r="E98">
        <v>2</v>
      </c>
      <c r="F98" t="s">
        <v>288</v>
      </c>
      <c r="G98" t="s">
        <v>179</v>
      </c>
      <c r="H98" t="s">
        <v>122</v>
      </c>
      <c r="I98" t="s">
        <v>383</v>
      </c>
      <c r="J98" t="s">
        <v>292</v>
      </c>
      <c r="K98" t="s">
        <v>122</v>
      </c>
      <c r="L98" t="s">
        <v>384</v>
      </c>
      <c r="M98" t="s">
        <v>386</v>
      </c>
      <c r="N98" t="s">
        <v>387</v>
      </c>
    </row>
    <row r="99" spans="1:14" hidden="1">
      <c r="A99" s="5" t="str">
        <f>HYPERLINK("http://www.analog.com/zh/ad8604#details", "AD8604")</f>
        <v>AD8604</v>
      </c>
      <c r="B99">
        <v>2.7</v>
      </c>
      <c r="C99">
        <v>5.5</v>
      </c>
      <c r="D99" t="s">
        <v>388</v>
      </c>
      <c r="E99">
        <v>4</v>
      </c>
      <c r="F99" t="s">
        <v>279</v>
      </c>
      <c r="G99" t="s">
        <v>389</v>
      </c>
      <c r="H99" t="s">
        <v>38</v>
      </c>
      <c r="I99" t="s">
        <v>390</v>
      </c>
      <c r="J99">
        <v>6</v>
      </c>
      <c r="K99" t="s">
        <v>8</v>
      </c>
      <c r="L99" t="s">
        <v>140</v>
      </c>
      <c r="M99" t="s">
        <v>391</v>
      </c>
      <c r="N99" t="s">
        <v>392</v>
      </c>
    </row>
    <row r="100" spans="1:14" hidden="1">
      <c r="A100" s="5" t="str">
        <f>HYPERLINK("http://www.analog.com/zh/ad8601#details", "AD8601")</f>
        <v>AD8601</v>
      </c>
      <c r="B100">
        <v>2.7</v>
      </c>
      <c r="C100">
        <v>5</v>
      </c>
      <c r="D100" t="s">
        <v>388</v>
      </c>
      <c r="E100">
        <v>1</v>
      </c>
      <c r="F100" t="s">
        <v>279</v>
      </c>
      <c r="G100" t="s">
        <v>101</v>
      </c>
      <c r="H100" t="s">
        <v>38</v>
      </c>
      <c r="I100" t="s">
        <v>390</v>
      </c>
      <c r="J100">
        <v>6</v>
      </c>
      <c r="K100" t="s">
        <v>8</v>
      </c>
      <c r="L100" t="s">
        <v>140</v>
      </c>
      <c r="M100" t="s">
        <v>393</v>
      </c>
      <c r="N100" t="s">
        <v>360</v>
      </c>
    </row>
    <row r="101" spans="1:14">
      <c r="A101" s="5" t="str">
        <f>HYPERLINK("http://www.analog.com/zh/ad8602#details", "AD8602")</f>
        <v>AD8602</v>
      </c>
      <c r="B101">
        <v>2.7</v>
      </c>
      <c r="C101">
        <v>5.5</v>
      </c>
      <c r="D101" t="s">
        <v>388</v>
      </c>
      <c r="E101">
        <v>2</v>
      </c>
      <c r="F101" t="s">
        <v>279</v>
      </c>
      <c r="G101" t="s">
        <v>101</v>
      </c>
      <c r="H101" t="s">
        <v>38</v>
      </c>
      <c r="I101" t="s">
        <v>390</v>
      </c>
      <c r="J101">
        <v>6</v>
      </c>
      <c r="K101" t="s">
        <v>8</v>
      </c>
      <c r="L101" t="s">
        <v>140</v>
      </c>
      <c r="M101" t="s">
        <v>394</v>
      </c>
      <c r="N101" t="s">
        <v>90</v>
      </c>
    </row>
    <row r="102" spans="1:14" hidden="1">
      <c r="A102" s="5" t="str">
        <f>HYPERLINK("http://www.analog.com/zh/op777#details", "OP777")</f>
        <v>OP777</v>
      </c>
      <c r="B102">
        <v>3</v>
      </c>
      <c r="C102">
        <v>30</v>
      </c>
      <c r="D102" t="s">
        <v>37</v>
      </c>
      <c r="E102">
        <v>1</v>
      </c>
      <c r="F102" t="s">
        <v>288</v>
      </c>
      <c r="G102" t="s">
        <v>212</v>
      </c>
      <c r="H102" t="s">
        <v>243</v>
      </c>
      <c r="I102" t="s">
        <v>383</v>
      </c>
      <c r="J102" t="s">
        <v>292</v>
      </c>
      <c r="K102" t="s">
        <v>122</v>
      </c>
      <c r="L102" t="s">
        <v>384</v>
      </c>
      <c r="M102" t="s">
        <v>354</v>
      </c>
      <c r="N102" t="s">
        <v>55</v>
      </c>
    </row>
    <row r="103" spans="1:14" hidden="1">
      <c r="A103" s="5" t="str">
        <f>HYPERLINK("http://www.analog.com/zh/ad8574#details", "AD8574")</f>
        <v>AD8574</v>
      </c>
      <c r="B103">
        <v>2.7</v>
      </c>
      <c r="C103">
        <v>5.5</v>
      </c>
      <c r="D103" t="s">
        <v>395</v>
      </c>
      <c r="E103">
        <v>4</v>
      </c>
      <c r="F103" t="s">
        <v>396</v>
      </c>
      <c r="G103" t="s">
        <v>49</v>
      </c>
      <c r="H103" t="s">
        <v>98</v>
      </c>
      <c r="I103" t="s">
        <v>200</v>
      </c>
      <c r="J103" t="s">
        <v>181</v>
      </c>
      <c r="K103" t="s">
        <v>397</v>
      </c>
      <c r="L103" t="s">
        <v>398</v>
      </c>
      <c r="M103" t="s">
        <v>399</v>
      </c>
      <c r="N103" t="s">
        <v>87</v>
      </c>
    </row>
    <row r="104" spans="1:14" hidden="1">
      <c r="A104" s="5" t="str">
        <f>HYPERLINK("http://www.analog.com/zh/ad8572#details", "AD8572")</f>
        <v>AD8572</v>
      </c>
      <c r="B104">
        <v>2.7</v>
      </c>
      <c r="C104">
        <v>5.5</v>
      </c>
      <c r="D104" t="s">
        <v>395</v>
      </c>
      <c r="E104">
        <v>2</v>
      </c>
      <c r="F104" t="s">
        <v>396</v>
      </c>
      <c r="G104" t="s">
        <v>49</v>
      </c>
      <c r="H104" t="s">
        <v>98</v>
      </c>
      <c r="I104" t="s">
        <v>200</v>
      </c>
      <c r="J104" t="s">
        <v>181</v>
      </c>
      <c r="K104" t="s">
        <v>397</v>
      </c>
      <c r="L104" t="s">
        <v>398</v>
      </c>
      <c r="M104" t="s">
        <v>400</v>
      </c>
      <c r="N104" t="s">
        <v>401</v>
      </c>
    </row>
    <row r="105" spans="1:14" hidden="1">
      <c r="A105" s="5" t="str">
        <f>HYPERLINK("http://www.analog.com/zh/ad8571#details", "AD8571")</f>
        <v>AD8571</v>
      </c>
      <c r="B105">
        <v>2.7</v>
      </c>
      <c r="C105">
        <v>5.5</v>
      </c>
      <c r="D105" t="s">
        <v>395</v>
      </c>
      <c r="E105">
        <v>1</v>
      </c>
      <c r="F105" t="s">
        <v>396</v>
      </c>
      <c r="G105" t="s">
        <v>49</v>
      </c>
      <c r="H105" t="s">
        <v>98</v>
      </c>
      <c r="I105" t="s">
        <v>200</v>
      </c>
      <c r="J105" t="s">
        <v>181</v>
      </c>
      <c r="K105" t="s">
        <v>397</v>
      </c>
      <c r="L105" t="s">
        <v>398</v>
      </c>
      <c r="M105" t="s">
        <v>402</v>
      </c>
      <c r="N105" t="s">
        <v>55</v>
      </c>
    </row>
    <row r="106" spans="1:14" hidden="1">
      <c r="A106" s="5" t="str">
        <f>HYPERLINK("http://www.analog.com/zh/ad8554#details", "AD8554")</f>
        <v>AD8554</v>
      </c>
      <c r="B106">
        <v>2.7</v>
      </c>
      <c r="C106">
        <v>5</v>
      </c>
      <c r="D106" t="s">
        <v>395</v>
      </c>
      <c r="E106">
        <v>4</v>
      </c>
      <c r="F106" t="s">
        <v>396</v>
      </c>
      <c r="G106" t="s">
        <v>49</v>
      </c>
      <c r="H106" t="s">
        <v>98</v>
      </c>
      <c r="I106" t="s">
        <v>200</v>
      </c>
      <c r="J106" t="s">
        <v>181</v>
      </c>
      <c r="K106" t="s">
        <v>104</v>
      </c>
      <c r="L106" t="s">
        <v>403</v>
      </c>
      <c r="M106" t="s">
        <v>404</v>
      </c>
      <c r="N106" t="s">
        <v>87</v>
      </c>
    </row>
    <row r="107" spans="1:14" hidden="1">
      <c r="A107" s="5" t="str">
        <f>HYPERLINK("http://www.analog.com/zh/ad8552#details", "AD8552")</f>
        <v>AD8552</v>
      </c>
      <c r="B107">
        <v>2.7</v>
      </c>
      <c r="C107">
        <v>5</v>
      </c>
      <c r="D107" t="s">
        <v>395</v>
      </c>
      <c r="E107">
        <v>2</v>
      </c>
      <c r="F107" t="s">
        <v>396</v>
      </c>
      <c r="G107" t="s">
        <v>49</v>
      </c>
      <c r="H107" t="s">
        <v>98</v>
      </c>
      <c r="I107" t="s">
        <v>200</v>
      </c>
      <c r="J107" t="s">
        <v>181</v>
      </c>
      <c r="K107" t="s">
        <v>104</v>
      </c>
      <c r="L107" t="s">
        <v>403</v>
      </c>
      <c r="M107" t="s">
        <v>405</v>
      </c>
      <c r="N107" t="s">
        <v>401</v>
      </c>
    </row>
    <row r="108" spans="1:14" hidden="1">
      <c r="A108" s="5" t="str">
        <f>HYPERLINK("http://www.analog.com/zh/ad8551#details", "AD8551")</f>
        <v>AD8551</v>
      </c>
      <c r="B108">
        <v>2.7</v>
      </c>
      <c r="C108">
        <v>5</v>
      </c>
      <c r="D108" t="s">
        <v>395</v>
      </c>
      <c r="E108">
        <v>1</v>
      </c>
      <c r="F108" t="s">
        <v>396</v>
      </c>
      <c r="G108" t="s">
        <v>49</v>
      </c>
      <c r="H108" t="s">
        <v>98</v>
      </c>
      <c r="I108" t="s">
        <v>200</v>
      </c>
      <c r="J108" t="s">
        <v>181</v>
      </c>
      <c r="K108" t="s">
        <v>104</v>
      </c>
      <c r="L108" t="s">
        <v>403</v>
      </c>
      <c r="M108" t="s">
        <v>406</v>
      </c>
      <c r="N108" t="s">
        <v>55</v>
      </c>
    </row>
    <row r="109" spans="1:14" hidden="1">
      <c r="A109" s="5" t="str">
        <f>HYPERLINK("http://www.analog.com/zh/ad8529#details", "AD8529")</f>
        <v>AD8529</v>
      </c>
      <c r="B109">
        <v>2.7</v>
      </c>
      <c r="C109">
        <v>12</v>
      </c>
      <c r="D109" t="s">
        <v>305</v>
      </c>
      <c r="E109">
        <v>2</v>
      </c>
      <c r="F109" t="s">
        <v>243</v>
      </c>
      <c r="G109" t="s">
        <v>56</v>
      </c>
      <c r="H109" t="s">
        <v>38</v>
      </c>
      <c r="I109" t="s">
        <v>39</v>
      </c>
      <c r="J109">
        <v>2.9</v>
      </c>
      <c r="K109" t="s">
        <v>123</v>
      </c>
      <c r="L109" t="s">
        <v>288</v>
      </c>
      <c r="M109" t="s">
        <v>407</v>
      </c>
      <c r="N109" t="s">
        <v>55</v>
      </c>
    </row>
    <row r="110" spans="1:14" hidden="1">
      <c r="A110" s="5" t="str">
        <f>HYPERLINK("http://www.analog.com/zh/ad8519#details", "AD8519")</f>
        <v>AD8519</v>
      </c>
      <c r="B110">
        <v>2.7</v>
      </c>
      <c r="C110">
        <v>12</v>
      </c>
      <c r="D110" t="s">
        <v>305</v>
      </c>
      <c r="E110">
        <v>1</v>
      </c>
      <c r="F110" t="s">
        <v>243</v>
      </c>
      <c r="G110" t="s">
        <v>56</v>
      </c>
      <c r="H110" t="s">
        <v>38</v>
      </c>
      <c r="I110" t="s">
        <v>39</v>
      </c>
      <c r="J110">
        <v>2.9</v>
      </c>
      <c r="K110" t="s">
        <v>123</v>
      </c>
      <c r="L110" t="s">
        <v>288</v>
      </c>
      <c r="M110" t="s">
        <v>408</v>
      </c>
      <c r="N110" t="s">
        <v>409</v>
      </c>
    </row>
    <row r="111" spans="1:14" hidden="1">
      <c r="A111" s="5" t="str">
        <f>HYPERLINK("http://www.analog.com/zh/op262#details", "OP262")</f>
        <v>OP262</v>
      </c>
      <c r="B111">
        <v>2.7</v>
      </c>
      <c r="C111">
        <v>12</v>
      </c>
      <c r="D111" t="s">
        <v>410</v>
      </c>
      <c r="E111">
        <v>2</v>
      </c>
      <c r="F111" t="s">
        <v>123</v>
      </c>
      <c r="G111" t="s">
        <v>411</v>
      </c>
      <c r="H111" t="s">
        <v>104</v>
      </c>
      <c r="I111" t="s">
        <v>412</v>
      </c>
      <c r="J111">
        <v>13</v>
      </c>
      <c r="K111" t="s">
        <v>123</v>
      </c>
      <c r="L111" t="s">
        <v>413</v>
      </c>
      <c r="M111" t="s">
        <v>126</v>
      </c>
      <c r="N111" t="s">
        <v>401</v>
      </c>
    </row>
    <row r="112" spans="1:14" hidden="1">
      <c r="A112" s="5" t="str">
        <f>HYPERLINK("http://www.analog.com/zh/op184#details", "OP184")</f>
        <v>OP184</v>
      </c>
      <c r="B112">
        <v>3</v>
      </c>
      <c r="C112">
        <v>36</v>
      </c>
      <c r="D112" t="s">
        <v>326</v>
      </c>
      <c r="E112">
        <v>1</v>
      </c>
      <c r="F112" t="s">
        <v>117</v>
      </c>
      <c r="G112" t="s">
        <v>58</v>
      </c>
      <c r="H112" t="s">
        <v>68</v>
      </c>
      <c r="I112" t="s">
        <v>414</v>
      </c>
      <c r="J112">
        <v>4</v>
      </c>
      <c r="K112" t="s">
        <v>243</v>
      </c>
      <c r="L112" t="s">
        <v>125</v>
      </c>
      <c r="M112" t="s">
        <v>286</v>
      </c>
      <c r="N112" t="s">
        <v>84</v>
      </c>
    </row>
    <row r="113" spans="1:14" hidden="1">
      <c r="A113" s="5" t="str">
        <f>HYPERLINK("http://www.analog.com/zh/op162#details", "OP162")</f>
        <v>OP162</v>
      </c>
      <c r="B113">
        <v>2.7</v>
      </c>
      <c r="C113">
        <v>12</v>
      </c>
      <c r="D113" t="s">
        <v>389</v>
      </c>
      <c r="E113">
        <v>1</v>
      </c>
      <c r="F113" t="s">
        <v>123</v>
      </c>
      <c r="G113" t="s">
        <v>411</v>
      </c>
      <c r="H113" t="s">
        <v>104</v>
      </c>
      <c r="I113" t="s">
        <v>412</v>
      </c>
      <c r="J113">
        <v>13</v>
      </c>
      <c r="K113" t="s">
        <v>123</v>
      </c>
      <c r="L113" t="s">
        <v>413</v>
      </c>
      <c r="M113" t="s">
        <v>415</v>
      </c>
      <c r="N113" t="s">
        <v>84</v>
      </c>
    </row>
    <row r="114" spans="1:14" hidden="1">
      <c r="A114" s="5" t="str">
        <f>HYPERLINK("http://www.analog.com/zh/op462#details", "OP462")</f>
        <v>OP462</v>
      </c>
      <c r="B114">
        <v>2.7</v>
      </c>
      <c r="C114">
        <v>12</v>
      </c>
      <c r="D114" t="s">
        <v>410</v>
      </c>
      <c r="E114">
        <v>4</v>
      </c>
      <c r="F114" t="s">
        <v>123</v>
      </c>
      <c r="G114" t="s">
        <v>411</v>
      </c>
      <c r="H114" t="s">
        <v>104</v>
      </c>
      <c r="I114" t="s">
        <v>412</v>
      </c>
      <c r="J114">
        <v>13</v>
      </c>
      <c r="K114" t="s">
        <v>123</v>
      </c>
      <c r="L114" t="s">
        <v>413</v>
      </c>
      <c r="M114" t="s">
        <v>416</v>
      </c>
      <c r="N114" t="s">
        <v>323</v>
      </c>
    </row>
    <row r="115" spans="1:14" hidden="1">
      <c r="A115" s="5" t="str">
        <f>HYPERLINK("http://www.analog.com/zh/op196#details", "OP196")</f>
        <v>OP196</v>
      </c>
      <c r="B115">
        <v>3</v>
      </c>
      <c r="C115">
        <v>12</v>
      </c>
      <c r="D115" t="s">
        <v>103</v>
      </c>
      <c r="E115">
        <v>1</v>
      </c>
      <c r="F115" t="s">
        <v>302</v>
      </c>
      <c r="G115" t="s">
        <v>179</v>
      </c>
      <c r="H115" t="s">
        <v>57</v>
      </c>
      <c r="I115" t="s">
        <v>417</v>
      </c>
      <c r="J115" t="s">
        <v>272</v>
      </c>
      <c r="K115" t="s">
        <v>66</v>
      </c>
      <c r="L115" t="s">
        <v>418</v>
      </c>
      <c r="M115" t="s">
        <v>313</v>
      </c>
      <c r="N115" t="s">
        <v>84</v>
      </c>
    </row>
    <row r="116" spans="1:14" hidden="1">
      <c r="A116" s="5" t="str">
        <f>HYPERLINK("http://www.analog.com/zh/op296#details", "OP296")</f>
        <v>OP296</v>
      </c>
      <c r="B116">
        <v>3</v>
      </c>
      <c r="C116">
        <v>12</v>
      </c>
      <c r="D116" t="s">
        <v>103</v>
      </c>
      <c r="E116">
        <v>2</v>
      </c>
      <c r="F116" t="s">
        <v>8</v>
      </c>
      <c r="G116" t="s">
        <v>179</v>
      </c>
      <c r="H116" t="s">
        <v>57</v>
      </c>
      <c r="I116" t="s">
        <v>417</v>
      </c>
      <c r="J116" t="s">
        <v>272</v>
      </c>
      <c r="K116" t="s">
        <v>66</v>
      </c>
      <c r="L116" t="s">
        <v>418</v>
      </c>
      <c r="M116" t="s">
        <v>419</v>
      </c>
      <c r="N116" t="s">
        <v>401</v>
      </c>
    </row>
    <row r="117" spans="1:14" hidden="1">
      <c r="A117" s="5" t="str">
        <f>HYPERLINK("http://www.analog.com/zh/op496#details", "OP496")</f>
        <v>OP496</v>
      </c>
      <c r="B117">
        <v>3</v>
      </c>
      <c r="C117">
        <v>12</v>
      </c>
      <c r="D117" t="s">
        <v>103</v>
      </c>
      <c r="E117">
        <v>4</v>
      </c>
      <c r="F117" t="s">
        <v>8</v>
      </c>
      <c r="G117" t="s">
        <v>179</v>
      </c>
      <c r="H117" t="s">
        <v>57</v>
      </c>
      <c r="I117" t="s">
        <v>417</v>
      </c>
      <c r="J117" t="s">
        <v>272</v>
      </c>
      <c r="K117" t="s">
        <v>66</v>
      </c>
      <c r="L117" t="s">
        <v>418</v>
      </c>
      <c r="M117" t="s">
        <v>420</v>
      </c>
      <c r="N117" t="s">
        <v>323</v>
      </c>
    </row>
    <row r="118" spans="1:14" hidden="1">
      <c r="A118" s="5" t="str">
        <f>HYPERLINK("http://www.analog.com/zh/op484#details", "OP484")</f>
        <v>OP484</v>
      </c>
      <c r="B118">
        <v>2</v>
      </c>
      <c r="C118">
        <v>36</v>
      </c>
      <c r="D118" t="s">
        <v>326</v>
      </c>
      <c r="E118">
        <v>4</v>
      </c>
      <c r="F118" t="s">
        <v>117</v>
      </c>
      <c r="G118" t="s">
        <v>290</v>
      </c>
      <c r="H118" t="s">
        <v>68</v>
      </c>
      <c r="I118" t="s">
        <v>414</v>
      </c>
      <c r="J118">
        <v>4</v>
      </c>
      <c r="K118" t="s">
        <v>243</v>
      </c>
      <c r="L118" t="s">
        <v>125</v>
      </c>
      <c r="M118" t="s">
        <v>99</v>
      </c>
      <c r="N118" t="s">
        <v>421</v>
      </c>
    </row>
    <row r="119" spans="1:14" hidden="1">
      <c r="A119" s="5" t="str">
        <f>HYPERLINK("http://www.analog.com/zh/op293#details", "OP293")</f>
        <v>OP293</v>
      </c>
      <c r="B119">
        <v>1.7</v>
      </c>
      <c r="C119">
        <v>36</v>
      </c>
      <c r="D119" t="s">
        <v>422</v>
      </c>
      <c r="E119">
        <v>2</v>
      </c>
      <c r="F119" t="s">
        <v>8</v>
      </c>
      <c r="G119" t="s">
        <v>212</v>
      </c>
      <c r="H119" t="s">
        <v>68</v>
      </c>
      <c r="I119" t="s">
        <v>423</v>
      </c>
      <c r="J119" t="s">
        <v>424</v>
      </c>
      <c r="K119" t="s">
        <v>139</v>
      </c>
      <c r="L119" t="s">
        <v>425</v>
      </c>
      <c r="M119" t="s">
        <v>426</v>
      </c>
      <c r="N119" t="s">
        <v>84</v>
      </c>
    </row>
    <row r="120" spans="1:14" hidden="1">
      <c r="A120" s="5" t="str">
        <f>HYPERLINK("http://www.analog.com/zh/op284#details", "OP284")</f>
        <v>OP284</v>
      </c>
      <c r="B120">
        <v>2</v>
      </c>
      <c r="C120">
        <v>36</v>
      </c>
      <c r="D120" t="s">
        <v>326</v>
      </c>
      <c r="E120">
        <v>2</v>
      </c>
      <c r="F120" t="s">
        <v>117</v>
      </c>
      <c r="G120" t="s">
        <v>58</v>
      </c>
      <c r="H120" t="s">
        <v>68</v>
      </c>
      <c r="I120" t="s">
        <v>414</v>
      </c>
      <c r="J120">
        <v>4</v>
      </c>
      <c r="K120" t="s">
        <v>243</v>
      </c>
      <c r="L120" t="s">
        <v>125</v>
      </c>
      <c r="M120" t="s">
        <v>427</v>
      </c>
      <c r="N120" t="s">
        <v>428</v>
      </c>
    </row>
    <row r="121" spans="1:14" hidden="1">
      <c r="A121" s="5" t="str">
        <f>HYPERLINK("http://www.analog.com/zh/op193#details", "OP193")</f>
        <v>OP193</v>
      </c>
      <c r="B121">
        <v>1.7</v>
      </c>
      <c r="C121">
        <v>36</v>
      </c>
      <c r="D121" t="s">
        <v>422</v>
      </c>
      <c r="E121">
        <v>1</v>
      </c>
      <c r="F121" t="s">
        <v>384</v>
      </c>
      <c r="G121" t="s">
        <v>290</v>
      </c>
      <c r="H121" t="s">
        <v>68</v>
      </c>
      <c r="I121" t="s">
        <v>423</v>
      </c>
      <c r="J121" t="s">
        <v>424</v>
      </c>
      <c r="K121" t="s">
        <v>139</v>
      </c>
      <c r="L121" t="s">
        <v>425</v>
      </c>
      <c r="M121" t="s">
        <v>429</v>
      </c>
      <c r="N121" t="s">
        <v>84</v>
      </c>
    </row>
    <row r="122" spans="1:14" hidden="1">
      <c r="A122" s="5" t="str">
        <f>HYPERLINK("http://www.analog.com/zh/op191#details", "OP191")</f>
        <v>OP191</v>
      </c>
      <c r="B122">
        <v>2.7</v>
      </c>
      <c r="C122">
        <v>12</v>
      </c>
      <c r="D122" t="s">
        <v>430</v>
      </c>
      <c r="E122">
        <v>1</v>
      </c>
      <c r="F122" t="s">
        <v>425</v>
      </c>
      <c r="G122" t="s">
        <v>101</v>
      </c>
      <c r="H122" t="s">
        <v>431</v>
      </c>
      <c r="I122" t="s">
        <v>432</v>
      </c>
      <c r="J122" t="s">
        <v>174</v>
      </c>
      <c r="K122" t="s">
        <v>38</v>
      </c>
      <c r="L122" t="s">
        <v>403</v>
      </c>
      <c r="M122" t="s">
        <v>267</v>
      </c>
      <c r="N122" t="s">
        <v>84</v>
      </c>
    </row>
    <row r="123" spans="1:14" hidden="1">
      <c r="A123" s="5" t="str">
        <f>HYPERLINK("http://www.analog.com/zh/op491#details", "OP491")</f>
        <v>OP491</v>
      </c>
      <c r="B123">
        <v>2.7</v>
      </c>
      <c r="C123">
        <v>12</v>
      </c>
      <c r="D123" t="s">
        <v>212</v>
      </c>
      <c r="E123">
        <v>4</v>
      </c>
      <c r="F123" t="s">
        <v>425</v>
      </c>
      <c r="G123" t="s">
        <v>433</v>
      </c>
      <c r="H123" t="s">
        <v>431</v>
      </c>
      <c r="I123" t="s">
        <v>432</v>
      </c>
      <c r="J123" t="s">
        <v>174</v>
      </c>
      <c r="K123" t="s">
        <v>38</v>
      </c>
      <c r="L123" t="s">
        <v>403</v>
      </c>
      <c r="M123" t="s">
        <v>434</v>
      </c>
      <c r="N123" t="s">
        <v>435</v>
      </c>
    </row>
    <row r="124" spans="1:14" hidden="1">
      <c r="A124" s="5" t="str">
        <f>HYPERLINK("http://www.analog.com/zh/op291#details", "OP291")</f>
        <v>OP291</v>
      </c>
      <c r="B124">
        <v>2.7</v>
      </c>
      <c r="C124">
        <v>12</v>
      </c>
      <c r="D124" t="s">
        <v>430</v>
      </c>
      <c r="E124">
        <v>2</v>
      </c>
      <c r="F124" t="s">
        <v>425</v>
      </c>
      <c r="G124" t="s">
        <v>433</v>
      </c>
      <c r="H124" t="s">
        <v>431</v>
      </c>
      <c r="I124" t="s">
        <v>432</v>
      </c>
      <c r="J124" t="s">
        <v>174</v>
      </c>
      <c r="K124" t="s">
        <v>38</v>
      </c>
      <c r="L124" t="s">
        <v>436</v>
      </c>
      <c r="M124" t="s">
        <v>437</v>
      </c>
      <c r="N124" t="s">
        <v>84</v>
      </c>
    </row>
    <row r="125" spans="1:14" hidden="1">
      <c r="A125" s="5" t="str">
        <f>HYPERLINK("http://www.analog.com/zh/op495#details", "OP495")</f>
        <v>OP495</v>
      </c>
      <c r="B125">
        <v>3</v>
      </c>
      <c r="C125">
        <v>36</v>
      </c>
      <c r="D125" t="s">
        <v>438</v>
      </c>
      <c r="E125">
        <v>4</v>
      </c>
      <c r="F125" t="s">
        <v>229</v>
      </c>
      <c r="G125" t="s">
        <v>101</v>
      </c>
      <c r="H125" t="s">
        <v>104</v>
      </c>
      <c r="I125" t="s">
        <v>439</v>
      </c>
      <c r="J125" t="s">
        <v>440</v>
      </c>
      <c r="K125" t="s">
        <v>441</v>
      </c>
      <c r="L125" t="s">
        <v>189</v>
      </c>
      <c r="M125" t="s">
        <v>442</v>
      </c>
      <c r="N125" t="s">
        <v>443</v>
      </c>
    </row>
    <row r="126" spans="1:14" hidden="1">
      <c r="A126" s="5" t="str">
        <f>HYPERLINK("http://www.analog.com/zh/op413#details", "OP413")</f>
        <v>OP413</v>
      </c>
      <c r="B126">
        <v>4</v>
      </c>
      <c r="C126">
        <v>36</v>
      </c>
      <c r="D126" t="s">
        <v>151</v>
      </c>
      <c r="E126">
        <v>4</v>
      </c>
      <c r="F126" t="s">
        <v>137</v>
      </c>
      <c r="G126" t="s">
        <v>67</v>
      </c>
      <c r="H126" t="s">
        <v>68</v>
      </c>
      <c r="I126" t="s">
        <v>173</v>
      </c>
      <c r="J126">
        <v>1.2</v>
      </c>
      <c r="K126" t="s">
        <v>444</v>
      </c>
      <c r="L126" t="s">
        <v>445</v>
      </c>
      <c r="M126" t="s">
        <v>446</v>
      </c>
      <c r="N126" t="s">
        <v>447</v>
      </c>
    </row>
    <row r="127" spans="1:14" hidden="1">
      <c r="A127" s="5" t="str">
        <f>HYPERLINK("http://www.analog.com/zh/op113#details", "OP113")</f>
        <v>OP113</v>
      </c>
      <c r="B127">
        <v>4</v>
      </c>
      <c r="C127">
        <v>36</v>
      </c>
      <c r="D127" t="s">
        <v>151</v>
      </c>
      <c r="E127">
        <v>1</v>
      </c>
      <c r="F127" t="s">
        <v>137</v>
      </c>
      <c r="G127" t="s">
        <v>311</v>
      </c>
      <c r="H127" t="s">
        <v>68</v>
      </c>
      <c r="I127" t="s">
        <v>105</v>
      </c>
      <c r="J127">
        <v>1.2</v>
      </c>
      <c r="K127" t="s">
        <v>444</v>
      </c>
      <c r="L127" t="s">
        <v>445</v>
      </c>
      <c r="M127" t="s">
        <v>386</v>
      </c>
      <c r="N127" t="s">
        <v>84</v>
      </c>
    </row>
    <row r="128" spans="1:14" hidden="1">
      <c r="A128" s="5" t="str">
        <f>HYPERLINK("http://www.analog.com/zh/ad820#details", "AD820")</f>
        <v>AD820</v>
      </c>
      <c r="B128">
        <v>5</v>
      </c>
      <c r="C128">
        <v>30</v>
      </c>
      <c r="D128" t="s">
        <v>76</v>
      </c>
      <c r="E128">
        <v>1</v>
      </c>
      <c r="F128" t="s">
        <v>36</v>
      </c>
      <c r="G128" t="s">
        <v>56</v>
      </c>
      <c r="H128" t="s">
        <v>38</v>
      </c>
      <c r="I128" t="s">
        <v>448</v>
      </c>
      <c r="J128">
        <v>3</v>
      </c>
      <c r="K128" t="s">
        <v>38</v>
      </c>
      <c r="L128" t="s">
        <v>449</v>
      </c>
      <c r="M128" t="s">
        <v>74</v>
      </c>
      <c r="N128" t="s">
        <v>450</v>
      </c>
    </row>
    <row r="129" spans="1:14" hidden="1">
      <c r="A129" s="5" t="str">
        <f>HYPERLINK("http://www.analog.com/zh/op213#details", "OP213")</f>
        <v>OP213</v>
      </c>
      <c r="B129">
        <v>4</v>
      </c>
      <c r="C129">
        <v>36</v>
      </c>
      <c r="D129" t="s">
        <v>151</v>
      </c>
      <c r="E129">
        <v>2</v>
      </c>
      <c r="F129" t="s">
        <v>137</v>
      </c>
      <c r="G129" t="s">
        <v>58</v>
      </c>
      <c r="H129" t="s">
        <v>68</v>
      </c>
      <c r="I129" t="s">
        <v>173</v>
      </c>
      <c r="J129">
        <v>1.2</v>
      </c>
      <c r="K129" t="s">
        <v>444</v>
      </c>
      <c r="L129" t="s">
        <v>445</v>
      </c>
      <c r="M129" t="s">
        <v>451</v>
      </c>
      <c r="N129" t="s">
        <v>452</v>
      </c>
    </row>
    <row r="130" spans="1:14" hidden="1">
      <c r="A130" s="5" t="str">
        <f>HYPERLINK("http://www.analog.com/zh/op295#details", "OP295")</f>
        <v>OP295</v>
      </c>
      <c r="B130">
        <v>3</v>
      </c>
      <c r="C130">
        <v>36</v>
      </c>
      <c r="D130" t="s">
        <v>438</v>
      </c>
      <c r="E130">
        <v>2</v>
      </c>
      <c r="F130" t="s">
        <v>229</v>
      </c>
      <c r="G130" t="s">
        <v>101</v>
      </c>
      <c r="H130" t="s">
        <v>104</v>
      </c>
      <c r="I130" t="s">
        <v>439</v>
      </c>
      <c r="J130" t="s">
        <v>440</v>
      </c>
      <c r="K130" t="s">
        <v>441</v>
      </c>
      <c r="L130" t="s">
        <v>189</v>
      </c>
      <c r="M130" t="s">
        <v>437</v>
      </c>
      <c r="N130" t="s">
        <v>452</v>
      </c>
    </row>
    <row r="131" spans="1:14" hidden="1">
      <c r="A131" s="5" t="str">
        <f>HYPERLINK("http://www.analog.com/zh/op285#details", "OP285")</f>
        <v>OP285</v>
      </c>
      <c r="B131">
        <v>9</v>
      </c>
      <c r="C131">
        <v>44</v>
      </c>
      <c r="D131" t="s">
        <v>340</v>
      </c>
      <c r="E131">
        <v>2</v>
      </c>
      <c r="F131" t="s">
        <v>145</v>
      </c>
      <c r="G131" t="s">
        <v>144</v>
      </c>
      <c r="H131" t="s">
        <v>104</v>
      </c>
      <c r="I131" t="s">
        <v>453</v>
      </c>
      <c r="J131">
        <v>22</v>
      </c>
      <c r="K131" t="s">
        <v>8</v>
      </c>
      <c r="L131" t="s">
        <v>372</v>
      </c>
      <c r="M131" t="s">
        <v>454</v>
      </c>
      <c r="N131" t="s">
        <v>84</v>
      </c>
    </row>
    <row r="132" spans="1:14" hidden="1">
      <c r="A132" s="5" t="str">
        <f>HYPERLINK("http://www.analog.com/zh/ad797#details", "AD797")</f>
        <v>AD797</v>
      </c>
      <c r="B132">
        <v>10</v>
      </c>
      <c r="C132">
        <v>36</v>
      </c>
      <c r="D132" t="s">
        <v>455</v>
      </c>
      <c r="E132">
        <v>1</v>
      </c>
      <c r="F132" t="s">
        <v>163</v>
      </c>
      <c r="G132" t="s">
        <v>78</v>
      </c>
      <c r="H132" t="s">
        <v>68</v>
      </c>
      <c r="I132" t="s">
        <v>456</v>
      </c>
      <c r="J132">
        <v>20</v>
      </c>
      <c r="K132" t="s">
        <v>302</v>
      </c>
      <c r="L132" t="s">
        <v>219</v>
      </c>
      <c r="M132" t="s">
        <v>457</v>
      </c>
      <c r="N132" t="s">
        <v>294</v>
      </c>
    </row>
    <row r="133" spans="1:14" hidden="1">
      <c r="A133" s="5" t="str">
        <f>HYPERLINK("http://www.analog.com/zh/op275#details", "OP275")</f>
        <v>OP275</v>
      </c>
      <c r="B133">
        <v>9</v>
      </c>
      <c r="C133">
        <v>44</v>
      </c>
      <c r="D133" t="s">
        <v>340</v>
      </c>
      <c r="E133">
        <v>2</v>
      </c>
      <c r="F133" t="s">
        <v>145</v>
      </c>
      <c r="G133" t="s">
        <v>56</v>
      </c>
      <c r="H133" t="s">
        <v>38</v>
      </c>
      <c r="I133" t="s">
        <v>453</v>
      </c>
      <c r="J133">
        <v>22</v>
      </c>
      <c r="K133" t="s">
        <v>8</v>
      </c>
      <c r="L133" t="s">
        <v>372</v>
      </c>
      <c r="M133" t="s">
        <v>339</v>
      </c>
      <c r="N133" t="s">
        <v>452</v>
      </c>
    </row>
    <row r="134" spans="1:14" hidden="1">
      <c r="A134" s="5" t="str">
        <f>HYPERLINK("http://www.analog.com/zh/op497#details", "OP497")</f>
        <v>OP497</v>
      </c>
      <c r="B134">
        <v>4</v>
      </c>
      <c r="C134">
        <v>40</v>
      </c>
      <c r="D134" t="s">
        <v>121</v>
      </c>
      <c r="E134">
        <v>4</v>
      </c>
      <c r="F134" t="s">
        <v>48</v>
      </c>
      <c r="G134" t="s">
        <v>311</v>
      </c>
      <c r="H134" t="s">
        <v>122</v>
      </c>
      <c r="I134" t="s">
        <v>458</v>
      </c>
      <c r="J134" t="s">
        <v>459</v>
      </c>
      <c r="K134" t="s">
        <v>243</v>
      </c>
      <c r="L134" t="s">
        <v>384</v>
      </c>
      <c r="M134" t="s">
        <v>460</v>
      </c>
      <c r="N134" t="s">
        <v>461</v>
      </c>
    </row>
    <row r="135" spans="1:14" hidden="1">
      <c r="A135" s="5" t="str">
        <f>HYPERLINK("http://www.analog.com/zh/ad745#details", "AD745")</f>
        <v>AD745</v>
      </c>
      <c r="B135">
        <v>9.6</v>
      </c>
      <c r="C135">
        <v>36</v>
      </c>
      <c r="D135" t="s">
        <v>462</v>
      </c>
      <c r="E135">
        <v>1</v>
      </c>
      <c r="F135" t="s">
        <v>170</v>
      </c>
      <c r="G135" t="s">
        <v>101</v>
      </c>
      <c r="H135" t="s">
        <v>38</v>
      </c>
      <c r="I135" t="s">
        <v>463</v>
      </c>
      <c r="J135">
        <v>12.5</v>
      </c>
      <c r="K135" t="s">
        <v>464</v>
      </c>
      <c r="L135" t="s">
        <v>465</v>
      </c>
      <c r="M135" t="s">
        <v>466</v>
      </c>
      <c r="N135" t="s">
        <v>447</v>
      </c>
    </row>
    <row r="136" spans="1:14" hidden="1">
      <c r="A136" s="5" t="str">
        <f>HYPERLINK("http://www.analog.com/zh/ad743#details", "AD743")</f>
        <v>AD743</v>
      </c>
      <c r="B136">
        <v>9.6</v>
      </c>
      <c r="C136">
        <v>36</v>
      </c>
      <c r="D136" t="s">
        <v>462</v>
      </c>
      <c r="E136">
        <v>1</v>
      </c>
      <c r="F136" t="s">
        <v>467</v>
      </c>
      <c r="G136" t="s">
        <v>56</v>
      </c>
      <c r="H136" t="s">
        <v>38</v>
      </c>
      <c r="I136" t="s">
        <v>468</v>
      </c>
      <c r="J136">
        <v>2.8</v>
      </c>
      <c r="K136" t="s">
        <v>464</v>
      </c>
      <c r="L136" t="s">
        <v>465</v>
      </c>
      <c r="M136" t="s">
        <v>469</v>
      </c>
      <c r="N136" t="s">
        <v>447</v>
      </c>
    </row>
    <row r="137" spans="1:14" hidden="1">
      <c r="A137" s="5" t="str">
        <f>HYPERLINK("http://www.analog.com/zh/ad706#details", "AD706")</f>
        <v>AD706</v>
      </c>
      <c r="B137">
        <v>4</v>
      </c>
      <c r="C137">
        <v>36</v>
      </c>
      <c r="D137" t="s">
        <v>389</v>
      </c>
      <c r="E137">
        <v>2</v>
      </c>
      <c r="F137" t="s">
        <v>208</v>
      </c>
      <c r="G137" t="s">
        <v>58</v>
      </c>
      <c r="H137" t="s">
        <v>68</v>
      </c>
      <c r="I137" t="s">
        <v>470</v>
      </c>
      <c r="J137" t="s">
        <v>459</v>
      </c>
      <c r="K137" t="s">
        <v>123</v>
      </c>
      <c r="L137" t="s">
        <v>384</v>
      </c>
      <c r="M137" t="s">
        <v>471</v>
      </c>
      <c r="N137" t="s">
        <v>452</v>
      </c>
    </row>
    <row r="138" spans="1:14" hidden="1">
      <c r="A138" s="5" t="str">
        <f>HYPERLINK("http://www.analog.com/zh/ad704#details", "AD704")</f>
        <v>AD704</v>
      </c>
      <c r="B138">
        <v>4</v>
      </c>
      <c r="C138">
        <v>36</v>
      </c>
      <c r="D138" t="s">
        <v>389</v>
      </c>
      <c r="E138">
        <v>4</v>
      </c>
      <c r="F138" t="s">
        <v>472</v>
      </c>
      <c r="G138" t="s">
        <v>290</v>
      </c>
      <c r="H138" t="s">
        <v>68</v>
      </c>
      <c r="I138" t="s">
        <v>470</v>
      </c>
      <c r="J138" t="s">
        <v>459</v>
      </c>
      <c r="K138" t="s">
        <v>123</v>
      </c>
      <c r="L138" t="s">
        <v>384</v>
      </c>
      <c r="M138" t="s">
        <v>473</v>
      </c>
      <c r="N138" t="s">
        <v>474</v>
      </c>
    </row>
    <row r="139" spans="1:14" hidden="1">
      <c r="A139" s="5" t="str">
        <f>HYPERLINK("http://www.analog.com/zh/op297#details", "OP297")</f>
        <v>OP297</v>
      </c>
      <c r="B139">
        <v>4</v>
      </c>
      <c r="C139">
        <v>40</v>
      </c>
      <c r="D139" t="s">
        <v>121</v>
      </c>
      <c r="E139">
        <v>2</v>
      </c>
      <c r="F139" t="s">
        <v>324</v>
      </c>
      <c r="G139" t="s">
        <v>285</v>
      </c>
      <c r="H139" t="s">
        <v>68</v>
      </c>
      <c r="I139" t="s">
        <v>458</v>
      </c>
      <c r="J139" t="s">
        <v>459</v>
      </c>
      <c r="K139" t="s">
        <v>123</v>
      </c>
      <c r="L139" t="s">
        <v>475</v>
      </c>
      <c r="M139" t="s">
        <v>476</v>
      </c>
      <c r="N139" t="s">
        <v>477</v>
      </c>
    </row>
    <row r="140" spans="1:14" hidden="1">
      <c r="A140" s="5" t="str">
        <f>HYPERLINK("http://www.analog.com/zh/ad829#details", "AD829")</f>
        <v>AD829</v>
      </c>
      <c r="B140">
        <v>9</v>
      </c>
      <c r="C140">
        <v>36</v>
      </c>
      <c r="D140" t="s">
        <v>478</v>
      </c>
      <c r="E140">
        <v>1</v>
      </c>
      <c r="F140" t="s">
        <v>479</v>
      </c>
      <c r="G140" t="s">
        <v>56</v>
      </c>
      <c r="H140" t="s">
        <v>243</v>
      </c>
      <c r="I140" t="s">
        <v>480</v>
      </c>
      <c r="J140">
        <v>230</v>
      </c>
      <c r="K140" t="s">
        <v>8</v>
      </c>
      <c r="L140" t="s">
        <v>481</v>
      </c>
      <c r="M140" t="s">
        <v>482</v>
      </c>
      <c r="N140" t="s">
        <v>483</v>
      </c>
    </row>
    <row r="141" spans="1:14" hidden="1">
      <c r="A141" s="5" t="str">
        <f>HYPERLINK("http://www.analog.com/zh/op249#details", "OP249")</f>
        <v>OP249</v>
      </c>
      <c r="B141">
        <v>9</v>
      </c>
      <c r="C141">
        <v>36</v>
      </c>
      <c r="D141" t="s">
        <v>329</v>
      </c>
      <c r="E141">
        <v>2</v>
      </c>
      <c r="F141" t="s">
        <v>264</v>
      </c>
      <c r="G141" t="s">
        <v>388</v>
      </c>
      <c r="H141" t="s">
        <v>104</v>
      </c>
      <c r="I141" t="s">
        <v>484</v>
      </c>
      <c r="J141">
        <v>22</v>
      </c>
      <c r="K141" t="s">
        <v>38</v>
      </c>
      <c r="L141" t="s">
        <v>485</v>
      </c>
      <c r="M141" t="s">
        <v>486</v>
      </c>
      <c r="N141" t="s">
        <v>487</v>
      </c>
    </row>
    <row r="142" spans="1:14" hidden="1">
      <c r="A142" s="5" t="str">
        <f>HYPERLINK("http://www.analog.com/zh/op177#details", "OP177")</f>
        <v>OP177</v>
      </c>
      <c r="B142">
        <v>6</v>
      </c>
      <c r="C142">
        <v>44</v>
      </c>
      <c r="D142" t="s">
        <v>113</v>
      </c>
      <c r="E142">
        <v>1</v>
      </c>
      <c r="F142" t="s">
        <v>172</v>
      </c>
      <c r="G142" t="s">
        <v>488</v>
      </c>
      <c r="H142" t="s">
        <v>489</v>
      </c>
      <c r="I142" t="s">
        <v>291</v>
      </c>
      <c r="J142" t="s">
        <v>272</v>
      </c>
      <c r="K142" t="s">
        <v>8</v>
      </c>
      <c r="L142" t="s">
        <v>8</v>
      </c>
      <c r="M142" t="s">
        <v>490</v>
      </c>
      <c r="N142" t="s">
        <v>452</v>
      </c>
    </row>
    <row r="143" spans="1:14" hidden="1">
      <c r="A143" s="5" t="str">
        <f>HYPERLINK("http://www.analog.com/zh/ad708#details", "AD708")</f>
        <v>AD708</v>
      </c>
      <c r="B143">
        <v>6</v>
      </c>
      <c r="C143">
        <v>36</v>
      </c>
      <c r="D143" t="s">
        <v>491</v>
      </c>
      <c r="E143">
        <v>2</v>
      </c>
      <c r="F143" t="s">
        <v>102</v>
      </c>
      <c r="G143" t="s">
        <v>422</v>
      </c>
      <c r="H143" t="s">
        <v>96</v>
      </c>
      <c r="I143" t="s">
        <v>492</v>
      </c>
      <c r="J143" t="s">
        <v>272</v>
      </c>
      <c r="K143" t="s">
        <v>493</v>
      </c>
      <c r="L143" t="s">
        <v>494</v>
      </c>
      <c r="M143" t="s">
        <v>495</v>
      </c>
      <c r="N143" t="s">
        <v>496</v>
      </c>
    </row>
    <row r="144" spans="1:14" hidden="1">
      <c r="A144" s="5" t="str">
        <f>HYPERLINK("http://www.analog.com/zh/op97#details", "OP97")</f>
        <v>OP97</v>
      </c>
      <c r="B144">
        <v>4</v>
      </c>
      <c r="C144">
        <v>40</v>
      </c>
      <c r="D144" t="s">
        <v>389</v>
      </c>
      <c r="E144">
        <v>1</v>
      </c>
      <c r="F144" t="s">
        <v>324</v>
      </c>
      <c r="G144" t="s">
        <v>488</v>
      </c>
      <c r="H144" t="s">
        <v>243</v>
      </c>
      <c r="I144" t="s">
        <v>492</v>
      </c>
      <c r="J144" t="s">
        <v>292</v>
      </c>
      <c r="K144" t="s">
        <v>123</v>
      </c>
      <c r="L144" t="s">
        <v>82</v>
      </c>
      <c r="M144" t="s">
        <v>203</v>
      </c>
      <c r="N144" t="s">
        <v>497</v>
      </c>
    </row>
    <row r="145" spans="1:14" hidden="1">
      <c r="A145" s="5" t="str">
        <f>HYPERLINK("http://www.analog.com/zh/op200#details", "OP200")</f>
        <v>OP200</v>
      </c>
      <c r="B145">
        <v>3</v>
      </c>
      <c r="C145">
        <v>36</v>
      </c>
      <c r="D145" t="s">
        <v>410</v>
      </c>
      <c r="E145">
        <v>2</v>
      </c>
      <c r="F145" t="s">
        <v>172</v>
      </c>
      <c r="G145" t="s">
        <v>311</v>
      </c>
      <c r="H145" t="s">
        <v>68</v>
      </c>
      <c r="I145" t="s">
        <v>458</v>
      </c>
      <c r="J145" t="s">
        <v>459</v>
      </c>
      <c r="K145" t="s">
        <v>123</v>
      </c>
      <c r="L145" t="s">
        <v>224</v>
      </c>
      <c r="M145" t="s">
        <v>498</v>
      </c>
      <c r="N145" t="s">
        <v>499</v>
      </c>
    </row>
    <row r="146" spans="1:14" hidden="1">
      <c r="A146" s="5" t="str">
        <f>HYPERLINK("http://www.analog.com/zh/op471#details", "OP471")</f>
        <v>OP471</v>
      </c>
      <c r="B146">
        <v>9</v>
      </c>
      <c r="C146">
        <v>36</v>
      </c>
      <c r="D146" t="s">
        <v>491</v>
      </c>
      <c r="E146">
        <v>4</v>
      </c>
      <c r="F146" t="s">
        <v>178</v>
      </c>
      <c r="G146" t="s">
        <v>500</v>
      </c>
      <c r="H146" t="s">
        <v>104</v>
      </c>
      <c r="I146" t="s">
        <v>244</v>
      </c>
      <c r="J146">
        <v>8</v>
      </c>
      <c r="K146" t="s">
        <v>130</v>
      </c>
      <c r="L146" t="s">
        <v>355</v>
      </c>
      <c r="M146" t="s">
        <v>501</v>
      </c>
      <c r="N146" t="s">
        <v>502</v>
      </c>
    </row>
    <row r="147" spans="1:14" hidden="1">
      <c r="A147" s="5" t="str">
        <f>HYPERLINK("http://www.analog.com/zh/op270#details", "OP270")</f>
        <v>OP270</v>
      </c>
      <c r="B147">
        <v>9</v>
      </c>
      <c r="C147">
        <v>36</v>
      </c>
      <c r="D147" t="s">
        <v>503</v>
      </c>
      <c r="E147">
        <v>2</v>
      </c>
      <c r="F147" t="s">
        <v>229</v>
      </c>
      <c r="G147" t="s">
        <v>311</v>
      </c>
      <c r="H147" t="s">
        <v>68</v>
      </c>
      <c r="I147" t="s">
        <v>504</v>
      </c>
      <c r="J147">
        <v>2.4</v>
      </c>
      <c r="K147" t="s">
        <v>199</v>
      </c>
      <c r="L147" t="s">
        <v>505</v>
      </c>
      <c r="M147" t="s">
        <v>506</v>
      </c>
      <c r="N147" t="s">
        <v>507</v>
      </c>
    </row>
    <row r="148" spans="1:14" hidden="1">
      <c r="A148" s="5" t="str">
        <f>HYPERLINK("http://www.analog.com/zh/op470#details", "OP470")</f>
        <v>OP470</v>
      </c>
      <c r="B148">
        <v>9</v>
      </c>
      <c r="C148">
        <v>36</v>
      </c>
      <c r="D148" t="s">
        <v>491</v>
      </c>
      <c r="E148">
        <v>4</v>
      </c>
      <c r="F148" t="s">
        <v>178</v>
      </c>
      <c r="G148" t="s">
        <v>115</v>
      </c>
      <c r="H148" t="s">
        <v>122</v>
      </c>
      <c r="I148" t="s">
        <v>508</v>
      </c>
      <c r="J148">
        <v>2</v>
      </c>
      <c r="K148" t="s">
        <v>199</v>
      </c>
      <c r="L148" t="s">
        <v>505</v>
      </c>
      <c r="M148" t="s">
        <v>509</v>
      </c>
      <c r="N148" t="s">
        <v>510</v>
      </c>
    </row>
    <row r="149" spans="1:14" hidden="1">
      <c r="A149" s="5" t="str">
        <f>HYPERLINK("http://www.analog.com/zh/op400#details", "OP400")</f>
        <v>OP400</v>
      </c>
      <c r="B149">
        <v>6</v>
      </c>
      <c r="C149">
        <v>40</v>
      </c>
      <c r="D149" t="s">
        <v>511</v>
      </c>
      <c r="E149">
        <v>4</v>
      </c>
      <c r="F149" t="s">
        <v>98</v>
      </c>
      <c r="G149" t="s">
        <v>512</v>
      </c>
      <c r="H149" t="s">
        <v>137</v>
      </c>
      <c r="I149" t="s">
        <v>458</v>
      </c>
      <c r="J149" t="s">
        <v>459</v>
      </c>
      <c r="K149" t="s">
        <v>123</v>
      </c>
      <c r="L149" t="s">
        <v>224</v>
      </c>
      <c r="M149" t="s">
        <v>513</v>
      </c>
      <c r="N149" t="s">
        <v>514</v>
      </c>
    </row>
    <row r="150" spans="1:14" hidden="1">
      <c r="A150" s="5" t="str">
        <f>HYPERLINK("http://www.analog.com/zh/op77#details", "OP77")</f>
        <v>OP77</v>
      </c>
      <c r="B150">
        <v>6</v>
      </c>
      <c r="C150">
        <v>44</v>
      </c>
      <c r="D150" t="s">
        <v>326</v>
      </c>
      <c r="E150">
        <v>1</v>
      </c>
      <c r="F150" t="s">
        <v>172</v>
      </c>
      <c r="G150" t="s">
        <v>488</v>
      </c>
      <c r="H150" t="s">
        <v>96</v>
      </c>
      <c r="I150" t="s">
        <v>291</v>
      </c>
      <c r="J150" t="s">
        <v>272</v>
      </c>
      <c r="K150" t="s">
        <v>145</v>
      </c>
      <c r="L150" t="s">
        <v>494</v>
      </c>
      <c r="M150" t="s">
        <v>515</v>
      </c>
      <c r="N150" t="s">
        <v>516</v>
      </c>
    </row>
    <row r="151" spans="1:14" hidden="1">
      <c r="A151" s="5" t="str">
        <f>HYPERLINK("http://www.analog.com/zh/op27#details", "OP27")</f>
        <v>OP27</v>
      </c>
      <c r="B151">
        <v>8</v>
      </c>
      <c r="C151">
        <v>36</v>
      </c>
      <c r="D151" t="s">
        <v>256</v>
      </c>
      <c r="E151">
        <v>1</v>
      </c>
      <c r="F151" t="s">
        <v>517</v>
      </c>
      <c r="G151" t="s">
        <v>488</v>
      </c>
      <c r="H151" t="s">
        <v>68</v>
      </c>
      <c r="I151" t="s">
        <v>39</v>
      </c>
      <c r="J151">
        <v>2.8</v>
      </c>
      <c r="K151" t="s">
        <v>199</v>
      </c>
      <c r="L151" t="s">
        <v>518</v>
      </c>
      <c r="M151" t="s">
        <v>519</v>
      </c>
      <c r="N151" t="s">
        <v>520</v>
      </c>
    </row>
    <row r="152" spans="1:14" hidden="1">
      <c r="A152" s="5" t="str">
        <f>HYPERLINK("http://www.analog.com/zh/op07#details", "OP07")</f>
        <v>OP07</v>
      </c>
      <c r="B152">
        <v>6</v>
      </c>
      <c r="C152">
        <v>36</v>
      </c>
      <c r="D152" t="s">
        <v>521</v>
      </c>
      <c r="E152">
        <v>1</v>
      </c>
      <c r="F152" t="s">
        <v>88</v>
      </c>
      <c r="G152" t="s">
        <v>311</v>
      </c>
      <c r="H152" t="s">
        <v>243</v>
      </c>
      <c r="I152" t="s">
        <v>291</v>
      </c>
      <c r="J152" t="s">
        <v>272</v>
      </c>
      <c r="K152" t="s">
        <v>145</v>
      </c>
      <c r="L152" t="s">
        <v>494</v>
      </c>
      <c r="M152" t="s">
        <v>522</v>
      </c>
      <c r="N152" t="s">
        <v>452</v>
      </c>
    </row>
  </sheetData>
  <autoFilter ref="A1:N152">
    <filterColumn colId="4">
      <filters>
        <filter val="2"/>
      </filters>
    </filterColumn>
    <filterColumn colId="5">
      <filters>
        <filter val="10p"/>
        <filter val="12n"/>
        <filter val="1p"/>
        <filter val="25p"/>
        <filter val="2n"/>
        <filter val="2p"/>
        <filter val="60p"/>
        <filter val="80p"/>
        <filter val="90n"/>
      </filters>
    </filterColumn>
    <filterColumn colId="8">
      <filters>
        <filter val="10M"/>
        <filter val="12M"/>
        <filter val="15.9M"/>
        <filter val="15M"/>
        <filter val="16.3M"/>
        <filter val="19M"/>
        <filter val="20M"/>
        <filter val="24M"/>
        <filter val="25M"/>
        <filter val="28M"/>
        <filter val="30M"/>
        <filter val="35M"/>
        <filter val="8.4M"/>
        <filter val="8M"/>
        <filter val="9M"/>
      </filters>
    </filterColumn>
  </autoFilter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cols>
    <col min="1" max="1" width="15" customWidth="1"/>
    <col min="2" max="3" width="16" customWidth="1"/>
    <col min="4" max="9" width="15" customWidth="1"/>
    <col min="10" max="10" width="18" customWidth="1"/>
    <col min="11" max="11" width="30" customWidth="1"/>
    <col min="12" max="12" width="24" customWidth="1"/>
    <col min="13" max="13" width="25" customWidth="1"/>
    <col min="14" max="14" width="15" customWidth="1"/>
  </cols>
  <sheetData>
    <row r="1" spans="1:14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</row>
    <row r="2" spans="1:14">
      <c r="A2" s="7" t="s">
        <v>8</v>
      </c>
      <c r="B2" s="7" t="s">
        <v>27</v>
      </c>
      <c r="C2" s="7" t="s">
        <v>27</v>
      </c>
      <c r="D2" s="7" t="s">
        <v>28</v>
      </c>
      <c r="E2" s="7" t="s">
        <v>8</v>
      </c>
      <c r="F2" s="7" t="s">
        <v>28</v>
      </c>
      <c r="G2" s="7" t="s">
        <v>27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8</v>
      </c>
    </row>
    <row r="3" spans="1:14">
      <c r="A3" s="8" t="str">
        <f>HYPERLINK("http://www.analog.com/zh/ada4622-4#details", "ADA4622-4")</f>
        <v>ADA4622-4</v>
      </c>
      <c r="B3">
        <v>5</v>
      </c>
      <c r="C3">
        <v>30</v>
      </c>
      <c r="D3">
        <v>6.6500000000000001E-4</v>
      </c>
      <c r="E3">
        <v>4</v>
      </c>
      <c r="F3">
        <v>9.9999999999999994E-12</v>
      </c>
      <c r="G3">
        <v>3.5E-4</v>
      </c>
      <c r="H3">
        <v>1.9999999999999999E-6</v>
      </c>
      <c r="I3">
        <v>8000000</v>
      </c>
      <c r="J3">
        <v>23</v>
      </c>
      <c r="K3">
        <v>7.5000000000000002E-7</v>
      </c>
      <c r="L3">
        <v>1.2499999999999999E-8</v>
      </c>
      <c r="M3">
        <v>3.38</v>
      </c>
      <c r="N3" t="s">
        <v>43</v>
      </c>
    </row>
    <row r="4" spans="1:14">
      <c r="A4" s="8" t="str">
        <f>HYPERLINK("http://www.analog.com/zh/ada4622-1#details", "ADA4622-1")</f>
        <v>ADA4622-1</v>
      </c>
      <c r="B4">
        <v>5</v>
      </c>
      <c r="C4">
        <v>30</v>
      </c>
      <c r="D4">
        <v>7.1500000000000003E-4</v>
      </c>
      <c r="E4">
        <v>1</v>
      </c>
      <c r="F4">
        <v>9.9999999999999994E-12</v>
      </c>
      <c r="G4">
        <v>3.5E-4</v>
      </c>
      <c r="H4">
        <v>1.9999999999999999E-6</v>
      </c>
      <c r="I4">
        <v>8000000</v>
      </c>
      <c r="J4">
        <v>23</v>
      </c>
      <c r="K4">
        <v>7.5000000000000002E-7</v>
      </c>
      <c r="L4">
        <v>1.2499999999999999E-8</v>
      </c>
      <c r="M4">
        <v>1.26</v>
      </c>
      <c r="N4" t="s">
        <v>46</v>
      </c>
    </row>
    <row r="5" spans="1:14">
      <c r="A5" s="8" t="str">
        <f>HYPERLINK("http://www.analog.com/zh/ada4522-1#details", "ADA4522-1")</f>
        <v>ADA4522-1</v>
      </c>
      <c r="B5">
        <v>4.5</v>
      </c>
      <c r="C5">
        <v>55</v>
      </c>
      <c r="D5">
        <v>8.4000000000000003E-4</v>
      </c>
      <c r="E5">
        <v>1</v>
      </c>
      <c r="F5">
        <v>1.5E-10</v>
      </c>
      <c r="G5">
        <v>5.0000000000000004E-6</v>
      </c>
      <c r="H5">
        <v>2.5000000000000001E-9</v>
      </c>
      <c r="I5">
        <v>2700000</v>
      </c>
      <c r="J5">
        <v>1.7</v>
      </c>
      <c r="K5">
        <v>1.17E-7</v>
      </c>
      <c r="L5">
        <v>5.7999999999999998E-9</v>
      </c>
      <c r="M5">
        <v>0.84</v>
      </c>
      <c r="N5" t="s">
        <v>55</v>
      </c>
    </row>
    <row r="6" spans="1:14">
      <c r="A6" s="8" t="str">
        <f>HYPERLINK("http://www.analog.com/zh/ada4807-4#details", "ADA4807-4")</f>
        <v>ADA4807-4</v>
      </c>
      <c r="B6">
        <v>2.7</v>
      </c>
      <c r="C6">
        <v>11</v>
      </c>
      <c r="D6">
        <v>1E-3</v>
      </c>
      <c r="E6">
        <v>4</v>
      </c>
      <c r="F6">
        <v>1.5E-6</v>
      </c>
      <c r="G6">
        <v>1E-4</v>
      </c>
      <c r="H6">
        <v>6.9999999999999997E-7</v>
      </c>
      <c r="I6">
        <v>200000000</v>
      </c>
      <c r="J6">
        <v>225</v>
      </c>
      <c r="K6">
        <v>1.6E-7</v>
      </c>
      <c r="L6">
        <v>3.3000000000000002E-9</v>
      </c>
      <c r="M6">
        <v>2.4900000000000002</v>
      </c>
      <c r="N6" t="s">
        <v>64</v>
      </c>
    </row>
    <row r="7" spans="1:14">
      <c r="A7" s="8" t="str">
        <f>HYPERLINK("http://www.analog.com/zh/ada4806-1#details", "ADA4806-1")</f>
        <v>ADA4806-1</v>
      </c>
      <c r="B7">
        <v>3</v>
      </c>
      <c r="C7">
        <v>10</v>
      </c>
      <c r="D7">
        <v>5.6999999999999998E-4</v>
      </c>
      <c r="E7">
        <v>1</v>
      </c>
      <c r="F7">
        <v>7.9999999999999996E-7</v>
      </c>
      <c r="G7">
        <v>1.25E-4</v>
      </c>
      <c r="H7">
        <v>1.9999999999999999E-7</v>
      </c>
      <c r="I7">
        <v>30000000</v>
      </c>
      <c r="J7">
        <v>160</v>
      </c>
      <c r="K7" t="s">
        <v>8</v>
      </c>
      <c r="L7">
        <v>5.2000000000000002E-9</v>
      </c>
      <c r="M7">
        <v>0.99</v>
      </c>
      <c r="N7" t="s">
        <v>72</v>
      </c>
    </row>
    <row r="8" spans="1:14">
      <c r="A8" s="8" t="str">
        <f>HYPERLINK("http://www.analog.com/zh/ada4622-2#details", "ADA4622-2")</f>
        <v>ADA4622-2</v>
      </c>
      <c r="B8">
        <v>5</v>
      </c>
      <c r="C8">
        <v>30</v>
      </c>
      <c r="D8">
        <v>6.6500000000000001E-4</v>
      </c>
      <c r="E8">
        <v>2</v>
      </c>
      <c r="F8">
        <v>9.9999999999999994E-12</v>
      </c>
      <c r="G8">
        <v>3.5E-4</v>
      </c>
      <c r="H8">
        <v>1.9999999999999999E-6</v>
      </c>
      <c r="I8">
        <v>8000000</v>
      </c>
      <c r="J8">
        <v>23</v>
      </c>
      <c r="K8">
        <v>7.5000000000000002E-7</v>
      </c>
      <c r="L8">
        <v>1.2499999999999999E-8</v>
      </c>
      <c r="M8">
        <v>1.97</v>
      </c>
      <c r="N8" t="s">
        <v>75</v>
      </c>
    </row>
    <row r="9" spans="1:14">
      <c r="A9" s="8" t="str">
        <f>HYPERLINK("http://www.analog.com/zh/ada4530-1#details", "ADA4530-1")</f>
        <v>ADA4530-1</v>
      </c>
      <c r="B9">
        <v>4.5</v>
      </c>
      <c r="C9">
        <v>16</v>
      </c>
      <c r="D9">
        <v>8.9999999999999998E-4</v>
      </c>
      <c r="E9">
        <v>1</v>
      </c>
      <c r="F9">
        <v>2E-14</v>
      </c>
      <c r="G9">
        <v>4.0000000000000003E-5</v>
      </c>
      <c r="H9">
        <v>1.3E-7</v>
      </c>
      <c r="I9">
        <v>2000000</v>
      </c>
      <c r="J9">
        <v>1.4</v>
      </c>
      <c r="K9">
        <v>3.9999999999999998E-6</v>
      </c>
      <c r="L9">
        <v>1.4E-8</v>
      </c>
      <c r="M9">
        <v>11.4</v>
      </c>
      <c r="N9" t="s">
        <v>84</v>
      </c>
    </row>
    <row r="10" spans="1:14">
      <c r="A10" s="8" t="str">
        <f>HYPERLINK("http://www.analog.com/zh/ada4522-4#details", "ADA4522-4")</f>
        <v>ADA4522-4</v>
      </c>
      <c r="B10">
        <v>4.5</v>
      </c>
      <c r="C10">
        <v>55</v>
      </c>
      <c r="D10">
        <v>8.3000000000000001E-4</v>
      </c>
      <c r="E10">
        <v>4</v>
      </c>
      <c r="F10">
        <v>1.5E-10</v>
      </c>
      <c r="G10">
        <v>5.0000000000000004E-6</v>
      </c>
      <c r="H10">
        <v>2.5000000000000001E-9</v>
      </c>
      <c r="I10">
        <v>2700000</v>
      </c>
      <c r="J10">
        <v>1.7</v>
      </c>
      <c r="K10">
        <v>1.17E-7</v>
      </c>
      <c r="L10">
        <v>5.7999999999999998E-9</v>
      </c>
      <c r="M10">
        <v>3.1</v>
      </c>
      <c r="N10" t="s">
        <v>87</v>
      </c>
    </row>
    <row r="11" spans="1:14">
      <c r="A11" s="8" t="str">
        <f>HYPERLINK("http://www.analog.com/zh/ada4522-2#details", "ADA4522-2")</f>
        <v>ADA4522-2</v>
      </c>
      <c r="B11">
        <v>4.5</v>
      </c>
      <c r="C11">
        <v>55</v>
      </c>
      <c r="D11">
        <v>8.3000000000000001E-4</v>
      </c>
      <c r="E11">
        <v>2</v>
      </c>
      <c r="F11">
        <v>1.5E-10</v>
      </c>
      <c r="G11">
        <v>5.0000000000000004E-6</v>
      </c>
      <c r="H11">
        <v>4.0000000000000002E-9</v>
      </c>
      <c r="I11">
        <v>2700000</v>
      </c>
      <c r="J11">
        <v>1.7</v>
      </c>
      <c r="K11">
        <v>1.17E-7</v>
      </c>
      <c r="L11">
        <v>5.7999999999999998E-9</v>
      </c>
      <c r="M11">
        <v>1.46</v>
      </c>
      <c r="N11" t="s">
        <v>90</v>
      </c>
    </row>
    <row r="12" spans="1:14">
      <c r="A12" s="8" t="str">
        <f>HYPERLINK("http://www.analog.com/zh/ada4807-2#details", "ADA4807-2")</f>
        <v>ADA4807-2</v>
      </c>
      <c r="B12">
        <v>2.7</v>
      </c>
      <c r="C12">
        <v>11</v>
      </c>
      <c r="D12">
        <v>1E-3</v>
      </c>
      <c r="E12">
        <v>2</v>
      </c>
      <c r="F12">
        <v>1.5E-6</v>
      </c>
      <c r="G12">
        <v>1E-4</v>
      </c>
      <c r="H12">
        <v>6.9999999999999997E-7</v>
      </c>
      <c r="I12">
        <v>200000000</v>
      </c>
      <c r="J12">
        <v>225</v>
      </c>
      <c r="K12">
        <v>1.6E-7</v>
      </c>
      <c r="L12">
        <v>3.3000000000000002E-9</v>
      </c>
      <c r="M12">
        <v>1.75</v>
      </c>
      <c r="N12" t="s">
        <v>92</v>
      </c>
    </row>
    <row r="13" spans="1:14">
      <c r="A13" s="8" t="str">
        <f>HYPERLINK("http://www.analog.com/zh/ada4350#details", "ADA4350")</f>
        <v>ADA4350</v>
      </c>
      <c r="B13">
        <v>3.3</v>
      </c>
      <c r="C13">
        <v>12</v>
      </c>
      <c r="D13">
        <v>8.5000000000000006E-3</v>
      </c>
      <c r="E13">
        <v>1</v>
      </c>
      <c r="F13">
        <v>9.9999999999999998E-13</v>
      </c>
      <c r="G13">
        <v>8.0000000000000007E-5</v>
      </c>
      <c r="H13">
        <v>9.9999999999999995E-8</v>
      </c>
      <c r="I13">
        <v>175000000</v>
      </c>
      <c r="J13">
        <v>100</v>
      </c>
      <c r="K13" t="s">
        <v>8</v>
      </c>
      <c r="L13">
        <v>5.0000000000000001E-9</v>
      </c>
      <c r="M13">
        <v>5.73</v>
      </c>
      <c r="N13" t="s">
        <v>100</v>
      </c>
    </row>
    <row r="14" spans="1:14">
      <c r="A14" s="8" t="str">
        <f>HYPERLINK("http://www.analog.com/zh/ada4177-1#details", "ADA4177-1")</f>
        <v>ADA4177-1</v>
      </c>
      <c r="B14">
        <v>10</v>
      </c>
      <c r="C14">
        <v>30</v>
      </c>
      <c r="D14">
        <v>5.0000000000000001E-4</v>
      </c>
      <c r="E14">
        <v>1</v>
      </c>
      <c r="F14">
        <v>1.0000000000000001E-9</v>
      </c>
      <c r="G14">
        <v>6.0000000000000002E-5</v>
      </c>
      <c r="H14">
        <v>9.9999999999999995E-7</v>
      </c>
      <c r="I14">
        <v>3500000</v>
      </c>
      <c r="J14">
        <v>1.5</v>
      </c>
      <c r="K14">
        <v>1.7499999999999999E-7</v>
      </c>
      <c r="L14">
        <v>8.0000000000000005E-9</v>
      </c>
      <c r="M14">
        <v>0.85</v>
      </c>
      <c r="N14" t="s">
        <v>90</v>
      </c>
    </row>
    <row r="15" spans="1:14">
      <c r="A15" s="8" t="str">
        <f>HYPERLINK("http://www.analog.com/zh/ada4807-1#details", "ADA4807-1")</f>
        <v>ADA4807-1</v>
      </c>
      <c r="B15">
        <v>2.7</v>
      </c>
      <c r="C15">
        <v>11</v>
      </c>
      <c r="D15">
        <v>1E-3</v>
      </c>
      <c r="E15">
        <v>1</v>
      </c>
      <c r="F15">
        <v>1.5E-6</v>
      </c>
      <c r="G15">
        <v>1E-4</v>
      </c>
      <c r="H15">
        <v>6.9999999999999997E-7</v>
      </c>
      <c r="I15">
        <v>200000000</v>
      </c>
      <c r="J15">
        <v>225</v>
      </c>
      <c r="K15">
        <v>1.6E-7</v>
      </c>
      <c r="L15">
        <v>3.3000000000000002E-9</v>
      </c>
      <c r="M15">
        <v>1.0900000000000001</v>
      </c>
      <c r="N15" t="s">
        <v>110</v>
      </c>
    </row>
    <row r="16" spans="1:14">
      <c r="A16" s="8" t="str">
        <f>HYPERLINK("http://www.analog.com/zh/ada4177-4#details", "ADA4177-4")</f>
        <v>ADA4177-4</v>
      </c>
      <c r="B16">
        <v>10</v>
      </c>
      <c r="C16">
        <v>30</v>
      </c>
      <c r="D16">
        <v>5.0000000000000001E-4</v>
      </c>
      <c r="E16">
        <v>4</v>
      </c>
      <c r="F16">
        <v>1.0000000000000001E-9</v>
      </c>
      <c r="G16">
        <v>6.0000000000000002E-5</v>
      </c>
      <c r="H16">
        <v>9.9999999999999995E-7</v>
      </c>
      <c r="I16">
        <v>3500000</v>
      </c>
      <c r="J16">
        <v>1.5</v>
      </c>
      <c r="K16">
        <v>1.7499999999999999E-7</v>
      </c>
      <c r="L16">
        <v>8.0000000000000005E-9</v>
      </c>
      <c r="M16">
        <v>3.14</v>
      </c>
      <c r="N16" t="s">
        <v>87</v>
      </c>
    </row>
    <row r="17" spans="1:14">
      <c r="A17" s="8" t="str">
        <f>HYPERLINK("http://www.analog.com/zh/ada4177-2#details", "ADA4177-2")</f>
        <v>ADA4177-2</v>
      </c>
      <c r="B17">
        <v>10</v>
      </c>
      <c r="C17">
        <v>30</v>
      </c>
      <c r="D17">
        <v>5.0000000000000001E-4</v>
      </c>
      <c r="E17">
        <v>2</v>
      </c>
      <c r="F17">
        <v>1.0000000000000001E-9</v>
      </c>
      <c r="G17">
        <v>6.0000000000000002E-5</v>
      </c>
      <c r="H17">
        <v>9.9999999999999995E-7</v>
      </c>
      <c r="I17">
        <v>3500000</v>
      </c>
      <c r="J17">
        <v>1.5</v>
      </c>
      <c r="K17">
        <v>1.7499999999999999E-7</v>
      </c>
      <c r="L17">
        <v>8.0000000000000005E-9</v>
      </c>
      <c r="M17">
        <v>1.53</v>
      </c>
      <c r="N17" t="s">
        <v>90</v>
      </c>
    </row>
    <row r="18" spans="1:14">
      <c r="A18" s="8" t="str">
        <f>HYPERLINK("http://www.analog.com/zh/ada4610-4#details", "ADA4610-4")</f>
        <v>ADA4610-4</v>
      </c>
      <c r="B18">
        <v>10</v>
      </c>
      <c r="C18">
        <v>36</v>
      </c>
      <c r="D18">
        <v>1.6000000000000001E-3</v>
      </c>
      <c r="E18">
        <v>4</v>
      </c>
      <c r="F18">
        <v>2.5000000000000001E-11</v>
      </c>
      <c r="G18">
        <v>4.0000000000000002E-4</v>
      </c>
      <c r="H18">
        <v>9.9999999999999995E-7</v>
      </c>
      <c r="I18">
        <v>16300000</v>
      </c>
      <c r="J18">
        <v>25</v>
      </c>
      <c r="K18">
        <v>4.4999999999999998E-7</v>
      </c>
      <c r="L18">
        <v>7.3E-9</v>
      </c>
      <c r="M18">
        <v>3.65</v>
      </c>
      <c r="N18" t="s">
        <v>120</v>
      </c>
    </row>
    <row r="19" spans="1:14">
      <c r="A19" s="8" t="str">
        <f>HYPERLINK("http://www.analog.com/zh/ada4084-1#details", "ADA4084-1")</f>
        <v>ADA4084-1</v>
      </c>
      <c r="B19">
        <v>3</v>
      </c>
      <c r="C19">
        <v>30</v>
      </c>
      <c r="D19">
        <v>6.2500000000000001E-4</v>
      </c>
      <c r="E19">
        <v>1</v>
      </c>
      <c r="F19">
        <v>3.9999999999999998E-7</v>
      </c>
      <c r="G19">
        <v>1E-4</v>
      </c>
      <c r="H19">
        <v>4.9999999999999998E-7</v>
      </c>
      <c r="I19">
        <v>15900000</v>
      </c>
      <c r="J19">
        <v>4.5999999999999996</v>
      </c>
      <c r="K19">
        <v>9.9999999999999995E-8</v>
      </c>
      <c r="L19">
        <v>3.9000000000000002E-9</v>
      </c>
      <c r="M19">
        <v>1.5</v>
      </c>
      <c r="N19" t="s">
        <v>46</v>
      </c>
    </row>
    <row r="20" spans="1:14">
      <c r="A20" s="8" t="str">
        <f>HYPERLINK("http://www.analog.com/zh/ada4084-4#details", "ADA4084-4")</f>
        <v>ADA4084-4</v>
      </c>
      <c r="B20">
        <v>3</v>
      </c>
      <c r="C20">
        <v>30</v>
      </c>
      <c r="D20">
        <v>6.2500000000000001E-4</v>
      </c>
      <c r="E20">
        <v>4</v>
      </c>
      <c r="F20">
        <v>3.9999999999999998E-7</v>
      </c>
      <c r="G20">
        <v>1E-4</v>
      </c>
      <c r="H20">
        <v>4.9999999999999998E-7</v>
      </c>
      <c r="I20">
        <v>15900000</v>
      </c>
      <c r="J20">
        <v>4.5999999999999996</v>
      </c>
      <c r="K20">
        <v>9.9999999999999995E-8</v>
      </c>
      <c r="L20">
        <v>3.9000000000000002E-9</v>
      </c>
      <c r="M20">
        <v>4.45</v>
      </c>
      <c r="N20" t="s">
        <v>128</v>
      </c>
    </row>
    <row r="21" spans="1:14">
      <c r="A21" s="8" t="str">
        <f>HYPERLINK("http://www.analog.com/zh/ada4077-1#details", "ADA4077-1")</f>
        <v>ADA4077-1</v>
      </c>
      <c r="B21">
        <v>5</v>
      </c>
      <c r="C21">
        <v>30</v>
      </c>
      <c r="D21">
        <v>4.0000000000000002E-4</v>
      </c>
      <c r="E21">
        <v>1</v>
      </c>
      <c r="F21">
        <v>1.0000000000000001E-9</v>
      </c>
      <c r="G21">
        <v>3.4999999999999997E-5</v>
      </c>
      <c r="H21">
        <v>2.4999999999999999E-7</v>
      </c>
      <c r="I21">
        <v>3900000</v>
      </c>
      <c r="J21">
        <v>1</v>
      </c>
      <c r="K21">
        <v>2.4999999999999999E-7</v>
      </c>
      <c r="L21">
        <v>6.9999999999999998E-9</v>
      </c>
      <c r="M21">
        <v>0.77</v>
      </c>
      <c r="N21" t="s">
        <v>90</v>
      </c>
    </row>
    <row r="22" spans="1:14">
      <c r="A22" s="8" t="str">
        <f>HYPERLINK("http://www.analog.com/zh/ada4077-4#details", "ADA4077-4")</f>
        <v>ADA4077-4</v>
      </c>
      <c r="B22">
        <v>5</v>
      </c>
      <c r="C22">
        <v>30</v>
      </c>
      <c r="D22">
        <v>4.0000000000000002E-4</v>
      </c>
      <c r="E22">
        <v>4</v>
      </c>
      <c r="F22">
        <v>1.0000000000000001E-9</v>
      </c>
      <c r="G22">
        <v>3.4999999999999997E-5</v>
      </c>
      <c r="H22">
        <v>2.4999999999999999E-7</v>
      </c>
      <c r="I22">
        <v>3900000</v>
      </c>
      <c r="J22">
        <v>1</v>
      </c>
      <c r="K22">
        <v>2.4999999999999999E-7</v>
      </c>
      <c r="L22">
        <v>6.9999999999999998E-9</v>
      </c>
      <c r="M22">
        <v>2.9</v>
      </c>
      <c r="N22" t="s">
        <v>87</v>
      </c>
    </row>
    <row r="23" spans="1:14">
      <c r="A23" s="8" t="str">
        <f>HYPERLINK("http://www.analog.com/zh/ada4661-2#details", "ADA4661-2")</f>
        <v>ADA4661-2</v>
      </c>
      <c r="B23">
        <v>3</v>
      </c>
      <c r="C23">
        <v>18</v>
      </c>
      <c r="D23">
        <v>6.3000000000000003E-4</v>
      </c>
      <c r="E23">
        <v>2</v>
      </c>
      <c r="F23">
        <v>3.0000000000000001E-12</v>
      </c>
      <c r="G23">
        <v>1E-4</v>
      </c>
      <c r="H23">
        <v>5.9999999999999997E-7</v>
      </c>
      <c r="I23">
        <v>4000000</v>
      </c>
      <c r="J23">
        <v>2.2000000000000002</v>
      </c>
      <c r="K23">
        <v>3.0000000000000001E-6</v>
      </c>
      <c r="L23">
        <v>1.7999999999999999E-8</v>
      </c>
      <c r="M23">
        <v>1.1299999999999999</v>
      </c>
      <c r="N23" t="s">
        <v>142</v>
      </c>
    </row>
    <row r="24" spans="1:14">
      <c r="A24" s="8" t="str">
        <f>HYPERLINK("http://www.analog.com/zh/ad8634#details", "AD8634")</f>
        <v>AD8634</v>
      </c>
      <c r="B24">
        <v>3</v>
      </c>
      <c r="C24">
        <v>30</v>
      </c>
      <c r="D24">
        <v>1.1000000000000001E-3</v>
      </c>
      <c r="E24">
        <v>2</v>
      </c>
      <c r="F24">
        <v>1.9999999999999999E-7</v>
      </c>
      <c r="G24">
        <v>2.5000000000000001E-4</v>
      </c>
      <c r="H24">
        <v>3.4999999999999998E-7</v>
      </c>
      <c r="I24">
        <v>9700000</v>
      </c>
      <c r="J24">
        <v>5</v>
      </c>
      <c r="K24">
        <v>1.3E-7</v>
      </c>
      <c r="L24">
        <v>4.2000000000000004E-9</v>
      </c>
      <c r="M24">
        <v>68</v>
      </c>
      <c r="N24" t="s">
        <v>150</v>
      </c>
    </row>
    <row r="25" spans="1:14">
      <c r="A25" s="8" t="str">
        <f>HYPERLINK("http://www.analog.com/zh/ada4895-1#details", "ADA4895-1")</f>
        <v>ADA4895-1</v>
      </c>
      <c r="B25">
        <v>3</v>
      </c>
      <c r="C25">
        <v>10</v>
      </c>
      <c r="D25">
        <v>3.0000000000000001E-3</v>
      </c>
      <c r="E25">
        <v>1</v>
      </c>
      <c r="F25">
        <v>6.0000000000000002E-6</v>
      </c>
      <c r="G25">
        <v>3.5E-4</v>
      </c>
      <c r="H25">
        <v>1.4999999999999999E-7</v>
      </c>
      <c r="I25">
        <v>1500000000</v>
      </c>
      <c r="J25">
        <v>943</v>
      </c>
      <c r="K25">
        <v>9.9E-8</v>
      </c>
      <c r="L25">
        <v>1.0000000000000001E-9</v>
      </c>
      <c r="M25">
        <v>1.89</v>
      </c>
      <c r="N25" t="s">
        <v>157</v>
      </c>
    </row>
    <row r="26" spans="1:14">
      <c r="A26" s="8" t="str">
        <f>HYPERLINK("http://www.analog.com/zh/ada4895-2#details", "ADA4895-2")</f>
        <v>ADA4895-2</v>
      </c>
      <c r="B26">
        <v>3</v>
      </c>
      <c r="C26">
        <v>10</v>
      </c>
      <c r="D26">
        <v>3.0000000000000001E-3</v>
      </c>
      <c r="E26">
        <v>2</v>
      </c>
      <c r="F26">
        <v>6.0000000000000002E-6</v>
      </c>
      <c r="G26">
        <v>3.5E-4</v>
      </c>
      <c r="H26">
        <v>1.4999999999999999E-7</v>
      </c>
      <c r="I26">
        <v>1500000000</v>
      </c>
      <c r="J26">
        <v>943</v>
      </c>
      <c r="K26">
        <v>9.9E-8</v>
      </c>
      <c r="L26">
        <v>1.0000000000000001E-9</v>
      </c>
      <c r="M26">
        <v>3.21</v>
      </c>
      <c r="N26" t="s">
        <v>159</v>
      </c>
    </row>
    <row r="27" spans="1:14">
      <c r="A27" s="8" t="str">
        <f>HYPERLINK("http://www.analog.com/zh/ada4500-2#details", "ADA4500-2")</f>
        <v>ADA4500-2</v>
      </c>
      <c r="B27">
        <v>2.7</v>
      </c>
      <c r="C27">
        <v>5.5</v>
      </c>
      <c r="D27">
        <v>1.5499999999999999E-3</v>
      </c>
      <c r="E27">
        <v>2</v>
      </c>
      <c r="F27">
        <v>2E-12</v>
      </c>
      <c r="G27">
        <v>1.2E-4</v>
      </c>
      <c r="H27">
        <v>8.9999999999999996E-7</v>
      </c>
      <c r="I27">
        <v>10000000</v>
      </c>
      <c r="J27">
        <v>5.5</v>
      </c>
      <c r="K27">
        <v>1.9999999999999999E-6</v>
      </c>
      <c r="L27">
        <v>1.4500000000000001E-8</v>
      </c>
      <c r="M27">
        <v>0.98</v>
      </c>
      <c r="N27" t="s">
        <v>167</v>
      </c>
    </row>
    <row r="28" spans="1:14">
      <c r="A28" s="8" t="str">
        <f>HYPERLINK("http://www.analog.com/zh/ada4077-2#details", "ADA4077-2")</f>
        <v>ADA4077-2</v>
      </c>
      <c r="B28">
        <v>5</v>
      </c>
      <c r="C28">
        <v>30</v>
      </c>
      <c r="D28">
        <v>4.0000000000000002E-4</v>
      </c>
      <c r="E28">
        <v>2</v>
      </c>
      <c r="F28">
        <v>1.0000000000000001E-9</v>
      </c>
      <c r="G28">
        <v>3.4999999999999997E-5</v>
      </c>
      <c r="H28">
        <v>2.4999999999999999E-7</v>
      </c>
      <c r="I28">
        <v>3900000</v>
      </c>
      <c r="J28">
        <v>1</v>
      </c>
      <c r="K28">
        <v>2.4999999999999999E-7</v>
      </c>
      <c r="L28">
        <v>6.9999999999999998E-9</v>
      </c>
      <c r="M28">
        <v>1.38</v>
      </c>
      <c r="N28" t="s">
        <v>55</v>
      </c>
    </row>
    <row r="29" spans="1:14">
      <c r="A29" s="8" t="str">
        <f>HYPERLINK("http://www.analog.com/zh/ada4528-2#details", "ADA4528-2")</f>
        <v>ADA4528-2</v>
      </c>
      <c r="B29">
        <v>2.2000000000000002</v>
      </c>
      <c r="C29">
        <v>5.5</v>
      </c>
      <c r="D29">
        <v>1.4E-3</v>
      </c>
      <c r="E29">
        <v>2</v>
      </c>
      <c r="F29">
        <v>2.5000000000000002E-10</v>
      </c>
      <c r="G29">
        <v>2.5000000000000002E-6</v>
      </c>
      <c r="H29">
        <v>2.0000000000000001E-9</v>
      </c>
      <c r="I29">
        <v>3400000</v>
      </c>
      <c r="J29">
        <v>0.5</v>
      </c>
      <c r="K29">
        <v>9.9E-8</v>
      </c>
      <c r="L29">
        <v>5.8999999999999999E-9</v>
      </c>
      <c r="M29">
        <v>1.52</v>
      </c>
      <c r="N29" t="s">
        <v>177</v>
      </c>
    </row>
    <row r="30" spans="1:14">
      <c r="A30" s="8" t="str">
        <f>HYPERLINK("http://www.analog.com/zh/ada4096-4#details", "ADA4096-4")</f>
        <v>ADA4096-4</v>
      </c>
      <c r="B30">
        <v>3</v>
      </c>
      <c r="C30">
        <v>30</v>
      </c>
      <c r="D30">
        <v>6.0000000000000002E-5</v>
      </c>
      <c r="E30">
        <v>4</v>
      </c>
      <c r="F30">
        <v>2.4999999999999999E-8</v>
      </c>
      <c r="G30">
        <v>2.9999999999999997E-4</v>
      </c>
      <c r="H30">
        <v>9.9999999999999995E-7</v>
      </c>
      <c r="I30">
        <v>786000</v>
      </c>
      <c r="J30">
        <v>0.4</v>
      </c>
      <c r="K30">
        <v>6.9999999999999997E-7</v>
      </c>
      <c r="L30">
        <v>2.7E-8</v>
      </c>
      <c r="M30">
        <v>2.7</v>
      </c>
      <c r="N30" t="s">
        <v>184</v>
      </c>
    </row>
    <row r="31" spans="1:14">
      <c r="A31" s="8" t="str">
        <f>HYPERLINK("http://www.analog.com/zh/ad8659#details", "AD8659")</f>
        <v>AD8659</v>
      </c>
      <c r="B31">
        <v>2.7</v>
      </c>
      <c r="C31">
        <v>18</v>
      </c>
      <c r="D31">
        <v>2.1999999999999999E-5</v>
      </c>
      <c r="E31">
        <v>4</v>
      </c>
      <c r="F31">
        <v>1.9999999999999999E-11</v>
      </c>
      <c r="G31">
        <v>3.5E-4</v>
      </c>
      <c r="H31">
        <v>1.9999999999999999E-6</v>
      </c>
      <c r="I31">
        <v>230000</v>
      </c>
      <c r="J31">
        <v>0.08</v>
      </c>
      <c r="K31">
        <v>5.0000000000000004E-6</v>
      </c>
      <c r="L31">
        <v>4.4999999999999999E-8</v>
      </c>
      <c r="M31">
        <v>1.35</v>
      </c>
      <c r="N31" t="s">
        <v>43</v>
      </c>
    </row>
    <row r="32" spans="1:14">
      <c r="A32" s="8" t="str">
        <f>HYPERLINK("http://www.analog.com/zh/ada4610-2#details", "ADA4610-2")</f>
        <v>ADA4610-2</v>
      </c>
      <c r="B32">
        <v>10</v>
      </c>
      <c r="C32">
        <v>36</v>
      </c>
      <c r="D32">
        <v>1.6000000000000001E-3</v>
      </c>
      <c r="E32">
        <v>2</v>
      </c>
      <c r="F32">
        <v>2.5000000000000001E-11</v>
      </c>
      <c r="G32">
        <v>4.0000000000000002E-4</v>
      </c>
      <c r="H32">
        <v>4.9999999999999998E-7</v>
      </c>
      <c r="I32">
        <v>16300000</v>
      </c>
      <c r="J32">
        <v>25</v>
      </c>
      <c r="K32">
        <v>4.4999999999999998E-7</v>
      </c>
      <c r="L32">
        <v>7.3E-9</v>
      </c>
      <c r="M32">
        <v>1.43</v>
      </c>
      <c r="N32" t="s">
        <v>192</v>
      </c>
    </row>
    <row r="33" spans="1:14">
      <c r="A33" s="8" t="str">
        <f>HYPERLINK("http://www.analog.com/zh/ada4897-2#details", "ADA4897-2")</f>
        <v>ADA4897-2</v>
      </c>
      <c r="B33">
        <v>3</v>
      </c>
      <c r="C33">
        <v>10</v>
      </c>
      <c r="D33">
        <v>3.0000000000000001E-3</v>
      </c>
      <c r="E33">
        <v>2</v>
      </c>
      <c r="F33">
        <v>1.7E-5</v>
      </c>
      <c r="G33">
        <v>5.0000000000000001E-4</v>
      </c>
      <c r="H33">
        <v>1.9999999999999999E-7</v>
      </c>
      <c r="I33">
        <v>90000000</v>
      </c>
      <c r="J33">
        <v>120</v>
      </c>
      <c r="K33">
        <v>9.9E-8</v>
      </c>
      <c r="L33">
        <v>1.0000000000000001E-9</v>
      </c>
      <c r="M33">
        <v>3.21</v>
      </c>
      <c r="N33" t="s">
        <v>195</v>
      </c>
    </row>
    <row r="34" spans="1:14">
      <c r="A34" s="8" t="str">
        <f>HYPERLINK("http://www.analog.com/zh/ada4638-1#details", "ADA4638-1")</f>
        <v>ADA4638-1</v>
      </c>
      <c r="B34">
        <v>4.5</v>
      </c>
      <c r="C34">
        <v>30</v>
      </c>
      <c r="D34">
        <v>8.4999999999999995E-4</v>
      </c>
      <c r="E34">
        <v>1</v>
      </c>
      <c r="F34">
        <v>8.9999999999999999E-11</v>
      </c>
      <c r="G34">
        <v>4.5000000000000001E-6</v>
      </c>
      <c r="H34">
        <v>8.0000000000000002E-8</v>
      </c>
      <c r="I34">
        <v>1500000</v>
      </c>
      <c r="J34">
        <v>1.5</v>
      </c>
      <c r="K34">
        <v>1.1999999999999999E-6</v>
      </c>
      <c r="L34">
        <v>6.5999999999999995E-8</v>
      </c>
      <c r="M34">
        <v>1.28</v>
      </c>
      <c r="N34" t="s">
        <v>204</v>
      </c>
    </row>
    <row r="35" spans="1:14">
      <c r="A35" s="8" t="str">
        <f>HYPERLINK("http://www.analog.com/zh/ada4084-2#details", "ADA4084-2")</f>
        <v>ADA4084-2</v>
      </c>
      <c r="B35">
        <v>3</v>
      </c>
      <c r="C35">
        <v>30</v>
      </c>
      <c r="D35">
        <v>6.2500000000000001E-4</v>
      </c>
      <c r="E35">
        <v>2</v>
      </c>
      <c r="F35">
        <v>3.9999999999999998E-7</v>
      </c>
      <c r="G35">
        <v>1E-4</v>
      </c>
      <c r="H35">
        <v>4.9999999999999998E-7</v>
      </c>
      <c r="I35">
        <v>15900000</v>
      </c>
      <c r="J35">
        <v>4.5999999999999996</v>
      </c>
      <c r="K35">
        <v>9.9999999999999995E-8</v>
      </c>
      <c r="L35">
        <v>3.9000000000000002E-9</v>
      </c>
      <c r="M35">
        <v>2.85</v>
      </c>
      <c r="N35" t="s">
        <v>192</v>
      </c>
    </row>
    <row r="36" spans="1:14">
      <c r="A36" s="8" t="str">
        <f>HYPERLINK("http://www.analog.com/zh/ada4897-1#details", "ADA4897-1")</f>
        <v>ADA4897-1</v>
      </c>
      <c r="B36">
        <v>3</v>
      </c>
      <c r="C36">
        <v>10</v>
      </c>
      <c r="D36">
        <v>3.0000000000000001E-3</v>
      </c>
      <c r="E36">
        <v>1</v>
      </c>
      <c r="F36">
        <v>1.7E-5</v>
      </c>
      <c r="G36">
        <v>5.0000000000000001E-4</v>
      </c>
      <c r="H36">
        <v>1.9999999999999999E-7</v>
      </c>
      <c r="I36">
        <v>90000000</v>
      </c>
      <c r="J36">
        <v>120</v>
      </c>
      <c r="K36">
        <v>9.9E-8</v>
      </c>
      <c r="L36">
        <v>1.0000000000000001E-9</v>
      </c>
      <c r="M36">
        <v>1.89</v>
      </c>
      <c r="N36" t="s">
        <v>157</v>
      </c>
    </row>
    <row r="37" spans="1:14">
      <c r="A37" s="8" t="str">
        <f>HYPERLINK("http://www.analog.com/zh/ada4896-2#details", "ADA4896-2")</f>
        <v>ADA4896-2</v>
      </c>
      <c r="B37">
        <v>3</v>
      </c>
      <c r="C37">
        <v>10</v>
      </c>
      <c r="D37">
        <v>3.0000000000000001E-3</v>
      </c>
      <c r="E37">
        <v>2</v>
      </c>
      <c r="F37">
        <v>1.7E-5</v>
      </c>
      <c r="G37">
        <v>5.0000000000000001E-4</v>
      </c>
      <c r="H37">
        <v>1.9999999999999999E-7</v>
      </c>
      <c r="I37">
        <v>90000000</v>
      </c>
      <c r="J37">
        <v>120</v>
      </c>
      <c r="K37">
        <v>9.9E-8</v>
      </c>
      <c r="L37">
        <v>1.0000000000000001E-9</v>
      </c>
      <c r="M37">
        <v>3.21</v>
      </c>
      <c r="N37" t="s">
        <v>167</v>
      </c>
    </row>
    <row r="38" spans="1:14">
      <c r="A38" s="8" t="str">
        <f>HYPERLINK("http://www.analog.com/zh/ada4096-2#details", "ADA4096-2")</f>
        <v>ADA4096-2</v>
      </c>
      <c r="B38">
        <v>3</v>
      </c>
      <c r="C38">
        <v>30</v>
      </c>
      <c r="D38">
        <v>6.0000000000000002E-5</v>
      </c>
      <c r="E38">
        <v>2</v>
      </c>
      <c r="F38">
        <v>2.4999999999999999E-8</v>
      </c>
      <c r="G38">
        <v>2.9999999999999997E-4</v>
      </c>
      <c r="H38">
        <v>9.9999999999999995E-7</v>
      </c>
      <c r="I38">
        <v>786000</v>
      </c>
      <c r="J38">
        <v>0.4</v>
      </c>
      <c r="K38">
        <v>6.9999999999999997E-7</v>
      </c>
      <c r="L38">
        <v>2.7E-8</v>
      </c>
      <c r="M38">
        <v>1.87</v>
      </c>
      <c r="N38" t="s">
        <v>207</v>
      </c>
    </row>
    <row r="39" spans="1:14">
      <c r="A39" s="8" t="str">
        <f>HYPERLINK("http://www.analog.com/zh/ada4528-1#details", "ADA4528-1")</f>
        <v>ADA4528-1</v>
      </c>
      <c r="B39">
        <v>2.2000000000000002</v>
      </c>
      <c r="C39">
        <v>5.5</v>
      </c>
      <c r="D39">
        <v>1.4E-3</v>
      </c>
      <c r="E39">
        <v>1</v>
      </c>
      <c r="F39">
        <v>2.0000000000000001E-10</v>
      </c>
      <c r="G39">
        <v>2.5000000000000002E-6</v>
      </c>
      <c r="H39">
        <v>2.0000000000000001E-9</v>
      </c>
      <c r="I39">
        <v>3400000</v>
      </c>
      <c r="J39">
        <v>0.5</v>
      </c>
      <c r="K39">
        <v>9.9E-8</v>
      </c>
      <c r="L39">
        <v>5.8999999999999999E-9</v>
      </c>
      <c r="M39">
        <v>0.98</v>
      </c>
      <c r="N39" t="s">
        <v>167</v>
      </c>
    </row>
    <row r="40" spans="1:14">
      <c r="A40" s="8" t="str">
        <f>HYPERLINK("http://www.analog.com/zh/ad8657#details", "AD8657")</f>
        <v>AD8657</v>
      </c>
      <c r="B40">
        <v>2.7</v>
      </c>
      <c r="C40">
        <v>18</v>
      </c>
      <c r="D40">
        <v>2.1999999999999999E-5</v>
      </c>
      <c r="E40">
        <v>2</v>
      </c>
      <c r="F40">
        <v>1.9999999999999999E-11</v>
      </c>
      <c r="G40">
        <v>3.5E-4</v>
      </c>
      <c r="H40">
        <v>1.9999999999999999E-6</v>
      </c>
      <c r="I40">
        <v>230000</v>
      </c>
      <c r="J40">
        <v>0.08</v>
      </c>
      <c r="K40">
        <v>5.0000000000000004E-6</v>
      </c>
      <c r="L40">
        <v>4.4999999999999999E-8</v>
      </c>
      <c r="M40">
        <v>0.95</v>
      </c>
      <c r="N40" t="s">
        <v>142</v>
      </c>
    </row>
    <row r="41" spans="1:14">
      <c r="A41" s="8" t="str">
        <f>HYPERLINK("http://www.analog.com/zh/ada4637-1#details", "ADA4637-1")</f>
        <v>ADA4637-1</v>
      </c>
      <c r="B41">
        <v>9</v>
      </c>
      <c r="C41">
        <v>30</v>
      </c>
      <c r="D41">
        <v>7.0000000000000001E-3</v>
      </c>
      <c r="E41">
        <v>1</v>
      </c>
      <c r="F41">
        <v>4.9999999999999997E-12</v>
      </c>
      <c r="G41">
        <v>2.0000000000000001E-4</v>
      </c>
      <c r="H41">
        <v>9.9999999999999995E-7</v>
      </c>
      <c r="I41">
        <v>79900000</v>
      </c>
      <c r="J41">
        <v>170</v>
      </c>
      <c r="K41">
        <v>6.9999999999999997E-7</v>
      </c>
      <c r="L41">
        <v>4.8E-9</v>
      </c>
      <c r="M41">
        <v>3.47</v>
      </c>
      <c r="N41" t="s">
        <v>216</v>
      </c>
    </row>
    <row r="42" spans="1:14">
      <c r="A42" s="8" t="str">
        <f>HYPERLINK("http://www.analog.com/zh/ada4898-2#details", "ADA4898-2")</f>
        <v>ADA4898-2</v>
      </c>
      <c r="B42">
        <v>9</v>
      </c>
      <c r="C42">
        <v>36</v>
      </c>
      <c r="D42">
        <v>7.9000000000000008E-3</v>
      </c>
      <c r="E42">
        <v>2</v>
      </c>
      <c r="F42">
        <v>3.9999999999999998E-7</v>
      </c>
      <c r="G42">
        <v>1.25E-4</v>
      </c>
      <c r="H42">
        <v>9.9999999999999995E-7</v>
      </c>
      <c r="I42">
        <v>50000000</v>
      </c>
      <c r="J42">
        <v>55</v>
      </c>
      <c r="K42" t="s">
        <v>8</v>
      </c>
      <c r="L42">
        <v>8.9999999999999999E-10</v>
      </c>
      <c r="M42">
        <v>3.21</v>
      </c>
      <c r="N42" t="s">
        <v>220</v>
      </c>
    </row>
    <row r="43" spans="1:14">
      <c r="A43" s="8" t="str">
        <f>HYPERLINK("http://www.analog.com/zh/ad8624#details", "AD8624")</f>
        <v>AD8624</v>
      </c>
      <c r="B43">
        <v>5</v>
      </c>
      <c r="C43">
        <v>36</v>
      </c>
      <c r="D43">
        <v>2.1499999999999999E-4</v>
      </c>
      <c r="E43">
        <v>4</v>
      </c>
      <c r="F43">
        <v>2.0000000000000001E-10</v>
      </c>
      <c r="G43">
        <v>1.25E-4</v>
      </c>
      <c r="H43">
        <v>4.9999999999999998E-7</v>
      </c>
      <c r="I43">
        <v>560000</v>
      </c>
      <c r="J43">
        <v>0.48</v>
      </c>
      <c r="K43">
        <v>1.9999999999999999E-7</v>
      </c>
      <c r="L43">
        <v>1.0999999999999999E-8</v>
      </c>
      <c r="M43">
        <v>3.56</v>
      </c>
      <c r="N43" t="s">
        <v>226</v>
      </c>
    </row>
    <row r="44" spans="1:14">
      <c r="A44" s="8" t="str">
        <f>HYPERLINK("http://www.analog.com/zh/ada4051-1#details", "ADA4051-1")</f>
        <v>ADA4051-1</v>
      </c>
      <c r="B44">
        <v>0</v>
      </c>
      <c r="C44">
        <v>5</v>
      </c>
      <c r="D44">
        <v>1.5E-5</v>
      </c>
      <c r="E44">
        <v>1</v>
      </c>
      <c r="F44">
        <v>7.0000000000000004E-11</v>
      </c>
      <c r="G44">
        <v>1.7E-5</v>
      </c>
      <c r="H44">
        <v>2E-8</v>
      </c>
      <c r="I44">
        <v>125000</v>
      </c>
      <c r="J44">
        <v>0.06</v>
      </c>
      <c r="K44">
        <v>1.9599999999999999E-6</v>
      </c>
      <c r="L44">
        <v>9.5000000000000004E-8</v>
      </c>
      <c r="M44">
        <v>0.93</v>
      </c>
      <c r="N44" t="s">
        <v>235</v>
      </c>
    </row>
    <row r="45" spans="1:14">
      <c r="A45" s="8" t="str">
        <f>HYPERLINK("http://www.analog.com/zh/ada4627-1#details", "ADA4627-1")</f>
        <v>ADA4627-1</v>
      </c>
      <c r="B45">
        <v>9</v>
      </c>
      <c r="C45">
        <v>36</v>
      </c>
      <c r="D45">
        <v>7.0000000000000001E-3</v>
      </c>
      <c r="E45">
        <v>1</v>
      </c>
      <c r="F45">
        <v>4.9999999999999997E-12</v>
      </c>
      <c r="G45">
        <v>2.0000000000000001E-4</v>
      </c>
      <c r="H45">
        <v>9.9999999999999995E-7</v>
      </c>
      <c r="I45">
        <v>19000000</v>
      </c>
      <c r="J45">
        <v>56</v>
      </c>
      <c r="K45">
        <v>6.9999999999999997E-7</v>
      </c>
      <c r="L45">
        <v>4.8E-9</v>
      </c>
      <c r="M45">
        <v>3.47</v>
      </c>
      <c r="N45" t="s">
        <v>237</v>
      </c>
    </row>
    <row r="46" spans="1:14">
      <c r="A46" s="8" t="str">
        <f>HYPERLINK("http://www.analog.com/zh/ada4051-2#details", "ADA4051-2")</f>
        <v>ADA4051-2</v>
      </c>
      <c r="B46">
        <v>0</v>
      </c>
      <c r="C46">
        <v>5</v>
      </c>
      <c r="D46">
        <v>1.2999999999999999E-5</v>
      </c>
      <c r="E46">
        <v>2</v>
      </c>
      <c r="F46">
        <v>7.0000000000000004E-11</v>
      </c>
      <c r="G46">
        <v>1.5E-5</v>
      </c>
      <c r="H46">
        <v>2E-8</v>
      </c>
      <c r="I46">
        <v>125000</v>
      </c>
      <c r="J46">
        <v>0.06</v>
      </c>
      <c r="K46">
        <v>1.9599999999999999E-6</v>
      </c>
      <c r="L46">
        <v>9.5000000000000004E-8</v>
      </c>
      <c r="M46">
        <v>1.47</v>
      </c>
      <c r="N46" t="s">
        <v>240</v>
      </c>
    </row>
    <row r="47" spans="1:14">
      <c r="A47" s="8" t="str">
        <f>HYPERLINK("http://www.analog.com/zh/ad8622#details", "AD8622")</f>
        <v>AD8622</v>
      </c>
      <c r="B47">
        <v>5</v>
      </c>
      <c r="C47">
        <v>36</v>
      </c>
      <c r="D47">
        <v>2.1499999999999999E-4</v>
      </c>
      <c r="E47">
        <v>2</v>
      </c>
      <c r="F47">
        <v>2.0000000000000001E-10</v>
      </c>
      <c r="G47">
        <v>1.25E-4</v>
      </c>
      <c r="H47">
        <v>4.9999999999999998E-7</v>
      </c>
      <c r="I47">
        <v>560000</v>
      </c>
      <c r="J47">
        <v>0.48</v>
      </c>
      <c r="K47">
        <v>1.9999999999999999E-7</v>
      </c>
      <c r="L47">
        <v>1.0999999999999999E-8</v>
      </c>
      <c r="M47">
        <v>1.96</v>
      </c>
      <c r="N47" t="s">
        <v>90</v>
      </c>
    </row>
    <row r="48" spans="1:14">
      <c r="A48" s="8" t="str">
        <f>HYPERLINK("http://www.analog.com/zh/ada4075-2#details", "ADA4075-2")</f>
        <v>ADA4075-2</v>
      </c>
      <c r="B48">
        <v>9</v>
      </c>
      <c r="C48">
        <v>36</v>
      </c>
      <c r="D48">
        <v>2.2499999999999998E-3</v>
      </c>
      <c r="E48">
        <v>2</v>
      </c>
      <c r="F48">
        <v>9.9999999999999995E-8</v>
      </c>
      <c r="G48">
        <v>1E-3</v>
      </c>
      <c r="H48">
        <v>2.9999999999999999E-7</v>
      </c>
      <c r="I48">
        <v>6500000</v>
      </c>
      <c r="J48">
        <v>12</v>
      </c>
      <c r="K48">
        <v>5.9999999999999995E-8</v>
      </c>
      <c r="L48">
        <v>2.7999999999999998E-9</v>
      </c>
      <c r="M48">
        <v>0.75</v>
      </c>
      <c r="N48" t="s">
        <v>248</v>
      </c>
    </row>
    <row r="49" spans="1:14">
      <c r="A49" s="8" t="str">
        <f>HYPERLINK("http://www.analog.com/zh/ada4004-2#details", "ADA4004-2")</f>
        <v>ADA4004-2</v>
      </c>
      <c r="B49">
        <v>10</v>
      </c>
      <c r="C49">
        <v>30</v>
      </c>
      <c r="D49">
        <v>2.2000000000000001E-3</v>
      </c>
      <c r="E49">
        <v>2</v>
      </c>
      <c r="F49">
        <v>8.9999999999999999E-8</v>
      </c>
      <c r="G49">
        <v>1.25E-4</v>
      </c>
      <c r="H49">
        <v>6.9999999999999997E-7</v>
      </c>
      <c r="I49">
        <v>12000000</v>
      </c>
      <c r="J49">
        <v>2.7</v>
      </c>
      <c r="K49">
        <v>1.4999999999999999E-7</v>
      </c>
      <c r="L49">
        <v>1.8E-9</v>
      </c>
      <c r="M49">
        <v>1.73</v>
      </c>
      <c r="N49" t="s">
        <v>55</v>
      </c>
    </row>
    <row r="50" spans="1:14">
      <c r="A50" s="8" t="str">
        <f>HYPERLINK("http://www.analog.com/zh/ada4004-1#details", "ADA4004-1")</f>
        <v>ADA4004-1</v>
      </c>
      <c r="B50">
        <v>10</v>
      </c>
      <c r="C50">
        <v>30</v>
      </c>
      <c r="D50">
        <v>2.2000000000000001E-3</v>
      </c>
      <c r="E50">
        <v>1</v>
      </c>
      <c r="F50">
        <v>8.9999999999999999E-8</v>
      </c>
      <c r="G50">
        <v>1.25E-4</v>
      </c>
      <c r="H50">
        <v>6.9999999999999997E-7</v>
      </c>
      <c r="I50">
        <v>12000000</v>
      </c>
      <c r="J50">
        <v>2.7</v>
      </c>
      <c r="K50">
        <v>1.4999999999999999E-7</v>
      </c>
      <c r="L50">
        <v>1.8E-9</v>
      </c>
      <c r="M50">
        <v>1.1399999999999999</v>
      </c>
      <c r="N50" t="s">
        <v>255</v>
      </c>
    </row>
    <row r="51" spans="1:14">
      <c r="A51" s="8" t="str">
        <f>HYPERLINK("http://www.analog.com/zh/ad8597#details", "AD8597")</f>
        <v>AD8597</v>
      </c>
      <c r="B51">
        <v>9</v>
      </c>
      <c r="C51">
        <v>30</v>
      </c>
      <c r="D51">
        <v>5.7000000000000002E-3</v>
      </c>
      <c r="E51">
        <v>1</v>
      </c>
      <c r="F51">
        <v>1.9999999999999999E-7</v>
      </c>
      <c r="G51">
        <v>1.2E-4</v>
      </c>
      <c r="H51">
        <v>7.9999999999999996E-7</v>
      </c>
      <c r="I51">
        <v>10000000</v>
      </c>
      <c r="J51">
        <v>16</v>
      </c>
      <c r="K51">
        <v>7.6000000000000006E-8</v>
      </c>
      <c r="L51">
        <v>1.07E-9</v>
      </c>
      <c r="M51">
        <v>2.25</v>
      </c>
      <c r="N51" t="s">
        <v>216</v>
      </c>
    </row>
    <row r="52" spans="1:14">
      <c r="A52" s="8" t="str">
        <f>HYPERLINK("http://www.analog.com/zh/ada4898-1#details", "ADA4898-1")</f>
        <v>ADA4898-1</v>
      </c>
      <c r="B52">
        <v>9</v>
      </c>
      <c r="C52">
        <v>36</v>
      </c>
      <c r="D52">
        <v>8.0999999999999996E-3</v>
      </c>
      <c r="E52">
        <v>1</v>
      </c>
      <c r="F52">
        <v>3.9999999999999998E-7</v>
      </c>
      <c r="G52">
        <v>1.25E-4</v>
      </c>
      <c r="H52">
        <v>9.9999999999999995E-7</v>
      </c>
      <c r="I52">
        <v>50000000</v>
      </c>
      <c r="J52">
        <v>55</v>
      </c>
      <c r="K52" t="s">
        <v>8</v>
      </c>
      <c r="L52">
        <v>8.9999999999999999E-10</v>
      </c>
      <c r="M52">
        <v>2.29</v>
      </c>
      <c r="N52" t="s">
        <v>262</v>
      </c>
    </row>
    <row r="53" spans="1:14">
      <c r="A53" s="8" t="str">
        <f>HYPERLINK("http://www.analog.com/zh/ad8639#details", "AD8639")</f>
        <v>AD8639</v>
      </c>
      <c r="B53">
        <v>4.5</v>
      </c>
      <c r="C53">
        <v>16</v>
      </c>
      <c r="D53">
        <v>1.5E-3</v>
      </c>
      <c r="E53">
        <v>2</v>
      </c>
      <c r="F53">
        <v>7.5E-11</v>
      </c>
      <c r="G53">
        <v>9.0000000000000002E-6</v>
      </c>
      <c r="H53">
        <v>2.9999999999999997E-8</v>
      </c>
      <c r="I53">
        <v>1500000</v>
      </c>
      <c r="J53">
        <v>2</v>
      </c>
      <c r="K53">
        <v>1.1999999999999999E-6</v>
      </c>
      <c r="L53">
        <v>5.9999999999999995E-8</v>
      </c>
      <c r="M53">
        <v>1.86</v>
      </c>
      <c r="N53" t="s">
        <v>268</v>
      </c>
    </row>
    <row r="54" spans="1:14">
      <c r="A54" s="8" t="str">
        <f>HYPERLINK("http://www.analog.com/zh/ad8669#details", "AD8669")</f>
        <v>AD8669</v>
      </c>
      <c r="B54">
        <v>5</v>
      </c>
      <c r="C54">
        <v>16</v>
      </c>
      <c r="D54">
        <v>2.8499999999999999E-4</v>
      </c>
      <c r="E54">
        <v>4</v>
      </c>
      <c r="F54">
        <v>4.5E-11</v>
      </c>
      <c r="G54">
        <v>2.9999999999999997E-4</v>
      </c>
      <c r="H54">
        <v>1.5E-6</v>
      </c>
      <c r="I54">
        <v>520000</v>
      </c>
      <c r="J54">
        <v>0.3</v>
      </c>
      <c r="K54">
        <v>2.5000000000000002E-6</v>
      </c>
      <c r="L54">
        <v>2.0999999999999999E-8</v>
      </c>
      <c r="M54">
        <v>2.7</v>
      </c>
      <c r="N54" t="s">
        <v>87</v>
      </c>
    </row>
    <row r="55" spans="1:14">
      <c r="A55" s="8" t="str">
        <f>HYPERLINK("http://www.analog.com/zh/ad8638#details", "AD8638")</f>
        <v>AD8638</v>
      </c>
      <c r="B55">
        <v>4.5</v>
      </c>
      <c r="C55">
        <v>16</v>
      </c>
      <c r="D55">
        <v>1.5E-3</v>
      </c>
      <c r="E55">
        <v>1</v>
      </c>
      <c r="F55">
        <v>7.5E-11</v>
      </c>
      <c r="G55">
        <v>9.0000000000000002E-6</v>
      </c>
      <c r="H55">
        <v>2.9999999999999997E-8</v>
      </c>
      <c r="I55">
        <v>1500000</v>
      </c>
      <c r="J55">
        <v>2</v>
      </c>
      <c r="K55">
        <v>1.1999999999999999E-6</v>
      </c>
      <c r="L55">
        <v>5.9999999999999995E-8</v>
      </c>
      <c r="M55">
        <v>1.08</v>
      </c>
      <c r="N55" t="s">
        <v>46</v>
      </c>
    </row>
    <row r="56" spans="1:14">
      <c r="A56" s="8" t="str">
        <f>HYPERLINK("http://www.analog.com/zh/ad8663#details", "AD8663")</f>
        <v>AD8663</v>
      </c>
      <c r="B56">
        <v>5</v>
      </c>
      <c r="C56">
        <v>16</v>
      </c>
      <c r="D56">
        <v>2.8499999999999999E-4</v>
      </c>
      <c r="E56">
        <v>1</v>
      </c>
      <c r="F56">
        <v>4.5E-11</v>
      </c>
      <c r="G56">
        <v>2.9999999999999997E-4</v>
      </c>
      <c r="H56">
        <v>1.5E-6</v>
      </c>
      <c r="I56">
        <v>540000</v>
      </c>
      <c r="J56">
        <v>0.3</v>
      </c>
      <c r="K56">
        <v>2.5000000000000002E-6</v>
      </c>
      <c r="L56">
        <v>2.0999999999999999E-8</v>
      </c>
      <c r="M56">
        <v>1.17</v>
      </c>
      <c r="N56" t="s">
        <v>237</v>
      </c>
    </row>
    <row r="57" spans="1:14">
      <c r="A57" s="8" t="str">
        <f>HYPERLINK("http://www.analog.com/zh/ad8667#details", "AD8667")</f>
        <v>AD8667</v>
      </c>
      <c r="B57">
        <v>5</v>
      </c>
      <c r="C57">
        <v>16</v>
      </c>
      <c r="D57">
        <v>2.8499999999999999E-4</v>
      </c>
      <c r="E57">
        <v>2</v>
      </c>
      <c r="F57">
        <v>4.5E-11</v>
      </c>
      <c r="G57">
        <v>2.9999999999999997E-4</v>
      </c>
      <c r="H57">
        <v>1.5E-6</v>
      </c>
      <c r="I57">
        <v>520000</v>
      </c>
      <c r="J57">
        <v>0.3</v>
      </c>
      <c r="K57">
        <v>2.5000000000000002E-6</v>
      </c>
      <c r="L57">
        <v>2.0999999999999999E-8</v>
      </c>
      <c r="M57">
        <v>1.58</v>
      </c>
      <c r="N57" t="s">
        <v>90</v>
      </c>
    </row>
    <row r="58" spans="1:14">
      <c r="A58" s="8" t="str">
        <f>HYPERLINK("http://www.analog.com/zh/ad8539#details", "AD8539")</f>
        <v>AD8539</v>
      </c>
      <c r="B58">
        <v>2.7</v>
      </c>
      <c r="C58">
        <v>5</v>
      </c>
      <c r="D58">
        <v>2.1000000000000001E-4</v>
      </c>
      <c r="E58">
        <v>2</v>
      </c>
      <c r="F58">
        <v>6E-11</v>
      </c>
      <c r="G58">
        <v>1.5E-5</v>
      </c>
      <c r="H58">
        <v>2.9999999999999997E-8</v>
      </c>
      <c r="I58">
        <v>430000</v>
      </c>
      <c r="J58">
        <v>0.4</v>
      </c>
      <c r="K58">
        <v>1.1999999999999999E-6</v>
      </c>
      <c r="L58">
        <v>5.2000000000000002E-8</v>
      </c>
      <c r="M58">
        <v>0.72</v>
      </c>
      <c r="N58" t="s">
        <v>90</v>
      </c>
    </row>
    <row r="59" spans="1:14">
      <c r="A59" s="8" t="str">
        <f>HYPERLINK("http://www.analog.com/zh/ad8599#details", "AD8599")</f>
        <v>AD8599</v>
      </c>
      <c r="B59">
        <v>9</v>
      </c>
      <c r="C59">
        <v>36</v>
      </c>
      <c r="D59">
        <v>5.7000000000000002E-3</v>
      </c>
      <c r="E59">
        <v>2</v>
      </c>
      <c r="F59">
        <v>1.9999999999999999E-7</v>
      </c>
      <c r="G59">
        <v>1.2E-4</v>
      </c>
      <c r="H59">
        <v>7.9999999999999996E-7</v>
      </c>
      <c r="I59">
        <v>10000000</v>
      </c>
      <c r="J59">
        <v>16</v>
      </c>
      <c r="K59">
        <v>7.6000000000000006E-8</v>
      </c>
      <c r="L59">
        <v>1.07E-9</v>
      </c>
      <c r="M59">
        <v>3.24</v>
      </c>
      <c r="N59" t="s">
        <v>84</v>
      </c>
    </row>
    <row r="60" spans="1:14">
      <c r="A60" s="8" t="str">
        <f>HYPERLINK("http://www.analog.com/zh/ad8676#details", "AD8676")</f>
        <v>AD8676</v>
      </c>
      <c r="B60">
        <v>10</v>
      </c>
      <c r="C60">
        <v>30</v>
      </c>
      <c r="D60">
        <v>2.8999999999999998E-3</v>
      </c>
      <c r="E60">
        <v>2</v>
      </c>
      <c r="F60">
        <v>2.0000000000000001E-9</v>
      </c>
      <c r="G60">
        <v>5.0000000000000002E-5</v>
      </c>
      <c r="H60">
        <v>1.9999999999999999E-7</v>
      </c>
      <c r="I60">
        <v>10000000</v>
      </c>
      <c r="J60">
        <v>2.5</v>
      </c>
      <c r="K60">
        <v>9.9999999999999995E-8</v>
      </c>
      <c r="L60">
        <v>2.7999999999999998E-9</v>
      </c>
      <c r="M60">
        <v>1.66</v>
      </c>
      <c r="N60" t="s">
        <v>55</v>
      </c>
    </row>
    <row r="61" spans="1:14">
      <c r="A61" s="8" t="str">
        <f>HYPERLINK("http://www.analog.com/zh/ad8664#details", "AD8664")</f>
        <v>AD8664</v>
      </c>
      <c r="B61">
        <v>5</v>
      </c>
      <c r="C61">
        <v>16</v>
      </c>
      <c r="D61">
        <v>1.5499999999999999E-3</v>
      </c>
      <c r="E61">
        <v>4</v>
      </c>
      <c r="F61">
        <v>9.9999999999999998E-13</v>
      </c>
      <c r="G61">
        <v>1.6000000000000001E-4</v>
      </c>
      <c r="H61">
        <v>1.9999999999999999E-6</v>
      </c>
      <c r="I61">
        <v>4000000</v>
      </c>
      <c r="J61">
        <v>3.5</v>
      </c>
      <c r="K61">
        <v>2.5000000000000002E-6</v>
      </c>
      <c r="L61">
        <v>1E-8</v>
      </c>
      <c r="M61">
        <v>2.23</v>
      </c>
      <c r="N61" t="s">
        <v>87</v>
      </c>
    </row>
    <row r="62" spans="1:14">
      <c r="A62" s="8" t="str">
        <f>HYPERLINK("http://www.analog.com/zh/op07d#details", "OP07D")</f>
        <v>OP07D</v>
      </c>
      <c r="B62">
        <v>8</v>
      </c>
      <c r="C62">
        <v>36</v>
      </c>
      <c r="D62">
        <v>1.1000000000000001E-3</v>
      </c>
      <c r="E62">
        <v>1</v>
      </c>
      <c r="F62">
        <v>1.0000000000000001E-9</v>
      </c>
      <c r="G62">
        <v>1.4999999999999999E-4</v>
      </c>
      <c r="H62">
        <v>4.9999999999999998E-7</v>
      </c>
      <c r="I62">
        <v>600000</v>
      </c>
      <c r="J62">
        <v>0.2</v>
      </c>
      <c r="K62" t="s">
        <v>8</v>
      </c>
      <c r="L62">
        <v>1E-8</v>
      </c>
      <c r="M62">
        <v>0.45</v>
      </c>
      <c r="N62" t="s">
        <v>294</v>
      </c>
    </row>
    <row r="63" spans="1:14">
      <c r="A63" s="8" t="str">
        <f>HYPERLINK("http://www.analog.com/zh/ada4004-4#details", "ADA4004-4")</f>
        <v>ADA4004-4</v>
      </c>
      <c r="B63">
        <v>10</v>
      </c>
      <c r="C63">
        <v>30</v>
      </c>
      <c r="D63">
        <v>2.2000000000000001E-3</v>
      </c>
      <c r="E63">
        <v>4</v>
      </c>
      <c r="F63">
        <v>8.9999999999999999E-8</v>
      </c>
      <c r="G63">
        <v>1.25E-4</v>
      </c>
      <c r="H63">
        <v>6.9999999999999997E-7</v>
      </c>
      <c r="I63">
        <v>12000000</v>
      </c>
      <c r="J63">
        <v>2.7</v>
      </c>
      <c r="K63">
        <v>1.4999999999999999E-7</v>
      </c>
      <c r="L63">
        <v>1.8E-9</v>
      </c>
      <c r="M63">
        <v>3.41</v>
      </c>
      <c r="N63" t="s">
        <v>296</v>
      </c>
    </row>
    <row r="64" spans="1:14">
      <c r="A64" s="8" t="str">
        <f>HYPERLINK("http://www.analog.com/zh/ad8677#details", "AD8677")</f>
        <v>AD8677</v>
      </c>
      <c r="B64">
        <v>8</v>
      </c>
      <c r="C64">
        <v>36</v>
      </c>
      <c r="D64">
        <v>1.2999999999999999E-3</v>
      </c>
      <c r="E64">
        <v>1</v>
      </c>
      <c r="F64">
        <v>1.0000000000000001E-9</v>
      </c>
      <c r="G64">
        <v>1.2999999999999999E-4</v>
      </c>
      <c r="H64">
        <v>4.9999999999999998E-7</v>
      </c>
      <c r="I64">
        <v>600000</v>
      </c>
      <c r="J64">
        <v>0.2</v>
      </c>
      <c r="K64">
        <v>2.4999999999999999E-7</v>
      </c>
      <c r="L64">
        <v>1E-8</v>
      </c>
      <c r="M64">
        <v>0.76</v>
      </c>
      <c r="N64" t="s">
        <v>300</v>
      </c>
    </row>
    <row r="65" spans="1:14">
      <c r="A65" s="8" t="str">
        <f>HYPERLINK("http://www.analog.com/zh/ad8538#details", "AD8538")</f>
        <v>AD8538</v>
      </c>
      <c r="B65">
        <v>2.7</v>
      </c>
      <c r="C65">
        <v>5</v>
      </c>
      <c r="D65">
        <v>1.8000000000000001E-4</v>
      </c>
      <c r="E65">
        <v>1</v>
      </c>
      <c r="F65">
        <v>2.5000000000000001E-11</v>
      </c>
      <c r="G65">
        <v>1.2999999999999999E-5</v>
      </c>
      <c r="H65">
        <v>2.9999999999999997E-8</v>
      </c>
      <c r="I65">
        <v>430000</v>
      </c>
      <c r="J65">
        <v>0.4</v>
      </c>
      <c r="K65">
        <v>1.9999999999999999E-6</v>
      </c>
      <c r="L65">
        <v>4.9999999999999998E-8</v>
      </c>
      <c r="M65">
        <v>0.5</v>
      </c>
      <c r="N65" t="s">
        <v>304</v>
      </c>
    </row>
    <row r="66" spans="1:14">
      <c r="A66" s="8" t="str">
        <f>HYPERLINK("http://www.analog.com/zh/ada4841-2#details", "ADA4841-2")</f>
        <v>ADA4841-2</v>
      </c>
      <c r="B66">
        <v>2.7</v>
      </c>
      <c r="C66">
        <v>12</v>
      </c>
      <c r="D66">
        <v>1.1999999999999999E-3</v>
      </c>
      <c r="E66">
        <v>2</v>
      </c>
      <c r="F66">
        <v>5.3000000000000001E-6</v>
      </c>
      <c r="G66">
        <v>2.9999999999999997E-4</v>
      </c>
      <c r="H66">
        <v>9.9999999999999995E-7</v>
      </c>
      <c r="I66">
        <v>35000000</v>
      </c>
      <c r="J66">
        <v>13</v>
      </c>
      <c r="K66" t="s">
        <v>8</v>
      </c>
      <c r="L66">
        <v>2.1000000000000002E-9</v>
      </c>
      <c r="M66">
        <v>2.3199999999999998</v>
      </c>
      <c r="N66" t="s">
        <v>310</v>
      </c>
    </row>
    <row r="67" spans="1:14">
      <c r="A67" s="8" t="str">
        <f>HYPERLINK("http://www.analog.com/zh/ad8675#details", "AD8675")</f>
        <v>AD8675</v>
      </c>
      <c r="B67">
        <v>10</v>
      </c>
      <c r="C67">
        <v>30</v>
      </c>
      <c r="D67">
        <v>2.8999999999999998E-3</v>
      </c>
      <c r="E67">
        <v>1</v>
      </c>
      <c r="F67">
        <v>2.0000000000000001E-9</v>
      </c>
      <c r="G67">
        <v>7.4999999999999993E-5</v>
      </c>
      <c r="H67">
        <v>5.9999999999999997E-7</v>
      </c>
      <c r="I67">
        <v>10000000</v>
      </c>
      <c r="J67">
        <v>2.5</v>
      </c>
      <c r="K67">
        <v>9.9999999999999995E-8</v>
      </c>
      <c r="L67">
        <v>2.7999999999999998E-9</v>
      </c>
      <c r="M67">
        <v>1.18</v>
      </c>
      <c r="N67" t="s">
        <v>90</v>
      </c>
    </row>
    <row r="68" spans="1:14">
      <c r="A68" s="8" t="str">
        <f>HYPERLINK("http://www.analog.com/zh/ada4841-1#details", "ADA4841-1")</f>
        <v>ADA4841-1</v>
      </c>
      <c r="B68">
        <v>2.7</v>
      </c>
      <c r="C68">
        <v>12</v>
      </c>
      <c r="D68">
        <v>1.1999999999999999E-3</v>
      </c>
      <c r="E68">
        <v>1</v>
      </c>
      <c r="F68">
        <v>5.3000000000000001E-6</v>
      </c>
      <c r="G68">
        <v>2.9999999999999997E-4</v>
      </c>
      <c r="H68">
        <v>9.9999999999999995E-7</v>
      </c>
      <c r="I68">
        <v>35000000</v>
      </c>
      <c r="J68">
        <v>13</v>
      </c>
      <c r="K68" t="s">
        <v>8</v>
      </c>
      <c r="L68">
        <v>2.1000000000000002E-9</v>
      </c>
      <c r="M68">
        <v>1.59</v>
      </c>
      <c r="N68" t="s">
        <v>157</v>
      </c>
    </row>
    <row r="69" spans="1:14">
      <c r="A69" s="8" t="str">
        <f>HYPERLINK("http://www.analog.com/zh/ad8656#details", "AD8656")</f>
        <v>AD8656</v>
      </c>
      <c r="B69">
        <v>2.7</v>
      </c>
      <c r="C69">
        <v>5.5</v>
      </c>
      <c r="D69">
        <v>4.4999999999999997E-3</v>
      </c>
      <c r="E69">
        <v>2</v>
      </c>
      <c r="F69">
        <v>9.9999999999999994E-12</v>
      </c>
      <c r="G69">
        <v>2.5000000000000001E-4</v>
      </c>
      <c r="H69">
        <v>3.9999999999999998E-7</v>
      </c>
      <c r="I69">
        <v>28000000</v>
      </c>
      <c r="J69">
        <v>11</v>
      </c>
      <c r="K69" t="s">
        <v>8</v>
      </c>
      <c r="L69">
        <v>2.7000000000000002E-9</v>
      </c>
      <c r="M69">
        <v>1.25</v>
      </c>
      <c r="N69" t="s">
        <v>90</v>
      </c>
    </row>
    <row r="70" spans="1:14">
      <c r="A70" s="8" t="str">
        <f>HYPERLINK("http://www.analog.com/zh/ad8655#details", "AD8655")</f>
        <v>AD8655</v>
      </c>
      <c r="B70">
        <v>2.7</v>
      </c>
      <c r="C70">
        <v>5.5</v>
      </c>
      <c r="D70">
        <v>4.4999999999999997E-3</v>
      </c>
      <c r="E70">
        <v>1</v>
      </c>
      <c r="F70">
        <v>9.9999999999999994E-12</v>
      </c>
      <c r="G70">
        <v>2.5000000000000001E-4</v>
      </c>
      <c r="H70">
        <v>3.9999999999999998E-7</v>
      </c>
      <c r="I70">
        <v>28000000</v>
      </c>
      <c r="J70">
        <v>11</v>
      </c>
      <c r="K70" t="s">
        <v>8</v>
      </c>
      <c r="L70">
        <v>2.7000000000000002E-9</v>
      </c>
      <c r="M70">
        <v>0.8</v>
      </c>
      <c r="N70" t="s">
        <v>90</v>
      </c>
    </row>
    <row r="71" spans="1:14">
      <c r="A71" s="8" t="str">
        <f>HYPERLINK("http://www.analog.com/zh/ad8630#details", "AD8630")</f>
        <v>AD8630</v>
      </c>
      <c r="B71">
        <v>2.7</v>
      </c>
      <c r="C71">
        <v>5.5</v>
      </c>
      <c r="D71">
        <v>8.4999999999999995E-4</v>
      </c>
      <c r="E71">
        <v>4</v>
      </c>
      <c r="F71">
        <v>3E-10</v>
      </c>
      <c r="G71">
        <v>5.0000000000000004E-6</v>
      </c>
      <c r="H71">
        <v>2.0000000000000001E-9</v>
      </c>
      <c r="I71">
        <v>2500000</v>
      </c>
      <c r="J71">
        <v>1</v>
      </c>
      <c r="K71">
        <v>4.9999999999999998E-7</v>
      </c>
      <c r="L71">
        <v>2.1999999999999998E-8</v>
      </c>
      <c r="M71">
        <v>2.73</v>
      </c>
      <c r="N71" t="s">
        <v>323</v>
      </c>
    </row>
    <row r="72" spans="1:14">
      <c r="A72" s="8" t="str">
        <f>HYPERLINK("http://www.analog.com/zh/ad8629#details", "AD8629")</f>
        <v>AD8629</v>
      </c>
      <c r="B72">
        <v>2.7</v>
      </c>
      <c r="C72">
        <v>5.5</v>
      </c>
      <c r="D72">
        <v>8.4999999999999995E-4</v>
      </c>
      <c r="E72">
        <v>2</v>
      </c>
      <c r="F72">
        <v>1E-10</v>
      </c>
      <c r="G72">
        <v>5.0000000000000004E-6</v>
      </c>
      <c r="H72">
        <v>2.0000000000000001E-9</v>
      </c>
      <c r="I72">
        <v>2500000</v>
      </c>
      <c r="J72">
        <v>1</v>
      </c>
      <c r="K72">
        <v>4.9999999999999998E-7</v>
      </c>
      <c r="L72">
        <v>2.1999999999999998E-8</v>
      </c>
      <c r="M72">
        <v>1.47</v>
      </c>
      <c r="N72" t="s">
        <v>325</v>
      </c>
    </row>
    <row r="73" spans="1:14">
      <c r="A73" s="8" t="str">
        <f>HYPERLINK("http://www.analog.com/zh/ad8618#details", "AD8618")</f>
        <v>AD8618</v>
      </c>
      <c r="B73">
        <v>2.7</v>
      </c>
      <c r="C73">
        <v>5.5</v>
      </c>
      <c r="D73">
        <v>2E-3</v>
      </c>
      <c r="E73">
        <v>4</v>
      </c>
      <c r="F73">
        <v>9.9999999999999998E-13</v>
      </c>
      <c r="G73">
        <v>6.0000000000000002E-5</v>
      </c>
      <c r="H73">
        <v>1.5E-6</v>
      </c>
      <c r="I73">
        <v>24000000</v>
      </c>
      <c r="J73">
        <v>12</v>
      </c>
      <c r="K73">
        <v>2.3999999999999999E-6</v>
      </c>
      <c r="L73">
        <v>6.9999999999999998E-9</v>
      </c>
      <c r="M73">
        <v>2.29</v>
      </c>
      <c r="N73" t="s">
        <v>323</v>
      </c>
    </row>
    <row r="74" spans="1:14">
      <c r="A74" s="8" t="str">
        <f>HYPERLINK("http://www.analog.com/zh/ad8674#details", "AD8674")</f>
        <v>AD8674</v>
      </c>
      <c r="B74">
        <v>8</v>
      </c>
      <c r="C74">
        <v>36</v>
      </c>
      <c r="D74">
        <v>3.5000000000000001E-3</v>
      </c>
      <c r="E74">
        <v>4</v>
      </c>
      <c r="F74">
        <v>1.2E-8</v>
      </c>
      <c r="G74">
        <v>7.4999999999999993E-5</v>
      </c>
      <c r="H74">
        <v>7.9999999999999996E-7</v>
      </c>
      <c r="I74">
        <v>10000000</v>
      </c>
      <c r="J74">
        <v>4</v>
      </c>
      <c r="K74">
        <v>7.7000000000000001E-8</v>
      </c>
      <c r="L74">
        <v>2.7999999999999998E-9</v>
      </c>
      <c r="M74">
        <v>3.24</v>
      </c>
      <c r="N74" t="s">
        <v>323</v>
      </c>
    </row>
    <row r="75" spans="1:14">
      <c r="A75" s="8" t="str">
        <f>HYPERLINK("http://www.analog.com/zh/ad8672#details", "AD8672")</f>
        <v>AD8672</v>
      </c>
      <c r="B75">
        <v>8</v>
      </c>
      <c r="C75">
        <v>36</v>
      </c>
      <c r="D75">
        <v>3.5000000000000001E-3</v>
      </c>
      <c r="E75">
        <v>2</v>
      </c>
      <c r="F75">
        <v>1.2E-8</v>
      </c>
      <c r="G75">
        <v>7.4999999999999993E-5</v>
      </c>
      <c r="H75">
        <v>4.9999999999999998E-7</v>
      </c>
      <c r="I75">
        <v>10000000</v>
      </c>
      <c r="J75">
        <v>4</v>
      </c>
      <c r="K75">
        <v>7.7000000000000001E-8</v>
      </c>
      <c r="L75">
        <v>2.7999999999999998E-9</v>
      </c>
      <c r="M75">
        <v>1.62</v>
      </c>
      <c r="N75" t="s">
        <v>90</v>
      </c>
    </row>
    <row r="76" spans="1:14">
      <c r="A76" s="8" t="str">
        <f>HYPERLINK("http://www.analog.com/zh/ad8616#details", "AD8616")</f>
        <v>AD8616</v>
      </c>
      <c r="B76">
        <v>2.7</v>
      </c>
      <c r="C76">
        <v>5.5</v>
      </c>
      <c r="D76">
        <v>1.6999999999999999E-3</v>
      </c>
      <c r="E76">
        <v>2</v>
      </c>
      <c r="F76">
        <v>9.9999999999999998E-13</v>
      </c>
      <c r="G76">
        <v>6.0000000000000002E-5</v>
      </c>
      <c r="H76">
        <v>1.5E-6</v>
      </c>
      <c r="I76">
        <v>24000000</v>
      </c>
      <c r="J76">
        <v>12</v>
      </c>
      <c r="K76">
        <v>2.3999999999999999E-6</v>
      </c>
      <c r="L76">
        <v>6.9999999999999998E-9</v>
      </c>
      <c r="M76">
        <v>1.29</v>
      </c>
      <c r="N76" t="s">
        <v>55</v>
      </c>
    </row>
    <row r="77" spans="1:14">
      <c r="A77" s="8" t="str">
        <f>HYPERLINK("http://www.analog.com/zh/ad8609#details", "AD8609")</f>
        <v>AD8609</v>
      </c>
      <c r="B77">
        <v>1.8</v>
      </c>
      <c r="C77">
        <v>5</v>
      </c>
      <c r="D77">
        <v>4.0000000000000003E-5</v>
      </c>
      <c r="E77">
        <v>4</v>
      </c>
      <c r="F77">
        <v>9.9999999999999998E-13</v>
      </c>
      <c r="G77">
        <v>2.9999999999999997E-4</v>
      </c>
      <c r="H77">
        <v>9.9999999999999995E-7</v>
      </c>
      <c r="I77">
        <v>316000</v>
      </c>
      <c r="J77">
        <v>0.1</v>
      </c>
      <c r="K77">
        <v>2.3E-6</v>
      </c>
      <c r="L77">
        <v>2.1999999999999998E-8</v>
      </c>
      <c r="M77">
        <v>1.85</v>
      </c>
      <c r="N77" t="s">
        <v>87</v>
      </c>
    </row>
    <row r="78" spans="1:14">
      <c r="A78" s="8" t="str">
        <f>HYPERLINK("http://www.analog.com/zh/ad8607#details", "AD8607")</f>
        <v>AD8607</v>
      </c>
      <c r="B78">
        <v>1.8</v>
      </c>
      <c r="C78">
        <v>5</v>
      </c>
      <c r="D78">
        <v>5.0000000000000002E-5</v>
      </c>
      <c r="E78">
        <v>2</v>
      </c>
      <c r="F78">
        <v>9.9999999999999998E-13</v>
      </c>
      <c r="G78">
        <v>2.9999999999999997E-4</v>
      </c>
      <c r="H78">
        <v>9.9999999999999995E-7</v>
      </c>
      <c r="I78">
        <v>316000</v>
      </c>
      <c r="J78">
        <v>0.1</v>
      </c>
      <c r="K78">
        <v>2.3E-6</v>
      </c>
      <c r="L78">
        <v>2.1999999999999998E-8</v>
      </c>
      <c r="M78">
        <v>1.02</v>
      </c>
      <c r="N78" t="s">
        <v>90</v>
      </c>
    </row>
    <row r="79" spans="1:14">
      <c r="A79" s="8" t="str">
        <f>HYPERLINK("http://www.analog.com/zh/ad8513#details", "AD8513")</f>
        <v>AD8513</v>
      </c>
      <c r="B79">
        <v>9</v>
      </c>
      <c r="C79">
        <v>30</v>
      </c>
      <c r="D79">
        <v>2.5000000000000001E-3</v>
      </c>
      <c r="E79">
        <v>4</v>
      </c>
      <c r="F79">
        <v>7.9999999999999995E-11</v>
      </c>
      <c r="G79">
        <v>1E-3</v>
      </c>
      <c r="H79">
        <v>1.7E-6</v>
      </c>
      <c r="I79">
        <v>8000000</v>
      </c>
      <c r="J79">
        <v>20</v>
      </c>
      <c r="K79" t="s">
        <v>8</v>
      </c>
      <c r="L79">
        <v>7.6000000000000002E-9</v>
      </c>
      <c r="M79">
        <v>4.08</v>
      </c>
      <c r="N79" t="s">
        <v>87</v>
      </c>
    </row>
    <row r="80" spans="1:14">
      <c r="A80" s="8" t="str">
        <f>HYPERLINK("http://www.analog.com/zh/ad8671#details", "AD8671")</f>
        <v>AD8671</v>
      </c>
      <c r="B80">
        <v>8</v>
      </c>
      <c r="C80">
        <v>36</v>
      </c>
      <c r="D80">
        <v>3.5000000000000001E-3</v>
      </c>
      <c r="E80">
        <v>1</v>
      </c>
      <c r="F80">
        <v>1.2E-8</v>
      </c>
      <c r="G80">
        <v>7.4999999999999993E-5</v>
      </c>
      <c r="H80">
        <v>4.9999999999999998E-7</v>
      </c>
      <c r="I80">
        <v>10000000</v>
      </c>
      <c r="J80">
        <v>4</v>
      </c>
      <c r="K80">
        <v>7.7000000000000001E-8</v>
      </c>
      <c r="L80">
        <v>2.7999999999999998E-9</v>
      </c>
      <c r="M80">
        <v>1.06</v>
      </c>
      <c r="N80" t="s">
        <v>55</v>
      </c>
    </row>
    <row r="81" spans="1:14">
      <c r="A81" s="8" t="str">
        <f>HYPERLINK("http://www.analog.com/zh/ad8603#details", "AD8603")</f>
        <v>AD8603</v>
      </c>
      <c r="B81">
        <v>1.8</v>
      </c>
      <c r="C81">
        <v>5</v>
      </c>
      <c r="D81">
        <v>5.0000000000000002E-5</v>
      </c>
      <c r="E81">
        <v>1</v>
      </c>
      <c r="F81">
        <v>9.9999999999999998E-13</v>
      </c>
      <c r="G81">
        <v>2.9999999999999997E-4</v>
      </c>
      <c r="H81">
        <v>9.9999999999999995E-7</v>
      </c>
      <c r="I81">
        <v>316000</v>
      </c>
      <c r="J81">
        <v>0.1</v>
      </c>
      <c r="K81">
        <v>2.3E-6</v>
      </c>
      <c r="L81">
        <v>2.1999999999999998E-8</v>
      </c>
      <c r="M81">
        <v>0.68</v>
      </c>
      <c r="N81" t="s">
        <v>347</v>
      </c>
    </row>
    <row r="82" spans="1:14">
      <c r="A82" s="8" t="str">
        <f>HYPERLINK("http://www.analog.com/zh/ad8028#details", "AD8028")</f>
        <v>AD8028</v>
      </c>
      <c r="B82">
        <v>2.7</v>
      </c>
      <c r="C82">
        <v>12</v>
      </c>
      <c r="D82">
        <v>6.4999999999999997E-3</v>
      </c>
      <c r="E82">
        <v>2</v>
      </c>
      <c r="F82">
        <v>1.1E-5</v>
      </c>
      <c r="G82">
        <v>8.9999999999999998E-4</v>
      </c>
      <c r="H82">
        <v>1.5E-6</v>
      </c>
      <c r="I82">
        <v>190000000</v>
      </c>
      <c r="J82">
        <v>100</v>
      </c>
      <c r="K82" t="s">
        <v>8</v>
      </c>
      <c r="L82">
        <v>4.2999999999999996E-9</v>
      </c>
      <c r="M82">
        <v>1.91</v>
      </c>
      <c r="N82" t="s">
        <v>353</v>
      </c>
    </row>
    <row r="83" spans="1:14">
      <c r="A83" s="8" t="str">
        <f>HYPERLINK("http://www.analog.com/zh/ad8027#details", "AD8027")</f>
        <v>AD8027</v>
      </c>
      <c r="B83">
        <v>2.7</v>
      </c>
      <c r="C83">
        <v>12</v>
      </c>
      <c r="D83">
        <v>6.4999999999999997E-3</v>
      </c>
      <c r="E83">
        <v>1</v>
      </c>
      <c r="F83">
        <v>1.1E-5</v>
      </c>
      <c r="G83">
        <v>8.9999999999999998E-4</v>
      </c>
      <c r="H83">
        <v>1.5E-6</v>
      </c>
      <c r="I83">
        <v>190000000</v>
      </c>
      <c r="J83">
        <v>100</v>
      </c>
      <c r="K83" t="s">
        <v>8</v>
      </c>
      <c r="L83">
        <v>4.2999999999999996E-9</v>
      </c>
      <c r="M83">
        <v>1.2</v>
      </c>
      <c r="N83" t="s">
        <v>157</v>
      </c>
    </row>
    <row r="84" spans="1:14">
      <c r="A84" s="8" t="str">
        <f>HYPERLINK("http://www.analog.com/zh/ad8608#details", "AD8608")</f>
        <v>AD8608</v>
      </c>
      <c r="B84">
        <v>2.7</v>
      </c>
      <c r="C84">
        <v>5</v>
      </c>
      <c r="D84">
        <v>1.1999999999999999E-3</v>
      </c>
      <c r="E84">
        <v>4</v>
      </c>
      <c r="F84">
        <v>9.9999999999999998E-13</v>
      </c>
      <c r="G84">
        <v>2.9999999999999997E-4</v>
      </c>
      <c r="H84">
        <v>1.5E-6</v>
      </c>
      <c r="I84">
        <v>10000000</v>
      </c>
      <c r="J84">
        <v>5</v>
      </c>
      <c r="K84">
        <v>2.3E-6</v>
      </c>
      <c r="L84">
        <v>6.5000000000000003E-9</v>
      </c>
      <c r="M84">
        <v>1.77</v>
      </c>
      <c r="N84" t="s">
        <v>357</v>
      </c>
    </row>
    <row r="85" spans="1:14">
      <c r="A85" s="8" t="str">
        <f>HYPERLINK("http://www.analog.com/zh/ad8067#details", "AD8067")</f>
        <v>AD8067</v>
      </c>
      <c r="B85">
        <v>5</v>
      </c>
      <c r="C85">
        <v>24</v>
      </c>
      <c r="D85">
        <v>7.0000000000000001E-3</v>
      </c>
      <c r="E85">
        <v>1</v>
      </c>
      <c r="F85">
        <v>4.9999999999999997E-12</v>
      </c>
      <c r="G85">
        <v>1E-3</v>
      </c>
      <c r="H85">
        <v>9.9999999999999995E-7</v>
      </c>
      <c r="I85">
        <v>54000000</v>
      </c>
      <c r="J85">
        <v>640</v>
      </c>
      <c r="K85" t="s">
        <v>8</v>
      </c>
      <c r="L85">
        <v>6.6000000000000004E-9</v>
      </c>
      <c r="M85">
        <v>1.89</v>
      </c>
      <c r="N85" t="s">
        <v>360</v>
      </c>
    </row>
    <row r="86" spans="1:14">
      <c r="A86" s="8" t="str">
        <f>HYPERLINK("http://www.analog.com/zh/ad8605#details", "AD8605")</f>
        <v>AD8605</v>
      </c>
      <c r="B86">
        <v>2.7</v>
      </c>
      <c r="C86">
        <v>5</v>
      </c>
      <c r="D86">
        <v>1.1999999999999999E-3</v>
      </c>
      <c r="E86">
        <v>1</v>
      </c>
      <c r="F86">
        <v>9.9999999999999998E-13</v>
      </c>
      <c r="G86">
        <v>2.9999999999999997E-4</v>
      </c>
      <c r="H86">
        <v>9.9999999999999995E-7</v>
      </c>
      <c r="I86">
        <v>10000000</v>
      </c>
      <c r="J86">
        <v>5</v>
      </c>
      <c r="K86">
        <v>2.3E-6</v>
      </c>
      <c r="L86">
        <v>6.5000000000000003E-9</v>
      </c>
      <c r="M86">
        <v>0.73</v>
      </c>
      <c r="N86" t="s">
        <v>362</v>
      </c>
    </row>
    <row r="87" spans="1:14">
      <c r="A87" s="8" t="str">
        <f>HYPERLINK("http://www.analog.com/zh/ad8510#details", "AD8510")</f>
        <v>AD8510</v>
      </c>
      <c r="B87">
        <v>9</v>
      </c>
      <c r="C87">
        <v>30</v>
      </c>
      <c r="D87">
        <v>2.5000000000000001E-3</v>
      </c>
      <c r="E87">
        <v>1</v>
      </c>
      <c r="F87">
        <v>7.9999999999999995E-11</v>
      </c>
      <c r="G87">
        <v>4.0000000000000002E-4</v>
      </c>
      <c r="H87">
        <v>9.9999999999999995E-7</v>
      </c>
      <c r="I87">
        <v>8000000</v>
      </c>
      <c r="J87">
        <v>20</v>
      </c>
      <c r="K87" t="s">
        <v>8</v>
      </c>
      <c r="L87">
        <v>7.6000000000000002E-9</v>
      </c>
      <c r="M87">
        <v>1.05</v>
      </c>
      <c r="N87" t="s">
        <v>90</v>
      </c>
    </row>
    <row r="88" spans="1:14">
      <c r="A88" s="8" t="str">
        <f>HYPERLINK("http://www.analog.com/zh/op4177#details", "OP4177")</f>
        <v>OP4177</v>
      </c>
      <c r="B88">
        <v>5</v>
      </c>
      <c r="C88">
        <v>30</v>
      </c>
      <c r="D88">
        <v>5.0000000000000001E-4</v>
      </c>
      <c r="E88">
        <v>4</v>
      </c>
      <c r="F88">
        <v>2.0000000000000001E-9</v>
      </c>
      <c r="G88">
        <v>7.4999999999999993E-5</v>
      </c>
      <c r="H88">
        <v>2.9999999999999999E-7</v>
      </c>
      <c r="I88">
        <v>1300000</v>
      </c>
      <c r="J88">
        <v>0.7</v>
      </c>
      <c r="K88">
        <v>3.9999999999999998E-7</v>
      </c>
      <c r="L88">
        <v>7.8999999999999996E-9</v>
      </c>
      <c r="M88">
        <v>3.6</v>
      </c>
      <c r="N88" t="s">
        <v>87</v>
      </c>
    </row>
    <row r="89" spans="1:14">
      <c r="A89" s="8" t="str">
        <f>HYPERLINK("http://www.analog.com/zh/ad8628#details", "AD8628")</f>
        <v>AD8628</v>
      </c>
      <c r="B89">
        <v>2.7</v>
      </c>
      <c r="C89">
        <v>5.5</v>
      </c>
      <c r="D89">
        <v>8.4999999999999995E-4</v>
      </c>
      <c r="E89">
        <v>1</v>
      </c>
      <c r="F89">
        <v>1E-10</v>
      </c>
      <c r="G89">
        <v>5.0000000000000004E-6</v>
      </c>
      <c r="H89">
        <v>2.0000000000000001E-9</v>
      </c>
      <c r="I89">
        <v>2500000</v>
      </c>
      <c r="J89">
        <v>1</v>
      </c>
      <c r="K89">
        <v>4.9999999999999998E-7</v>
      </c>
      <c r="L89">
        <v>2.1999999999999998E-8</v>
      </c>
      <c r="M89">
        <v>0.96</v>
      </c>
      <c r="N89" t="s">
        <v>369</v>
      </c>
    </row>
    <row r="90" spans="1:14">
      <c r="A90" s="8" t="str">
        <f>HYPERLINK("http://www.analog.com/zh/ad8620#details", "AD8620")</f>
        <v>AD8620</v>
      </c>
      <c r="B90">
        <v>10</v>
      </c>
      <c r="C90">
        <v>26</v>
      </c>
      <c r="D90">
        <v>3.5000000000000001E-3</v>
      </c>
      <c r="E90">
        <v>2</v>
      </c>
      <c r="F90">
        <v>9.9999999999999994E-12</v>
      </c>
      <c r="G90">
        <v>1.4999999999999999E-4</v>
      </c>
      <c r="H90">
        <v>4.9999999999999998E-7</v>
      </c>
      <c r="I90">
        <v>25000000</v>
      </c>
      <c r="J90">
        <v>60</v>
      </c>
      <c r="K90">
        <v>1.7999999999999999E-6</v>
      </c>
      <c r="L90">
        <v>6E-9</v>
      </c>
      <c r="M90">
        <v>7.5</v>
      </c>
      <c r="N90" t="s">
        <v>84</v>
      </c>
    </row>
    <row r="91" spans="1:14">
      <c r="A91" s="8" t="str">
        <f>HYPERLINK("http://www.analog.com/zh/ad8606#details", "AD8606")</f>
        <v>AD8606</v>
      </c>
      <c r="B91">
        <v>2.7</v>
      </c>
      <c r="C91">
        <v>5</v>
      </c>
      <c r="D91">
        <v>1.1999999999999999E-3</v>
      </c>
      <c r="E91">
        <v>2</v>
      </c>
      <c r="F91">
        <v>9.9999999999999998E-13</v>
      </c>
      <c r="G91">
        <v>2.9999999999999997E-4</v>
      </c>
      <c r="H91">
        <v>9.9999999999999995E-7</v>
      </c>
      <c r="I91">
        <v>10000000</v>
      </c>
      <c r="J91">
        <v>5</v>
      </c>
      <c r="K91">
        <v>2.3E-6</v>
      </c>
      <c r="L91">
        <v>6.5000000000000003E-9</v>
      </c>
      <c r="M91">
        <v>1.31</v>
      </c>
      <c r="N91" t="s">
        <v>375</v>
      </c>
    </row>
    <row r="92" spans="1:14">
      <c r="A92" s="8" t="str">
        <f>HYPERLINK("http://www.analog.com/zh/ad8512#details", "AD8512")</f>
        <v>AD8512</v>
      </c>
      <c r="B92">
        <v>9</v>
      </c>
      <c r="C92">
        <v>30</v>
      </c>
      <c r="D92">
        <v>2.5000000000000001E-3</v>
      </c>
      <c r="E92">
        <v>2</v>
      </c>
      <c r="F92">
        <v>7.9999999999999995E-11</v>
      </c>
      <c r="G92">
        <v>4.0000000000000002E-4</v>
      </c>
      <c r="H92">
        <v>9.9999999999999995E-7</v>
      </c>
      <c r="I92">
        <v>8000000</v>
      </c>
      <c r="J92">
        <v>20</v>
      </c>
      <c r="K92" t="s">
        <v>8</v>
      </c>
      <c r="L92">
        <v>7.6000000000000002E-9</v>
      </c>
      <c r="M92">
        <v>1.56</v>
      </c>
      <c r="N92" t="s">
        <v>55</v>
      </c>
    </row>
    <row r="93" spans="1:14">
      <c r="A93" s="8" t="str">
        <f>HYPERLINK("http://www.analog.com/zh/op2177#details", "OP2177")</f>
        <v>OP2177</v>
      </c>
      <c r="B93">
        <v>5</v>
      </c>
      <c r="C93">
        <v>30</v>
      </c>
      <c r="D93">
        <v>4.0000000000000002E-4</v>
      </c>
      <c r="E93">
        <v>2</v>
      </c>
      <c r="F93">
        <v>2.0000000000000001E-9</v>
      </c>
      <c r="G93">
        <v>7.4999999999999993E-5</v>
      </c>
      <c r="H93">
        <v>1.9999999999999999E-7</v>
      </c>
      <c r="I93">
        <v>1300000</v>
      </c>
      <c r="J93">
        <v>0.7</v>
      </c>
      <c r="K93">
        <v>3.9999999999999998E-7</v>
      </c>
      <c r="L93">
        <v>7.8999999999999996E-9</v>
      </c>
      <c r="M93">
        <v>1.53</v>
      </c>
      <c r="N93" t="s">
        <v>55</v>
      </c>
    </row>
    <row r="94" spans="1:14">
      <c r="A94" s="8" t="str">
        <f>HYPERLINK("http://www.analog.com/zh/ad8610#details", "AD8610")</f>
        <v>AD8610</v>
      </c>
      <c r="B94">
        <v>10</v>
      </c>
      <c r="C94">
        <v>26</v>
      </c>
      <c r="D94">
        <v>3.5000000000000001E-3</v>
      </c>
      <c r="E94">
        <v>1</v>
      </c>
      <c r="F94">
        <v>9.9999999999999994E-12</v>
      </c>
      <c r="G94">
        <v>1E-4</v>
      </c>
      <c r="H94">
        <v>4.9999999999999998E-7</v>
      </c>
      <c r="I94">
        <v>25000000</v>
      </c>
      <c r="J94">
        <v>60</v>
      </c>
      <c r="K94">
        <v>1.7999999999999999E-6</v>
      </c>
      <c r="L94">
        <v>6E-9</v>
      </c>
      <c r="M94">
        <v>3.75</v>
      </c>
      <c r="N94" t="s">
        <v>55</v>
      </c>
    </row>
    <row r="95" spans="1:14">
      <c r="A95" s="8" t="str">
        <f>HYPERLINK("http://www.analog.com/zh/op1177#details", "OP1177")</f>
        <v>OP1177</v>
      </c>
      <c r="B95">
        <v>5</v>
      </c>
      <c r="C95">
        <v>30</v>
      </c>
      <c r="D95">
        <v>4.0000000000000002E-4</v>
      </c>
      <c r="E95">
        <v>1</v>
      </c>
      <c r="F95">
        <v>2.0000000000000001E-9</v>
      </c>
      <c r="G95">
        <v>6.0000000000000002E-5</v>
      </c>
      <c r="H95">
        <v>1.9999999999999999E-7</v>
      </c>
      <c r="I95">
        <v>1300000</v>
      </c>
      <c r="J95">
        <v>0.7</v>
      </c>
      <c r="K95">
        <v>3.9999999999999998E-7</v>
      </c>
      <c r="L95">
        <v>7.8999999999999996E-9</v>
      </c>
      <c r="M95">
        <v>0.81</v>
      </c>
      <c r="N95" t="s">
        <v>90</v>
      </c>
    </row>
    <row r="96" spans="1:14">
      <c r="A96" s="8" t="str">
        <f>HYPERLINK("http://www.analog.com/zh/ad8021#details", "AD8021")</f>
        <v>AD8021</v>
      </c>
      <c r="B96">
        <v>4.5</v>
      </c>
      <c r="C96">
        <v>24</v>
      </c>
      <c r="D96">
        <v>7.7999999999999996E-3</v>
      </c>
      <c r="E96">
        <v>1</v>
      </c>
      <c r="F96">
        <v>1.13E-5</v>
      </c>
      <c r="G96">
        <v>1E-3</v>
      </c>
      <c r="H96">
        <v>4.9999999999999998E-7</v>
      </c>
      <c r="I96">
        <v>1000000000</v>
      </c>
      <c r="J96">
        <v>130</v>
      </c>
      <c r="K96" t="s">
        <v>8</v>
      </c>
      <c r="L96">
        <v>2.1000000000000002E-9</v>
      </c>
      <c r="M96">
        <v>1.31</v>
      </c>
      <c r="N96" t="s">
        <v>90</v>
      </c>
    </row>
    <row r="97" spans="1:14">
      <c r="A97" s="8" t="str">
        <f>HYPERLINK("http://www.analog.com/zh/op747#details", "OP747")</f>
        <v>OP747</v>
      </c>
      <c r="B97">
        <v>3</v>
      </c>
      <c r="C97">
        <v>30</v>
      </c>
      <c r="D97">
        <v>2.9E-4</v>
      </c>
      <c r="E97">
        <v>4</v>
      </c>
      <c r="F97">
        <v>1E-8</v>
      </c>
      <c r="G97">
        <v>2.9999999999999997E-4</v>
      </c>
      <c r="H97">
        <v>3.9999999999999998E-7</v>
      </c>
      <c r="I97">
        <v>700000</v>
      </c>
      <c r="J97">
        <v>0.2</v>
      </c>
      <c r="K97">
        <v>3.9999999999999998E-7</v>
      </c>
      <c r="L97">
        <v>1.4999999999999999E-8</v>
      </c>
      <c r="M97">
        <v>3.31</v>
      </c>
      <c r="N97" t="s">
        <v>87</v>
      </c>
    </row>
    <row r="98" spans="1:14">
      <c r="A98" s="8" t="str">
        <f>HYPERLINK("http://www.analog.com/zh/op727#details", "OP727")</f>
        <v>OP727</v>
      </c>
      <c r="B98">
        <v>3</v>
      </c>
      <c r="C98">
        <v>30</v>
      </c>
      <c r="D98">
        <v>2.9E-4</v>
      </c>
      <c r="E98">
        <v>2</v>
      </c>
      <c r="F98">
        <v>1E-8</v>
      </c>
      <c r="G98">
        <v>2.9999999999999997E-4</v>
      </c>
      <c r="H98">
        <v>3.9999999999999998E-7</v>
      </c>
      <c r="I98">
        <v>700000</v>
      </c>
      <c r="J98">
        <v>0.2</v>
      </c>
      <c r="K98">
        <v>3.9999999999999998E-7</v>
      </c>
      <c r="L98">
        <v>1.4999999999999999E-8</v>
      </c>
      <c r="M98">
        <v>1.8</v>
      </c>
      <c r="N98" t="s">
        <v>387</v>
      </c>
    </row>
    <row r="99" spans="1:14">
      <c r="A99" s="8" t="str">
        <f>HYPERLINK("http://www.analog.com/zh/ad8604#details", "AD8604")</f>
        <v>AD8604</v>
      </c>
      <c r="B99">
        <v>2.7</v>
      </c>
      <c r="C99">
        <v>5.5</v>
      </c>
      <c r="D99">
        <v>7.5000000000000002E-4</v>
      </c>
      <c r="E99">
        <v>4</v>
      </c>
      <c r="F99">
        <v>6E-11</v>
      </c>
      <c r="G99">
        <v>5.9999999999999995E-4</v>
      </c>
      <c r="H99">
        <v>1.9999999999999999E-6</v>
      </c>
      <c r="I99">
        <v>8400000</v>
      </c>
      <c r="J99">
        <v>6</v>
      </c>
      <c r="K99" t="s">
        <v>8</v>
      </c>
      <c r="L99">
        <v>1.7999999999999999E-8</v>
      </c>
      <c r="M99">
        <v>1.01</v>
      </c>
      <c r="N99" t="s">
        <v>392</v>
      </c>
    </row>
    <row r="100" spans="1:14">
      <c r="A100" s="8" t="str">
        <f>HYPERLINK("http://www.analog.com/zh/ad8601#details", "AD8601")</f>
        <v>AD8601</v>
      </c>
      <c r="B100">
        <v>2.7</v>
      </c>
      <c r="C100">
        <v>5</v>
      </c>
      <c r="D100">
        <v>7.5000000000000002E-4</v>
      </c>
      <c r="E100">
        <v>1</v>
      </c>
      <c r="F100">
        <v>6E-11</v>
      </c>
      <c r="G100">
        <v>5.0000000000000001E-4</v>
      </c>
      <c r="H100">
        <v>1.9999999999999999E-6</v>
      </c>
      <c r="I100">
        <v>8400000</v>
      </c>
      <c r="J100">
        <v>6</v>
      </c>
      <c r="K100" t="s">
        <v>8</v>
      </c>
      <c r="L100">
        <v>1.7999999999999999E-8</v>
      </c>
      <c r="M100">
        <v>0.39</v>
      </c>
      <c r="N100" t="s">
        <v>360</v>
      </c>
    </row>
    <row r="101" spans="1:14">
      <c r="A101" s="8" t="str">
        <f>HYPERLINK("http://www.analog.com/zh/ad8602#details", "AD8602")</f>
        <v>AD8602</v>
      </c>
      <c r="B101">
        <v>2.7</v>
      </c>
      <c r="C101">
        <v>5.5</v>
      </c>
      <c r="D101">
        <v>7.5000000000000002E-4</v>
      </c>
      <c r="E101">
        <v>2</v>
      </c>
      <c r="F101">
        <v>6E-11</v>
      </c>
      <c r="G101">
        <v>5.0000000000000001E-4</v>
      </c>
      <c r="H101">
        <v>1.9999999999999999E-6</v>
      </c>
      <c r="I101">
        <v>8400000</v>
      </c>
      <c r="J101">
        <v>6</v>
      </c>
      <c r="K101" t="s">
        <v>8</v>
      </c>
      <c r="L101">
        <v>1.7999999999999999E-8</v>
      </c>
      <c r="M101">
        <v>0.48</v>
      </c>
      <c r="N101" t="s">
        <v>90</v>
      </c>
    </row>
    <row r="102" spans="1:14">
      <c r="A102" s="8" t="str">
        <f>HYPERLINK("http://www.analog.com/zh/op777#details", "OP777")</f>
        <v>OP777</v>
      </c>
      <c r="B102">
        <v>3</v>
      </c>
      <c r="C102">
        <v>30</v>
      </c>
      <c r="D102">
        <v>3.5E-4</v>
      </c>
      <c r="E102">
        <v>1</v>
      </c>
      <c r="F102">
        <v>1E-8</v>
      </c>
      <c r="G102">
        <v>2.0000000000000001E-4</v>
      </c>
      <c r="H102">
        <v>2.9999999999999999E-7</v>
      </c>
      <c r="I102">
        <v>700000</v>
      </c>
      <c r="J102">
        <v>0.2</v>
      </c>
      <c r="K102">
        <v>3.9999999999999998E-7</v>
      </c>
      <c r="L102">
        <v>1.4999999999999999E-8</v>
      </c>
      <c r="M102">
        <v>1.2</v>
      </c>
      <c r="N102" t="s">
        <v>55</v>
      </c>
    </row>
    <row r="103" spans="1:14">
      <c r="A103" s="8" t="str">
        <f>HYPERLINK("http://www.analog.com/zh/ad8574#details", "AD8574")</f>
        <v>AD8574</v>
      </c>
      <c r="B103">
        <v>2.7</v>
      </c>
      <c r="C103">
        <v>5.5</v>
      </c>
      <c r="D103">
        <v>9.7499999999999996E-4</v>
      </c>
      <c r="E103">
        <v>4</v>
      </c>
      <c r="F103">
        <v>5.0000000000000002E-11</v>
      </c>
      <c r="G103">
        <v>5.0000000000000004E-6</v>
      </c>
      <c r="H103">
        <v>5.0000000000000001E-9</v>
      </c>
      <c r="I103">
        <v>1500000</v>
      </c>
      <c r="J103">
        <v>0.4</v>
      </c>
      <c r="K103">
        <v>1.3E-6</v>
      </c>
      <c r="L103">
        <v>5.1E-8</v>
      </c>
      <c r="M103">
        <v>3.4</v>
      </c>
      <c r="N103" t="s">
        <v>87</v>
      </c>
    </row>
    <row r="104" spans="1:14">
      <c r="A104" s="8" t="str">
        <f>HYPERLINK("http://www.analog.com/zh/ad8572#details", "AD8572")</f>
        <v>AD8572</v>
      </c>
      <c r="B104">
        <v>2.7</v>
      </c>
      <c r="C104">
        <v>5.5</v>
      </c>
      <c r="D104">
        <v>9.7499999999999996E-4</v>
      </c>
      <c r="E104">
        <v>2</v>
      </c>
      <c r="F104">
        <v>5.0000000000000002E-11</v>
      </c>
      <c r="G104">
        <v>5.0000000000000004E-6</v>
      </c>
      <c r="H104">
        <v>5.0000000000000001E-9</v>
      </c>
      <c r="I104">
        <v>1500000</v>
      </c>
      <c r="J104">
        <v>0.4</v>
      </c>
      <c r="K104">
        <v>1.3E-6</v>
      </c>
      <c r="L104">
        <v>5.1E-8</v>
      </c>
      <c r="M104">
        <v>1.78</v>
      </c>
      <c r="N104" t="s">
        <v>401</v>
      </c>
    </row>
    <row r="105" spans="1:14">
      <c r="A105" s="8" t="str">
        <f>HYPERLINK("http://www.analog.com/zh/ad8571#details", "AD8571")</f>
        <v>AD8571</v>
      </c>
      <c r="B105">
        <v>2.7</v>
      </c>
      <c r="C105">
        <v>5.5</v>
      </c>
      <c r="D105">
        <v>9.7499999999999996E-4</v>
      </c>
      <c r="E105">
        <v>1</v>
      </c>
      <c r="F105">
        <v>5.0000000000000002E-11</v>
      </c>
      <c r="G105">
        <v>5.0000000000000004E-6</v>
      </c>
      <c r="H105">
        <v>5.0000000000000001E-9</v>
      </c>
      <c r="I105">
        <v>1500000</v>
      </c>
      <c r="J105">
        <v>0.4</v>
      </c>
      <c r="K105">
        <v>1.3E-6</v>
      </c>
      <c r="L105">
        <v>5.1E-8</v>
      </c>
      <c r="M105">
        <v>1.1100000000000001</v>
      </c>
      <c r="N105" t="s">
        <v>55</v>
      </c>
    </row>
    <row r="106" spans="1:14">
      <c r="A106" s="8" t="str">
        <f>HYPERLINK("http://www.analog.com/zh/ad8554#details", "AD8554")</f>
        <v>AD8554</v>
      </c>
      <c r="B106">
        <v>2.7</v>
      </c>
      <c r="C106">
        <v>5</v>
      </c>
      <c r="D106">
        <v>9.7499999999999996E-4</v>
      </c>
      <c r="E106">
        <v>4</v>
      </c>
      <c r="F106">
        <v>5.0000000000000002E-11</v>
      </c>
      <c r="G106">
        <v>5.0000000000000004E-6</v>
      </c>
      <c r="H106">
        <v>5.0000000000000001E-9</v>
      </c>
      <c r="I106">
        <v>1500000</v>
      </c>
      <c r="J106">
        <v>0.4</v>
      </c>
      <c r="K106">
        <v>9.9999999999999995E-7</v>
      </c>
      <c r="L106">
        <v>4.1999999999999999E-8</v>
      </c>
      <c r="M106">
        <v>3.43</v>
      </c>
      <c r="N106" t="s">
        <v>87</v>
      </c>
    </row>
    <row r="107" spans="1:14">
      <c r="A107" s="8" t="str">
        <f>HYPERLINK("http://www.analog.com/zh/ad8552#details", "AD8552")</f>
        <v>AD8552</v>
      </c>
      <c r="B107">
        <v>2.7</v>
      </c>
      <c r="C107">
        <v>5</v>
      </c>
      <c r="D107">
        <v>9.7499999999999996E-4</v>
      </c>
      <c r="E107">
        <v>2</v>
      </c>
      <c r="F107">
        <v>5.0000000000000002E-11</v>
      </c>
      <c r="G107">
        <v>5.0000000000000004E-6</v>
      </c>
      <c r="H107">
        <v>5.0000000000000001E-9</v>
      </c>
      <c r="I107">
        <v>1500000</v>
      </c>
      <c r="J107">
        <v>0.4</v>
      </c>
      <c r="K107">
        <v>9.9999999999999995E-7</v>
      </c>
      <c r="L107">
        <v>4.1999999999999999E-8</v>
      </c>
      <c r="M107">
        <v>1.94</v>
      </c>
      <c r="N107" t="s">
        <v>401</v>
      </c>
    </row>
    <row r="108" spans="1:14">
      <c r="A108" s="8" t="str">
        <f>HYPERLINK("http://www.analog.com/zh/ad8551#details", "AD8551")</f>
        <v>AD8551</v>
      </c>
      <c r="B108">
        <v>2.7</v>
      </c>
      <c r="C108">
        <v>5</v>
      </c>
      <c r="D108">
        <v>9.7499999999999996E-4</v>
      </c>
      <c r="E108">
        <v>1</v>
      </c>
      <c r="F108">
        <v>5.0000000000000002E-11</v>
      </c>
      <c r="G108">
        <v>5.0000000000000004E-6</v>
      </c>
      <c r="H108">
        <v>5.0000000000000001E-9</v>
      </c>
      <c r="I108">
        <v>1500000</v>
      </c>
      <c r="J108">
        <v>0.4</v>
      </c>
      <c r="K108">
        <v>9.9999999999999995E-7</v>
      </c>
      <c r="L108">
        <v>4.1999999999999999E-8</v>
      </c>
      <c r="M108">
        <v>1.22</v>
      </c>
      <c r="N108" t="s">
        <v>55</v>
      </c>
    </row>
    <row r="109" spans="1:14">
      <c r="A109" s="8" t="str">
        <f>HYPERLINK("http://www.analog.com/zh/ad8529#details", "AD8529")</f>
        <v>AD8529</v>
      </c>
      <c r="B109">
        <v>2.7</v>
      </c>
      <c r="C109">
        <v>12</v>
      </c>
      <c r="D109">
        <v>1.1999999999999999E-3</v>
      </c>
      <c r="E109">
        <v>2</v>
      </c>
      <c r="F109">
        <v>2.9999999999999999E-7</v>
      </c>
      <c r="G109">
        <v>1E-3</v>
      </c>
      <c r="H109">
        <v>1.9999999999999999E-6</v>
      </c>
      <c r="I109">
        <v>8000000</v>
      </c>
      <c r="J109">
        <v>2.9</v>
      </c>
      <c r="K109">
        <v>4.9999999999999998E-7</v>
      </c>
      <c r="L109">
        <v>1E-8</v>
      </c>
      <c r="M109">
        <v>1.24</v>
      </c>
      <c r="N109" t="s">
        <v>55</v>
      </c>
    </row>
    <row r="110" spans="1:14">
      <c r="A110" s="8" t="str">
        <f>HYPERLINK("http://www.analog.com/zh/ad8519#details", "AD8519")</f>
        <v>AD8519</v>
      </c>
      <c r="B110">
        <v>2.7</v>
      </c>
      <c r="C110">
        <v>12</v>
      </c>
      <c r="D110">
        <v>1.1999999999999999E-3</v>
      </c>
      <c r="E110">
        <v>1</v>
      </c>
      <c r="F110">
        <v>2.9999999999999999E-7</v>
      </c>
      <c r="G110">
        <v>1E-3</v>
      </c>
      <c r="H110">
        <v>1.9999999999999999E-6</v>
      </c>
      <c r="I110">
        <v>8000000</v>
      </c>
      <c r="J110">
        <v>2.9</v>
      </c>
      <c r="K110">
        <v>4.9999999999999998E-7</v>
      </c>
      <c r="L110">
        <v>1E-8</v>
      </c>
      <c r="M110">
        <v>0.94</v>
      </c>
      <c r="N110" t="s">
        <v>409</v>
      </c>
    </row>
    <row r="111" spans="1:14">
      <c r="A111" s="8" t="str">
        <f>HYPERLINK("http://www.analog.com/zh/op262#details", "OP262")</f>
        <v>OP262</v>
      </c>
      <c r="B111">
        <v>2.7</v>
      </c>
      <c r="C111">
        <v>12</v>
      </c>
      <c r="D111">
        <v>7.7499999999999997E-4</v>
      </c>
      <c r="E111">
        <v>2</v>
      </c>
      <c r="F111">
        <v>4.9999999999999998E-7</v>
      </c>
      <c r="G111">
        <v>3.2499999999999999E-4</v>
      </c>
      <c r="H111">
        <v>9.9999999999999995E-7</v>
      </c>
      <c r="I111">
        <v>15000000</v>
      </c>
      <c r="J111">
        <v>13</v>
      </c>
      <c r="K111">
        <v>4.9999999999999998E-7</v>
      </c>
      <c r="L111">
        <v>9.5000000000000007E-9</v>
      </c>
      <c r="M111">
        <v>1.5</v>
      </c>
      <c r="N111" t="s">
        <v>401</v>
      </c>
    </row>
    <row r="112" spans="1:14">
      <c r="A112" s="8" t="str">
        <f>HYPERLINK("http://www.analog.com/zh/op184#details", "OP184")</f>
        <v>OP184</v>
      </c>
      <c r="B112">
        <v>3</v>
      </c>
      <c r="C112">
        <v>36</v>
      </c>
      <c r="D112">
        <v>2E-3</v>
      </c>
      <c r="E112">
        <v>1</v>
      </c>
      <c r="F112">
        <v>4.4999999999999998E-7</v>
      </c>
      <c r="G112">
        <v>1E-4</v>
      </c>
      <c r="H112">
        <v>1.9999999999999999E-7</v>
      </c>
      <c r="I112">
        <v>4250000</v>
      </c>
      <c r="J112">
        <v>4</v>
      </c>
      <c r="K112">
        <v>2.9999999999999999E-7</v>
      </c>
      <c r="L112">
        <v>3.9000000000000002E-9</v>
      </c>
      <c r="M112">
        <v>1.66</v>
      </c>
      <c r="N112" t="s">
        <v>84</v>
      </c>
    </row>
    <row r="113" spans="1:14">
      <c r="A113" s="8" t="str">
        <f>HYPERLINK("http://www.analog.com/zh/op162#details", "OP162")</f>
        <v>OP162</v>
      </c>
      <c r="B113">
        <v>2.7</v>
      </c>
      <c r="C113">
        <v>12</v>
      </c>
      <c r="D113">
        <v>5.9999999999999995E-4</v>
      </c>
      <c r="E113">
        <v>1</v>
      </c>
      <c r="F113">
        <v>4.9999999999999998E-7</v>
      </c>
      <c r="G113">
        <v>3.2499999999999999E-4</v>
      </c>
      <c r="H113">
        <v>9.9999999999999995E-7</v>
      </c>
      <c r="I113">
        <v>15000000</v>
      </c>
      <c r="J113">
        <v>13</v>
      </c>
      <c r="K113">
        <v>4.9999999999999998E-7</v>
      </c>
      <c r="L113">
        <v>9.5000000000000007E-9</v>
      </c>
      <c r="M113">
        <v>1.72</v>
      </c>
      <c r="N113" t="s">
        <v>84</v>
      </c>
    </row>
    <row r="114" spans="1:14">
      <c r="A114" s="8" t="str">
        <f>HYPERLINK("http://www.analog.com/zh/op462#details", "OP462")</f>
        <v>OP462</v>
      </c>
      <c r="B114">
        <v>2.7</v>
      </c>
      <c r="C114">
        <v>12</v>
      </c>
      <c r="D114">
        <v>7.7499999999999997E-4</v>
      </c>
      <c r="E114">
        <v>4</v>
      </c>
      <c r="F114">
        <v>4.9999999999999998E-7</v>
      </c>
      <c r="G114">
        <v>3.2499999999999999E-4</v>
      </c>
      <c r="H114">
        <v>9.9999999999999995E-7</v>
      </c>
      <c r="I114">
        <v>15000000</v>
      </c>
      <c r="J114">
        <v>13</v>
      </c>
      <c r="K114">
        <v>4.9999999999999998E-7</v>
      </c>
      <c r="L114">
        <v>9.5000000000000007E-9</v>
      </c>
      <c r="M114">
        <v>4.1100000000000003</v>
      </c>
      <c r="N114" t="s">
        <v>323</v>
      </c>
    </row>
    <row r="115" spans="1:14">
      <c r="A115" s="8" t="str">
        <f>HYPERLINK("http://www.analog.com/zh/op196#details", "OP196")</f>
        <v>OP196</v>
      </c>
      <c r="B115">
        <v>3</v>
      </c>
      <c r="C115">
        <v>12</v>
      </c>
      <c r="D115">
        <v>6.0000000000000002E-5</v>
      </c>
      <c r="E115">
        <v>1</v>
      </c>
      <c r="F115">
        <v>4.9999999999999998E-8</v>
      </c>
      <c r="G115">
        <v>2.9999999999999997E-4</v>
      </c>
      <c r="H115">
        <v>1.5E-6</v>
      </c>
      <c r="I115">
        <v>450000</v>
      </c>
      <c r="J115">
        <v>0.3</v>
      </c>
      <c r="K115">
        <v>7.9999999999999996E-7</v>
      </c>
      <c r="L115">
        <v>2.6000000000000001E-8</v>
      </c>
      <c r="M115">
        <v>1.59</v>
      </c>
      <c r="N115" t="s">
        <v>84</v>
      </c>
    </row>
    <row r="116" spans="1:14">
      <c r="A116" s="8" t="str">
        <f>HYPERLINK("http://www.analog.com/zh/op296#details", "OP296")</f>
        <v>OP296</v>
      </c>
      <c r="B116">
        <v>3</v>
      </c>
      <c r="C116">
        <v>12</v>
      </c>
      <c r="D116">
        <v>6.0000000000000002E-5</v>
      </c>
      <c r="E116">
        <v>2</v>
      </c>
      <c r="F116" t="s">
        <v>8</v>
      </c>
      <c r="G116">
        <v>2.9999999999999997E-4</v>
      </c>
      <c r="H116">
        <v>1.5E-6</v>
      </c>
      <c r="I116">
        <v>450000</v>
      </c>
      <c r="J116">
        <v>0.3</v>
      </c>
      <c r="K116">
        <v>7.9999999999999996E-7</v>
      </c>
      <c r="L116">
        <v>2.6000000000000001E-8</v>
      </c>
      <c r="M116">
        <v>2.04</v>
      </c>
      <c r="N116" t="s">
        <v>401</v>
      </c>
    </row>
    <row r="117" spans="1:14">
      <c r="A117" s="8" t="str">
        <f>HYPERLINK("http://www.analog.com/zh/op496#details", "OP496")</f>
        <v>OP496</v>
      </c>
      <c r="B117">
        <v>3</v>
      </c>
      <c r="C117">
        <v>12</v>
      </c>
      <c r="D117">
        <v>6.0000000000000002E-5</v>
      </c>
      <c r="E117">
        <v>4</v>
      </c>
      <c r="F117" t="s">
        <v>8</v>
      </c>
      <c r="G117">
        <v>2.9999999999999997E-4</v>
      </c>
      <c r="H117">
        <v>1.5E-6</v>
      </c>
      <c r="I117">
        <v>450000</v>
      </c>
      <c r="J117">
        <v>0.3</v>
      </c>
      <c r="K117">
        <v>7.9999999999999996E-7</v>
      </c>
      <c r="L117">
        <v>2.6000000000000001E-8</v>
      </c>
      <c r="M117">
        <v>2.71</v>
      </c>
      <c r="N117" t="s">
        <v>323</v>
      </c>
    </row>
    <row r="118" spans="1:14">
      <c r="A118" s="8" t="str">
        <f>HYPERLINK("http://www.analog.com/zh/op484#details", "OP484")</f>
        <v>OP484</v>
      </c>
      <c r="B118">
        <v>2</v>
      </c>
      <c r="C118">
        <v>36</v>
      </c>
      <c r="D118">
        <v>2E-3</v>
      </c>
      <c r="E118">
        <v>4</v>
      </c>
      <c r="F118">
        <v>4.4999999999999998E-7</v>
      </c>
      <c r="G118">
        <v>1.4999999999999999E-4</v>
      </c>
      <c r="H118">
        <v>1.9999999999999999E-7</v>
      </c>
      <c r="I118">
        <v>4250000</v>
      </c>
      <c r="J118">
        <v>4</v>
      </c>
      <c r="K118">
        <v>2.9999999999999999E-7</v>
      </c>
      <c r="L118">
        <v>3.9000000000000002E-9</v>
      </c>
      <c r="M118">
        <v>5.73</v>
      </c>
      <c r="N118" t="s">
        <v>421</v>
      </c>
    </row>
    <row r="119" spans="1:14">
      <c r="A119" s="8" t="str">
        <f>HYPERLINK("http://www.analog.com/zh/op293#details", "OP293")</f>
        <v>OP293</v>
      </c>
      <c r="B119">
        <v>1.7</v>
      </c>
      <c r="C119">
        <v>36</v>
      </c>
      <c r="D119">
        <v>3.0000000000000001E-5</v>
      </c>
      <c r="E119">
        <v>2</v>
      </c>
      <c r="F119" t="s">
        <v>8</v>
      </c>
      <c r="G119">
        <v>2.0000000000000001E-4</v>
      </c>
      <c r="H119">
        <v>1.9999999999999999E-7</v>
      </c>
      <c r="I119">
        <v>35000</v>
      </c>
      <c r="J119">
        <v>1.4999999999999999E-2</v>
      </c>
      <c r="K119">
        <v>3.0000000000000001E-6</v>
      </c>
      <c r="L119">
        <v>6.5E-8</v>
      </c>
      <c r="M119">
        <v>2.69</v>
      </c>
      <c r="N119" t="s">
        <v>84</v>
      </c>
    </row>
    <row r="120" spans="1:14">
      <c r="A120" s="8" t="str">
        <f>HYPERLINK("http://www.analog.com/zh/op284#details", "OP284")</f>
        <v>OP284</v>
      </c>
      <c r="B120">
        <v>2</v>
      </c>
      <c r="C120">
        <v>36</v>
      </c>
      <c r="D120">
        <v>2E-3</v>
      </c>
      <c r="E120">
        <v>2</v>
      </c>
      <c r="F120">
        <v>4.4999999999999998E-7</v>
      </c>
      <c r="G120">
        <v>1E-4</v>
      </c>
      <c r="H120">
        <v>1.9999999999999999E-7</v>
      </c>
      <c r="I120">
        <v>4250000</v>
      </c>
      <c r="J120">
        <v>4</v>
      </c>
      <c r="K120">
        <v>2.9999999999999999E-7</v>
      </c>
      <c r="L120">
        <v>3.9000000000000002E-9</v>
      </c>
      <c r="M120">
        <v>3.45</v>
      </c>
      <c r="N120" t="s">
        <v>428</v>
      </c>
    </row>
    <row r="121" spans="1:14">
      <c r="A121" s="8" t="str">
        <f>HYPERLINK("http://www.analog.com/zh/op193#details", "OP193")</f>
        <v>OP193</v>
      </c>
      <c r="B121">
        <v>1.7</v>
      </c>
      <c r="C121">
        <v>36</v>
      </c>
      <c r="D121">
        <v>3.0000000000000001E-5</v>
      </c>
      <c r="E121">
        <v>1</v>
      </c>
      <c r="F121">
        <v>1.4999999999999999E-8</v>
      </c>
      <c r="G121">
        <v>1.4999999999999999E-4</v>
      </c>
      <c r="H121">
        <v>1.9999999999999999E-7</v>
      </c>
      <c r="I121">
        <v>35000</v>
      </c>
      <c r="J121">
        <v>1.4999999999999999E-2</v>
      </c>
      <c r="K121">
        <v>3.0000000000000001E-6</v>
      </c>
      <c r="L121">
        <v>6.5E-8</v>
      </c>
      <c r="M121">
        <v>1.9</v>
      </c>
      <c r="N121" t="s">
        <v>84</v>
      </c>
    </row>
    <row r="122" spans="1:14">
      <c r="A122" s="8" t="str">
        <f>HYPERLINK("http://www.analog.com/zh/op191#details", "OP191")</f>
        <v>OP191</v>
      </c>
      <c r="B122">
        <v>2.7</v>
      </c>
      <c r="C122">
        <v>12</v>
      </c>
      <c r="D122">
        <v>4.2000000000000002E-4</v>
      </c>
      <c r="E122">
        <v>1</v>
      </c>
      <c r="F122">
        <v>6.5E-8</v>
      </c>
      <c r="G122">
        <v>5.0000000000000001E-4</v>
      </c>
      <c r="H122">
        <v>1.1000000000000001E-6</v>
      </c>
      <c r="I122">
        <v>3000000</v>
      </c>
      <c r="J122">
        <v>0.5</v>
      </c>
      <c r="K122">
        <v>1.9999999999999999E-6</v>
      </c>
      <c r="L122">
        <v>4.1999999999999999E-8</v>
      </c>
      <c r="M122">
        <v>1.86</v>
      </c>
      <c r="N122" t="s">
        <v>84</v>
      </c>
    </row>
    <row r="123" spans="1:14">
      <c r="A123" s="8" t="str">
        <f>HYPERLINK("http://www.analog.com/zh/op491#details", "OP491")</f>
        <v>OP491</v>
      </c>
      <c r="B123">
        <v>2.7</v>
      </c>
      <c r="C123">
        <v>12</v>
      </c>
      <c r="D123">
        <v>2.0000000000000001E-4</v>
      </c>
      <c r="E123">
        <v>4</v>
      </c>
      <c r="F123">
        <v>6.5E-8</v>
      </c>
      <c r="G123">
        <v>6.9999999999999999E-4</v>
      </c>
      <c r="H123">
        <v>1.1000000000000001E-6</v>
      </c>
      <c r="I123">
        <v>3000000</v>
      </c>
      <c r="J123">
        <v>0.5</v>
      </c>
      <c r="K123">
        <v>1.9999999999999999E-6</v>
      </c>
      <c r="L123">
        <v>4.1999999999999999E-8</v>
      </c>
      <c r="M123">
        <v>4.2</v>
      </c>
      <c r="N123" t="s">
        <v>435</v>
      </c>
    </row>
    <row r="124" spans="1:14">
      <c r="A124" s="8" t="str">
        <f>HYPERLINK("http://www.analog.com/zh/op291#details", "OP291")</f>
        <v>OP291</v>
      </c>
      <c r="B124">
        <v>2.7</v>
      </c>
      <c r="C124">
        <v>12</v>
      </c>
      <c r="D124">
        <v>4.2000000000000002E-4</v>
      </c>
      <c r="E124">
        <v>2</v>
      </c>
      <c r="F124">
        <v>6.5E-8</v>
      </c>
      <c r="G124">
        <v>6.9999999999999999E-4</v>
      </c>
      <c r="H124">
        <v>1.1000000000000001E-6</v>
      </c>
      <c r="I124">
        <v>3000000</v>
      </c>
      <c r="J124">
        <v>0.5</v>
      </c>
      <c r="K124">
        <v>1.9999999999999999E-6</v>
      </c>
      <c r="L124">
        <v>3.5000000000000002E-8</v>
      </c>
      <c r="M124">
        <v>2.4</v>
      </c>
      <c r="N124" t="s">
        <v>84</v>
      </c>
    </row>
    <row r="125" spans="1:14">
      <c r="A125" s="8" t="str">
        <f>HYPERLINK("http://www.analog.com/zh/op495#details", "OP495")</f>
        <v>OP495</v>
      </c>
      <c r="B125">
        <v>3</v>
      </c>
      <c r="C125">
        <v>36</v>
      </c>
      <c r="D125">
        <v>1.75E-4</v>
      </c>
      <c r="E125">
        <v>4</v>
      </c>
      <c r="F125">
        <v>2E-8</v>
      </c>
      <c r="G125">
        <v>5.0000000000000001E-4</v>
      </c>
      <c r="H125">
        <v>9.9999999999999995E-7</v>
      </c>
      <c r="I125">
        <v>85000</v>
      </c>
      <c r="J125">
        <v>0.03</v>
      </c>
      <c r="K125">
        <v>1.2500000000000001E-6</v>
      </c>
      <c r="L125">
        <v>4.4999999999999999E-8</v>
      </c>
      <c r="M125">
        <v>4.8899999999999997</v>
      </c>
      <c r="N125" t="s">
        <v>443</v>
      </c>
    </row>
    <row r="126" spans="1:14">
      <c r="A126" s="8" t="str">
        <f>HYPERLINK("http://www.analog.com/zh/op413#details", "OP413")</f>
        <v>OP413</v>
      </c>
      <c r="B126">
        <v>4</v>
      </c>
      <c r="C126">
        <v>36</v>
      </c>
      <c r="D126">
        <v>3.0000000000000001E-3</v>
      </c>
      <c r="E126">
        <v>4</v>
      </c>
      <c r="F126">
        <v>5.9999999999999997E-7</v>
      </c>
      <c r="G126">
        <v>1.25E-4</v>
      </c>
      <c r="H126">
        <v>1.9999999999999999E-7</v>
      </c>
      <c r="I126">
        <v>3400000</v>
      </c>
      <c r="J126">
        <v>1.2</v>
      </c>
      <c r="K126">
        <v>1.1999999999999999E-7</v>
      </c>
      <c r="L126">
        <v>4.6999999999999999E-9</v>
      </c>
      <c r="M126">
        <v>4.6100000000000003</v>
      </c>
      <c r="N126" t="s">
        <v>447</v>
      </c>
    </row>
    <row r="127" spans="1:14">
      <c r="A127" s="8" t="str">
        <f>HYPERLINK("http://www.analog.com/zh/op113#details", "OP113")</f>
        <v>OP113</v>
      </c>
      <c r="B127">
        <v>4</v>
      </c>
      <c r="C127">
        <v>36</v>
      </c>
      <c r="D127">
        <v>3.0000000000000001E-3</v>
      </c>
      <c r="E127">
        <v>1</v>
      </c>
      <c r="F127">
        <v>5.9999999999999997E-7</v>
      </c>
      <c r="G127">
        <v>7.4999999999999993E-5</v>
      </c>
      <c r="H127">
        <v>1.9999999999999999E-7</v>
      </c>
      <c r="I127">
        <v>3500000</v>
      </c>
      <c r="J127">
        <v>1.2</v>
      </c>
      <c r="K127">
        <v>1.1999999999999999E-7</v>
      </c>
      <c r="L127">
        <v>4.6999999999999999E-9</v>
      </c>
      <c r="M127">
        <v>1.8</v>
      </c>
      <c r="N127" t="s">
        <v>84</v>
      </c>
    </row>
    <row r="128" spans="1:14">
      <c r="A128" s="8" t="str">
        <f>HYPERLINK("http://www.analog.com/zh/ad820#details", "AD820")</f>
        <v>AD820</v>
      </c>
      <c r="B128">
        <v>5</v>
      </c>
      <c r="C128">
        <v>30</v>
      </c>
      <c r="D128">
        <v>8.9999999999999998E-4</v>
      </c>
      <c r="E128">
        <v>1</v>
      </c>
      <c r="F128">
        <v>9.9999999999999994E-12</v>
      </c>
      <c r="G128">
        <v>1E-3</v>
      </c>
      <c r="H128">
        <v>1.9999999999999999E-6</v>
      </c>
      <c r="I128">
        <v>1900000</v>
      </c>
      <c r="J128">
        <v>3</v>
      </c>
      <c r="K128">
        <v>1.9999999999999999E-6</v>
      </c>
      <c r="L128">
        <v>1.3000000000000001E-8</v>
      </c>
      <c r="M128">
        <v>1.97</v>
      </c>
      <c r="N128" t="s">
        <v>450</v>
      </c>
    </row>
    <row r="129" spans="1:14">
      <c r="A129" s="8" t="str">
        <f>HYPERLINK("http://www.analog.com/zh/op213#details", "OP213")</f>
        <v>OP213</v>
      </c>
      <c r="B129">
        <v>4</v>
      </c>
      <c r="C129">
        <v>36</v>
      </c>
      <c r="D129">
        <v>3.0000000000000001E-3</v>
      </c>
      <c r="E129">
        <v>2</v>
      </c>
      <c r="F129">
        <v>5.9999999999999997E-7</v>
      </c>
      <c r="G129">
        <v>1E-4</v>
      </c>
      <c r="H129">
        <v>1.9999999999999999E-7</v>
      </c>
      <c r="I129">
        <v>3400000</v>
      </c>
      <c r="J129">
        <v>1.2</v>
      </c>
      <c r="K129">
        <v>1.1999999999999999E-7</v>
      </c>
      <c r="L129">
        <v>4.6999999999999999E-9</v>
      </c>
      <c r="M129">
        <v>2.14</v>
      </c>
      <c r="N129" t="s">
        <v>452</v>
      </c>
    </row>
    <row r="130" spans="1:14">
      <c r="A130" s="8" t="str">
        <f>HYPERLINK("http://www.analog.com/zh/op295#details", "OP295")</f>
        <v>OP295</v>
      </c>
      <c r="B130">
        <v>3</v>
      </c>
      <c r="C130">
        <v>36</v>
      </c>
      <c r="D130">
        <v>1.75E-4</v>
      </c>
      <c r="E130">
        <v>2</v>
      </c>
      <c r="F130">
        <v>2E-8</v>
      </c>
      <c r="G130">
        <v>5.0000000000000001E-4</v>
      </c>
      <c r="H130">
        <v>9.9999999999999995E-7</v>
      </c>
      <c r="I130">
        <v>85000</v>
      </c>
      <c r="J130">
        <v>0.03</v>
      </c>
      <c r="K130">
        <v>1.2500000000000001E-6</v>
      </c>
      <c r="L130">
        <v>4.4999999999999999E-8</v>
      </c>
      <c r="M130">
        <v>2.4</v>
      </c>
      <c r="N130" t="s">
        <v>452</v>
      </c>
    </row>
    <row r="131" spans="1:14">
      <c r="A131" s="8" t="str">
        <f>HYPERLINK("http://www.analog.com/zh/op285#details", "OP285")</f>
        <v>OP285</v>
      </c>
      <c r="B131">
        <v>9</v>
      </c>
      <c r="C131">
        <v>44</v>
      </c>
      <c r="D131">
        <v>2.5000000000000001E-3</v>
      </c>
      <c r="E131">
        <v>2</v>
      </c>
      <c r="F131">
        <v>3.4999999999999998E-7</v>
      </c>
      <c r="G131">
        <v>2.5000000000000001E-4</v>
      </c>
      <c r="H131">
        <v>9.9999999999999995E-7</v>
      </c>
      <c r="I131">
        <v>9000000</v>
      </c>
      <c r="J131">
        <v>22</v>
      </c>
      <c r="K131" t="s">
        <v>8</v>
      </c>
      <c r="L131">
        <v>6E-9</v>
      </c>
      <c r="M131">
        <v>2.4500000000000002</v>
      </c>
      <c r="N131" t="s">
        <v>84</v>
      </c>
    </row>
    <row r="132" spans="1:14">
      <c r="A132" s="8" t="str">
        <f>HYPERLINK("http://www.analog.com/zh/ad797#details", "AD797")</f>
        <v>AD797</v>
      </c>
      <c r="B132">
        <v>10</v>
      </c>
      <c r="C132">
        <v>36</v>
      </c>
      <c r="D132">
        <v>1.0500000000000001E-2</v>
      </c>
      <c r="E132">
        <v>1</v>
      </c>
      <c r="F132">
        <v>8.9999999999999996E-7</v>
      </c>
      <c r="G132">
        <v>4.0000000000000003E-5</v>
      </c>
      <c r="H132">
        <v>1.9999999999999999E-7</v>
      </c>
      <c r="I132">
        <v>110000000</v>
      </c>
      <c r="J132">
        <v>20</v>
      </c>
      <c r="K132">
        <v>4.9999999999999998E-8</v>
      </c>
      <c r="L132">
        <v>8.9999999999999999E-10</v>
      </c>
      <c r="M132">
        <v>4.67</v>
      </c>
      <c r="N132" t="s">
        <v>294</v>
      </c>
    </row>
    <row r="133" spans="1:14">
      <c r="A133" s="8" t="str">
        <f>HYPERLINK("http://www.analog.com/zh/op275#details", "OP275")</f>
        <v>OP275</v>
      </c>
      <c r="B133">
        <v>9</v>
      </c>
      <c r="C133">
        <v>44</v>
      </c>
      <c r="D133">
        <v>2.5000000000000001E-3</v>
      </c>
      <c r="E133">
        <v>2</v>
      </c>
      <c r="F133">
        <v>3.4999999999999998E-7</v>
      </c>
      <c r="G133">
        <v>1E-3</v>
      </c>
      <c r="H133">
        <v>1.9999999999999999E-6</v>
      </c>
      <c r="I133">
        <v>9000000</v>
      </c>
      <c r="J133">
        <v>22</v>
      </c>
      <c r="K133" t="s">
        <v>8</v>
      </c>
      <c r="L133">
        <v>6E-9</v>
      </c>
      <c r="M133">
        <v>1.02</v>
      </c>
      <c r="N133" t="s">
        <v>452</v>
      </c>
    </row>
    <row r="134" spans="1:14">
      <c r="A134" s="8" t="str">
        <f>HYPERLINK("http://www.analog.com/zh/op497#details", "OP497")</f>
        <v>OP497</v>
      </c>
      <c r="B134">
        <v>4</v>
      </c>
      <c r="C134">
        <v>40</v>
      </c>
      <c r="D134">
        <v>6.2500000000000001E-4</v>
      </c>
      <c r="E134">
        <v>4</v>
      </c>
      <c r="F134">
        <v>1.5E-10</v>
      </c>
      <c r="G134">
        <v>7.4999999999999993E-5</v>
      </c>
      <c r="H134">
        <v>3.9999999999999998E-7</v>
      </c>
      <c r="I134">
        <v>500000</v>
      </c>
      <c r="J134">
        <v>0.15</v>
      </c>
      <c r="K134">
        <v>2.9999999999999999E-7</v>
      </c>
      <c r="L134">
        <v>1.4999999999999999E-8</v>
      </c>
      <c r="M134">
        <v>4.49</v>
      </c>
      <c r="N134" t="s">
        <v>461</v>
      </c>
    </row>
    <row r="135" spans="1:14">
      <c r="A135" s="8" t="str">
        <f>HYPERLINK("http://www.analog.com/zh/ad745#details", "AD745")</f>
        <v>AD745</v>
      </c>
      <c r="B135">
        <v>9.6</v>
      </c>
      <c r="C135">
        <v>36</v>
      </c>
      <c r="D135">
        <v>0.01</v>
      </c>
      <c r="E135">
        <v>1</v>
      </c>
      <c r="F135">
        <v>2.5000000000000002E-10</v>
      </c>
      <c r="G135">
        <v>5.0000000000000001E-4</v>
      </c>
      <c r="H135">
        <v>1.9999999999999999E-6</v>
      </c>
      <c r="I135">
        <v>20000000</v>
      </c>
      <c r="J135">
        <v>12.5</v>
      </c>
      <c r="K135">
        <v>3.8000000000000001E-7</v>
      </c>
      <c r="L135">
        <v>2.8999999999999999E-9</v>
      </c>
      <c r="M135">
        <v>5.86</v>
      </c>
      <c r="N135" t="s">
        <v>447</v>
      </c>
    </row>
    <row r="136" spans="1:14">
      <c r="A136" s="8" t="str">
        <f>HYPERLINK("http://www.analog.com/zh/ad743#details", "AD743")</f>
        <v>AD743</v>
      </c>
      <c r="B136">
        <v>9.6</v>
      </c>
      <c r="C136">
        <v>36</v>
      </c>
      <c r="D136">
        <v>0.01</v>
      </c>
      <c r="E136">
        <v>1</v>
      </c>
      <c r="F136">
        <v>4.0000000000000001E-10</v>
      </c>
      <c r="G136">
        <v>1E-3</v>
      </c>
      <c r="H136">
        <v>1.9999999999999999E-6</v>
      </c>
      <c r="I136">
        <v>4500000</v>
      </c>
      <c r="J136">
        <v>2.8</v>
      </c>
      <c r="K136">
        <v>3.8000000000000001E-7</v>
      </c>
      <c r="L136">
        <v>2.8999999999999999E-9</v>
      </c>
      <c r="M136">
        <v>6.16</v>
      </c>
      <c r="N136" t="s">
        <v>447</v>
      </c>
    </row>
    <row r="137" spans="1:14">
      <c r="A137" s="8" t="str">
        <f>HYPERLINK("http://www.analog.com/zh/ad706#details", "AD706")</f>
        <v>AD706</v>
      </c>
      <c r="B137">
        <v>4</v>
      </c>
      <c r="C137">
        <v>36</v>
      </c>
      <c r="D137">
        <v>5.9999999999999995E-4</v>
      </c>
      <c r="E137">
        <v>2</v>
      </c>
      <c r="F137">
        <v>2.0000000000000001E-10</v>
      </c>
      <c r="G137">
        <v>1E-4</v>
      </c>
      <c r="H137">
        <v>1.9999999999999999E-7</v>
      </c>
      <c r="I137">
        <v>800000</v>
      </c>
      <c r="J137">
        <v>0.15</v>
      </c>
      <c r="K137">
        <v>4.9999999999999998E-7</v>
      </c>
      <c r="L137">
        <v>1.4999999999999999E-8</v>
      </c>
      <c r="M137">
        <v>2.48</v>
      </c>
      <c r="N137" t="s">
        <v>452</v>
      </c>
    </row>
    <row r="138" spans="1:14">
      <c r="A138" s="8" t="str">
        <f>HYPERLINK("http://www.analog.com/zh/ad704#details", "AD704")</f>
        <v>AD704</v>
      </c>
      <c r="B138">
        <v>4</v>
      </c>
      <c r="C138">
        <v>36</v>
      </c>
      <c r="D138">
        <v>5.9999999999999995E-4</v>
      </c>
      <c r="E138">
        <v>4</v>
      </c>
      <c r="F138">
        <v>2.7E-10</v>
      </c>
      <c r="G138">
        <v>1.4999999999999999E-4</v>
      </c>
      <c r="H138">
        <v>1.9999999999999999E-7</v>
      </c>
      <c r="I138">
        <v>800000</v>
      </c>
      <c r="J138">
        <v>0.15</v>
      </c>
      <c r="K138">
        <v>4.9999999999999998E-7</v>
      </c>
      <c r="L138">
        <v>1.4999999999999999E-8</v>
      </c>
      <c r="M138">
        <v>4.54</v>
      </c>
      <c r="N138" t="s">
        <v>474</v>
      </c>
    </row>
    <row r="139" spans="1:14">
      <c r="A139" s="8" t="str">
        <f>HYPERLINK("http://www.analog.com/zh/op297#details", "OP297")</f>
        <v>OP297</v>
      </c>
      <c r="B139">
        <v>4</v>
      </c>
      <c r="C139">
        <v>40</v>
      </c>
      <c r="D139">
        <v>6.2500000000000001E-4</v>
      </c>
      <c r="E139">
        <v>2</v>
      </c>
      <c r="F139">
        <v>1E-10</v>
      </c>
      <c r="G139">
        <v>5.0000000000000002E-5</v>
      </c>
      <c r="H139">
        <v>1.9999999999999999E-7</v>
      </c>
      <c r="I139">
        <v>500000</v>
      </c>
      <c r="J139">
        <v>0.15</v>
      </c>
      <c r="K139">
        <v>4.9999999999999998E-7</v>
      </c>
      <c r="L139">
        <v>1.7E-8</v>
      </c>
      <c r="M139">
        <v>2.61</v>
      </c>
      <c r="N139" t="s">
        <v>477</v>
      </c>
    </row>
    <row r="140" spans="1:14">
      <c r="A140" s="8" t="str">
        <f>HYPERLINK("http://www.analog.com/zh/ad829#details", "AD829")</f>
        <v>AD829</v>
      </c>
      <c r="B140">
        <v>9</v>
      </c>
      <c r="C140">
        <v>36</v>
      </c>
      <c r="D140">
        <v>5.3E-3</v>
      </c>
      <c r="E140">
        <v>1</v>
      </c>
      <c r="F140">
        <v>6.9999999999999999E-6</v>
      </c>
      <c r="G140">
        <v>1E-3</v>
      </c>
      <c r="H140">
        <v>2.9999999999999999E-7</v>
      </c>
      <c r="I140">
        <v>750000000</v>
      </c>
      <c r="J140">
        <v>230</v>
      </c>
      <c r="K140" t="s">
        <v>8</v>
      </c>
      <c r="L140">
        <v>1.6999999999999999E-9</v>
      </c>
      <c r="M140">
        <v>2.78</v>
      </c>
      <c r="N140" t="s">
        <v>483</v>
      </c>
    </row>
    <row r="141" spans="1:14">
      <c r="A141" s="8" t="str">
        <f>HYPERLINK("http://www.analog.com/zh/op249#details", "OP249")</f>
        <v>OP249</v>
      </c>
      <c r="B141">
        <v>9</v>
      </c>
      <c r="C141">
        <v>36</v>
      </c>
      <c r="D141">
        <v>3.5000000000000001E-3</v>
      </c>
      <c r="E141">
        <v>2</v>
      </c>
      <c r="F141">
        <v>7.5E-11</v>
      </c>
      <c r="G141">
        <v>7.5000000000000002E-4</v>
      </c>
      <c r="H141">
        <v>9.9999999999999995E-7</v>
      </c>
      <c r="I141">
        <v>4700000</v>
      </c>
      <c r="J141">
        <v>22</v>
      </c>
      <c r="K141">
        <v>1.9999999999999999E-6</v>
      </c>
      <c r="L141">
        <v>1.6000000000000001E-8</v>
      </c>
      <c r="M141">
        <v>2.0499999999999998</v>
      </c>
      <c r="N141" t="s">
        <v>487</v>
      </c>
    </row>
    <row r="142" spans="1:14">
      <c r="A142" s="8" t="str">
        <f>HYPERLINK("http://www.analog.com/zh/op177#details", "OP177")</f>
        <v>OP177</v>
      </c>
      <c r="B142">
        <v>6</v>
      </c>
      <c r="C142">
        <v>44</v>
      </c>
      <c r="D142">
        <v>1.6000000000000001E-3</v>
      </c>
      <c r="E142">
        <v>1</v>
      </c>
      <c r="F142">
        <v>2.0000000000000001E-9</v>
      </c>
      <c r="G142">
        <v>2.5000000000000001E-5</v>
      </c>
      <c r="H142">
        <v>9.9999999999999995E-8</v>
      </c>
      <c r="I142">
        <v>600000</v>
      </c>
      <c r="J142">
        <v>0.3</v>
      </c>
      <c r="K142" t="s">
        <v>8</v>
      </c>
      <c r="L142" t="s">
        <v>8</v>
      </c>
      <c r="M142">
        <v>0.83</v>
      </c>
      <c r="N142" t="s">
        <v>452</v>
      </c>
    </row>
    <row r="143" spans="1:14">
      <c r="A143" s="8" t="str">
        <f>HYPERLINK("http://www.analog.com/zh/ad708#details", "AD708")</f>
        <v>AD708</v>
      </c>
      <c r="B143">
        <v>6</v>
      </c>
      <c r="C143">
        <v>36</v>
      </c>
      <c r="D143">
        <v>2.7499999999999998E-3</v>
      </c>
      <c r="E143">
        <v>2</v>
      </c>
      <c r="F143">
        <v>1.0000000000000001E-9</v>
      </c>
      <c r="G143">
        <v>3.0000000000000001E-5</v>
      </c>
      <c r="H143">
        <v>9.9999999999999995E-8</v>
      </c>
      <c r="I143">
        <v>900000</v>
      </c>
      <c r="J143">
        <v>0.3</v>
      </c>
      <c r="K143">
        <v>2.2999999999999999E-7</v>
      </c>
      <c r="L143">
        <v>9.5999999999999999E-9</v>
      </c>
      <c r="M143">
        <v>3.99</v>
      </c>
      <c r="N143" t="s">
        <v>496</v>
      </c>
    </row>
    <row r="144" spans="1:14">
      <c r="A144" s="8" t="str">
        <f>HYPERLINK("http://www.analog.com/zh/op97#details", "OP97")</f>
        <v>OP97</v>
      </c>
      <c r="B144">
        <v>4</v>
      </c>
      <c r="C144">
        <v>40</v>
      </c>
      <c r="D144">
        <v>5.9999999999999995E-4</v>
      </c>
      <c r="E144">
        <v>1</v>
      </c>
      <c r="F144">
        <v>1E-10</v>
      </c>
      <c r="G144">
        <v>2.5000000000000001E-5</v>
      </c>
      <c r="H144">
        <v>2.9999999999999999E-7</v>
      </c>
      <c r="I144">
        <v>900000</v>
      </c>
      <c r="J144">
        <v>0.2</v>
      </c>
      <c r="K144">
        <v>4.9999999999999998E-7</v>
      </c>
      <c r="L144">
        <v>1.4E-8</v>
      </c>
      <c r="M144">
        <v>1.28</v>
      </c>
      <c r="N144" t="s">
        <v>497</v>
      </c>
    </row>
    <row r="145" spans="1:14">
      <c r="A145" s="8" t="str">
        <f>HYPERLINK("http://www.analog.com/zh/op200#details", "OP200")</f>
        <v>OP200</v>
      </c>
      <c r="B145">
        <v>3</v>
      </c>
      <c r="C145">
        <v>36</v>
      </c>
      <c r="D145">
        <v>7.7499999999999997E-4</v>
      </c>
      <c r="E145">
        <v>2</v>
      </c>
      <c r="F145">
        <v>2.0000000000000001E-9</v>
      </c>
      <c r="G145">
        <v>7.4999999999999993E-5</v>
      </c>
      <c r="H145">
        <v>1.9999999999999999E-7</v>
      </c>
      <c r="I145">
        <v>500000</v>
      </c>
      <c r="J145">
        <v>0.15</v>
      </c>
      <c r="K145">
        <v>4.9999999999999998E-7</v>
      </c>
      <c r="L145">
        <v>1.0999999999999999E-8</v>
      </c>
      <c r="M145">
        <v>3.15</v>
      </c>
      <c r="N145" t="s">
        <v>499</v>
      </c>
    </row>
    <row r="146" spans="1:14">
      <c r="A146" s="8" t="str">
        <f>HYPERLINK("http://www.analog.com/zh/op471#details", "OP471")</f>
        <v>OP471</v>
      </c>
      <c r="B146">
        <v>9</v>
      </c>
      <c r="C146">
        <v>36</v>
      </c>
      <c r="D146">
        <v>2.7499999999999998E-3</v>
      </c>
      <c r="E146">
        <v>4</v>
      </c>
      <c r="F146">
        <v>2.4999999999999999E-8</v>
      </c>
      <c r="G146">
        <v>8.0000000000000004E-4</v>
      </c>
      <c r="H146">
        <v>9.9999999999999995E-7</v>
      </c>
      <c r="I146">
        <v>6500000</v>
      </c>
      <c r="J146">
        <v>8</v>
      </c>
      <c r="K146">
        <v>2.4999999999999999E-7</v>
      </c>
      <c r="L146">
        <v>6.5000000000000003E-9</v>
      </c>
      <c r="M146">
        <v>5.53</v>
      </c>
      <c r="N146" t="s">
        <v>502</v>
      </c>
    </row>
    <row r="147" spans="1:14">
      <c r="A147" s="8" t="str">
        <f>HYPERLINK("http://www.analog.com/zh/op270#details", "OP270")</f>
        <v>OP270</v>
      </c>
      <c r="B147">
        <v>9</v>
      </c>
      <c r="C147">
        <v>36</v>
      </c>
      <c r="D147">
        <v>3.2499999999999999E-3</v>
      </c>
      <c r="E147">
        <v>2</v>
      </c>
      <c r="F147">
        <v>2E-8</v>
      </c>
      <c r="G147">
        <v>7.4999999999999993E-5</v>
      </c>
      <c r="H147">
        <v>1.9999999999999999E-7</v>
      </c>
      <c r="I147">
        <v>5000000</v>
      </c>
      <c r="J147">
        <v>2.4</v>
      </c>
      <c r="K147">
        <v>8.0000000000000002E-8</v>
      </c>
      <c r="L147">
        <v>3.2000000000000001E-9</v>
      </c>
      <c r="M147">
        <v>2.86</v>
      </c>
      <c r="N147" t="s">
        <v>507</v>
      </c>
    </row>
    <row r="148" spans="1:14">
      <c r="A148" s="8" t="str">
        <f>HYPERLINK("http://www.analog.com/zh/op470#details", "OP470")</f>
        <v>OP470</v>
      </c>
      <c r="B148">
        <v>9</v>
      </c>
      <c r="C148">
        <v>36</v>
      </c>
      <c r="D148">
        <v>2.7499999999999998E-3</v>
      </c>
      <c r="E148">
        <v>4</v>
      </c>
      <c r="F148">
        <v>2.4999999999999999E-8</v>
      </c>
      <c r="G148">
        <v>4.0000000000000002E-4</v>
      </c>
      <c r="H148">
        <v>3.9999999999999998E-7</v>
      </c>
      <c r="I148">
        <v>6000000</v>
      </c>
      <c r="J148">
        <v>2</v>
      </c>
      <c r="K148">
        <v>8.0000000000000002E-8</v>
      </c>
      <c r="L148">
        <v>3.2000000000000001E-9</v>
      </c>
      <c r="M148">
        <v>4.5199999999999996</v>
      </c>
      <c r="N148" t="s">
        <v>510</v>
      </c>
    </row>
    <row r="149" spans="1:14">
      <c r="A149" s="8" t="str">
        <f>HYPERLINK("http://www.analog.com/zh/op400#details", "OP400")</f>
        <v>OP400</v>
      </c>
      <c r="B149">
        <v>6</v>
      </c>
      <c r="C149">
        <v>40</v>
      </c>
      <c r="D149">
        <v>7.2499999999999995E-4</v>
      </c>
      <c r="E149">
        <v>4</v>
      </c>
      <c r="F149">
        <v>5.0000000000000001E-9</v>
      </c>
      <c r="G149">
        <v>2.2000000000000001E-4</v>
      </c>
      <c r="H149">
        <v>5.9999999999999997E-7</v>
      </c>
      <c r="I149">
        <v>500000</v>
      </c>
      <c r="J149">
        <v>0.15</v>
      </c>
      <c r="K149">
        <v>4.9999999999999998E-7</v>
      </c>
      <c r="L149">
        <v>1.0999999999999999E-8</v>
      </c>
      <c r="M149">
        <v>5.21</v>
      </c>
      <c r="N149" t="s">
        <v>514</v>
      </c>
    </row>
    <row r="150" spans="1:14">
      <c r="A150" s="8" t="str">
        <f>HYPERLINK("http://www.analog.com/zh/op77#details", "OP77")</f>
        <v>OP77</v>
      </c>
      <c r="B150">
        <v>6</v>
      </c>
      <c r="C150">
        <v>44</v>
      </c>
      <c r="D150">
        <v>2E-3</v>
      </c>
      <c r="E150">
        <v>1</v>
      </c>
      <c r="F150">
        <v>2.0000000000000001E-9</v>
      </c>
      <c r="G150">
        <v>2.5000000000000001E-5</v>
      </c>
      <c r="H150">
        <v>9.9999999999999995E-8</v>
      </c>
      <c r="I150">
        <v>600000</v>
      </c>
      <c r="J150">
        <v>0.3</v>
      </c>
      <c r="K150">
        <v>3.4999999999999998E-7</v>
      </c>
      <c r="L150">
        <v>9.5999999999999999E-9</v>
      </c>
      <c r="M150">
        <v>4.01</v>
      </c>
      <c r="N150" t="s">
        <v>516</v>
      </c>
    </row>
    <row r="151" spans="1:14">
      <c r="A151" s="8" t="str">
        <f>HYPERLINK("http://www.analog.com/zh/op27#details", "OP27")</f>
        <v>OP27</v>
      </c>
      <c r="B151">
        <v>8</v>
      </c>
      <c r="C151">
        <v>36</v>
      </c>
      <c r="D151">
        <v>5.7000000000000002E-3</v>
      </c>
      <c r="E151">
        <v>1</v>
      </c>
      <c r="F151">
        <v>4.0000000000000001E-8</v>
      </c>
      <c r="G151">
        <v>2.5000000000000001E-5</v>
      </c>
      <c r="H151">
        <v>1.9999999999999999E-7</v>
      </c>
      <c r="I151">
        <v>8000000</v>
      </c>
      <c r="J151">
        <v>2.8</v>
      </c>
      <c r="K151">
        <v>8.0000000000000002E-8</v>
      </c>
      <c r="L151">
        <v>3E-9</v>
      </c>
      <c r="M151">
        <v>1.21</v>
      </c>
      <c r="N151" t="s">
        <v>520</v>
      </c>
    </row>
    <row r="152" spans="1:14">
      <c r="A152" s="8" t="str">
        <f>HYPERLINK("http://www.analog.com/zh/op07#details", "OP07")</f>
        <v>OP07</v>
      </c>
      <c r="B152">
        <v>6</v>
      </c>
      <c r="C152">
        <v>36</v>
      </c>
      <c r="D152">
        <v>4.0000000000000001E-3</v>
      </c>
      <c r="E152">
        <v>1</v>
      </c>
      <c r="F152">
        <v>4.0000000000000002E-9</v>
      </c>
      <c r="G152">
        <v>7.4999999999999993E-5</v>
      </c>
      <c r="H152">
        <v>2.9999999999999999E-7</v>
      </c>
      <c r="I152">
        <v>600000</v>
      </c>
      <c r="J152">
        <v>0.3</v>
      </c>
      <c r="K152">
        <v>3.4999999999999998E-7</v>
      </c>
      <c r="L152">
        <v>9.5999999999999999E-9</v>
      </c>
      <c r="M152">
        <v>0.66</v>
      </c>
      <c r="N152" t="s">
        <v>452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Web Display</vt:lpstr>
      <vt:lpstr>Raw Data Display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wangdc</cp:lastModifiedBy>
  <dcterms:modified xsi:type="dcterms:W3CDTF">2017-07-26T05:21:38Z</dcterms:modified>
</cp:coreProperties>
</file>