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360" windowWidth="23400" windowHeight="9210" activeTab="2"/>
  </bookViews>
  <sheets>
    <sheet name="Cover" sheetId="1" r:id="rId1"/>
    <sheet name="Web Display" sheetId="2" r:id="rId2"/>
    <sheet name="Raw Data Display" sheetId="3" r:id="rId3"/>
  </sheets>
  <definedNames>
    <definedName name="_xlnm._FilterDatabase" localSheetId="2" hidden="1">'Raw Data Display'!$A$1:$M$295</definedName>
    <definedName name="_xlnm._FilterDatabase" localSheetId="1" hidden="1">'Web Display'!$A$1:$M$295</definedName>
  </definedNames>
  <calcPr calcId="125725"/>
</workbook>
</file>

<file path=xl/calcChain.xml><?xml version="1.0" encoding="utf-8"?>
<calcChain xmlns="http://schemas.openxmlformats.org/spreadsheetml/2006/main">
  <c r="A52" i="3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95" i="2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" i="1"/>
</calcChain>
</file>

<file path=xl/sharedStrings.xml><?xml version="1.0" encoding="utf-8"?>
<sst xmlns="http://schemas.openxmlformats.org/spreadsheetml/2006/main" count="4384" uniqueCount="656">
  <si>
    <t>Date Created</t>
  </si>
  <si>
    <t>7/15/2017 21:49:36</t>
  </si>
  <si>
    <t>Product Type</t>
  </si>
  <si>
    <t>Unipolar D/A Converters</t>
  </si>
  <si>
    <t>Web Link</t>
  </si>
  <si>
    <t>Filter Conditions</t>
  </si>
  <si>
    <t>Column Name</t>
  </si>
  <si>
    <t>Filter Values</t>
  </si>
  <si>
    <t/>
  </si>
  <si>
    <t>Converter Primary Function</t>
  </si>
  <si>
    <t>Precision DAC</t>
  </si>
  <si>
    <t>Output Polarity</t>
  </si>
  <si>
    <t>Unipolar</t>
  </si>
  <si>
    <t>产品型号</t>
  </si>
  <si>
    <t>Resolution</t>
  </si>
  <si>
    <t># of Channels</t>
  </si>
  <si>
    <t>US Price 1000 to 4999</t>
  </si>
  <si>
    <t>Iout FS (max)</t>
  </si>
  <si>
    <t>Interface</t>
  </si>
  <si>
    <t>Vout Range</t>
  </si>
  <si>
    <t>DAC INL (max)</t>
  </si>
  <si>
    <t>Settling Time (typ)</t>
  </si>
  <si>
    <t>Update Rate</t>
  </si>
  <si>
    <t>Power (typ)</t>
  </si>
  <si>
    <t>Package</t>
  </si>
  <si>
    <t>(bits)</t>
  </si>
  <si>
    <t>($ US)</t>
  </si>
  <si>
    <t>(A)</t>
  </si>
  <si>
    <t>(LSBs)</t>
  </si>
  <si>
    <t>(s p-p)</t>
  </si>
  <si>
    <t>(SPS)</t>
  </si>
  <si>
    <t>(W)</t>
  </si>
  <si>
    <t>$31.50</t>
  </si>
  <si>
    <t>SPI</t>
  </si>
  <si>
    <t>-10 to 0 V, -10 to 6 V, -12 to 14 V, -16 to 0 V, -16 to 10 V, -20 to 0V, ±10 V, ±5 V</t>
  </si>
  <si>
    <t>10µ</t>
  </si>
  <si>
    <t>Bipolar, Unipolar</t>
  </si>
  <si>
    <t>40 ld LFCSP (6x6mm w/4.6mm pad) ,49 ball WLCSP (3.96x3.96mm)</t>
  </si>
  <si>
    <t>$2.80</t>
  </si>
  <si>
    <t>MicroWire, SPI</t>
  </si>
  <si>
    <t>-2.5 to 7.5 V, ±10 V, ±3 V, ±5 V, 0 to 10 V, 0 to 16 V, 0 to 20 V, 0 to 5 V</t>
  </si>
  <si>
    <t>9µ</t>
  </si>
  <si>
    <t>67.1m</t>
  </si>
  <si>
    <t>16 ld LFCSP (3x3mm, 1.6mm exposed pad) ,16 ld TSSOP</t>
  </si>
  <si>
    <t>$3.75</t>
  </si>
  <si>
    <t>16 ld TSSOP,16 ld LFCSP (3x3mm, 1.6mm exposed pad)</t>
  </si>
  <si>
    <t>$2.15</t>
  </si>
  <si>
    <t>$7.99</t>
  </si>
  <si>
    <t>-1.6m</t>
  </si>
  <si>
    <t>I²C, Serial</t>
  </si>
  <si>
    <t>5µ</t>
  </si>
  <si>
    <t>300m</t>
  </si>
  <si>
    <t>20 ld TSSOP,20 ld LFCSP 4x4mm (2.6EP)</t>
  </si>
  <si>
    <t>$2.75</t>
  </si>
  <si>
    <t>$8.90</t>
  </si>
  <si>
    <t>Serial, SPI</t>
  </si>
  <si>
    <t>20 ld LFCSP 4x4mm (2.6EP),20 ld TSSOP</t>
  </si>
  <si>
    <t>$5.93</t>
  </si>
  <si>
    <t>$2.74</t>
  </si>
  <si>
    <t>I²C</t>
  </si>
  <si>
    <t>0 to Vref (2x)</t>
  </si>
  <si>
    <t>8 ld LFCSP (2x2, w/1.6 x1.0 ep) ,10 ld MSOP</t>
  </si>
  <si>
    <t>$2.50</t>
  </si>
  <si>
    <t>8 ld LFCSP (2x2, w/1.6 x1.0 ep)</t>
  </si>
  <si>
    <t>$2.00</t>
  </si>
  <si>
    <t>$1.74</t>
  </si>
  <si>
    <t>MicroWire, QSPI, Serial, SPI</t>
  </si>
  <si>
    <t>$2.30</t>
  </si>
  <si>
    <t>$1.90</t>
  </si>
  <si>
    <t>10 ld MSOP,8 ld LFCSP (2x2, w/1.6 x1.0 ep)</t>
  </si>
  <si>
    <t>$1.29</t>
  </si>
  <si>
    <t>I²C, SPI</t>
  </si>
  <si>
    <t>1 mV to Vsupply -1 mV</t>
  </si>
  <si>
    <t>7µ</t>
  </si>
  <si>
    <t>750µ</t>
  </si>
  <si>
    <t>10 ld MSOP</t>
  </si>
  <si>
    <t>0 to Vref, 0 to Vref (2x)</t>
  </si>
  <si>
    <t>400k</t>
  </si>
  <si>
    <t>7.2m</t>
  </si>
  <si>
    <t>$3.73</t>
  </si>
  <si>
    <t>$4.18</t>
  </si>
  <si>
    <t>3.9m</t>
  </si>
  <si>
    <t>$1.96</t>
  </si>
  <si>
    <t>14.8k</t>
  </si>
  <si>
    <t>1.65m</t>
  </si>
  <si>
    <t>143k</t>
  </si>
  <si>
    <t>1.5m</t>
  </si>
  <si>
    <t>$96.00</t>
  </si>
  <si>
    <t>Serial</t>
  </si>
  <si>
    <t>0 to 200 V, 0 to 50 V, 1 to Vsupply Pos -1 V</t>
  </si>
  <si>
    <t>124 Ball  CSPBGA (15mm²)</t>
  </si>
  <si>
    <t>$7.86</t>
  </si>
  <si>
    <t>$4.60</t>
  </si>
  <si>
    <t>MicroWire, Parallel, Serial, SPI</t>
  </si>
  <si>
    <t>$2.88</t>
  </si>
  <si>
    <t>0 to Vref</t>
  </si>
  <si>
    <t>$8.06</t>
  </si>
  <si>
    <t>2.5M</t>
  </si>
  <si>
    <t>$5.76</t>
  </si>
  <si>
    <t>$4.80</t>
  </si>
  <si>
    <t>7.15m</t>
  </si>
  <si>
    <t>1M</t>
  </si>
  <si>
    <t>$67.50</t>
  </si>
  <si>
    <t>±Vref</t>
  </si>
  <si>
    <t>2.5µ</t>
  </si>
  <si>
    <t>24 ld LFCSP (4x5mm w/3.65x2.65mm EP)</t>
  </si>
  <si>
    <t>$19.50</t>
  </si>
  <si>
    <t>$8.95</t>
  </si>
  <si>
    <t>$12.30</t>
  </si>
  <si>
    <t>0 to Vsupply Pos</t>
  </si>
  <si>
    <t>166k</t>
  </si>
  <si>
    <t>13.8m</t>
  </si>
  <si>
    <t>16 ld TSSOP,16 Ball WLCSP(2.605X2.605) ,16 ld LFCSP 4x4</t>
  </si>
  <si>
    <t>$7.95</t>
  </si>
  <si>
    <t>13.9m</t>
  </si>
  <si>
    <t>16 ld LFCSP 4x4 ,16 ld TSSOP,16 Ball WLCSP(2.605X2.605)</t>
  </si>
  <si>
    <t>$6.25</t>
  </si>
  <si>
    <t>3M</t>
  </si>
  <si>
    <t>16 ld TSSOP,10 ld LFCSP (3x3mm),16 ld LFCSP (3x3mm, 1.6mm exposed pad)</t>
  </si>
  <si>
    <t>$3.12</t>
  </si>
  <si>
    <t>16 ld LFCSP (3x3mm, 1.6mm exposed pad)</t>
  </si>
  <si>
    <t>$37.86</t>
  </si>
  <si>
    <t>1000n</t>
  </si>
  <si>
    <t>126.3m</t>
  </si>
  <si>
    <t>20 ld TSSOP</t>
  </si>
  <si>
    <t>$16.42</t>
  </si>
  <si>
    <t>120m</t>
  </si>
  <si>
    <t>0 to Vref -1 LSB</t>
  </si>
  <si>
    <t>0.625m</t>
  </si>
  <si>
    <t>10 ld LFCSP (3x3mm),10 ld MSOP,8 ld LFCSP (3x3mm, 1.6x2.34mm exposed pad</t>
  </si>
  <si>
    <t>$10.22</t>
  </si>
  <si>
    <t>0.5 V to Vsupply -0.5 V</t>
  </si>
  <si>
    <t>45µ</t>
  </si>
  <si>
    <t>16 ld TSSOP</t>
  </si>
  <si>
    <t>$4.72</t>
  </si>
  <si>
    <t>45m</t>
  </si>
  <si>
    <t>$11.99</t>
  </si>
  <si>
    <t>7.5µ</t>
  </si>
  <si>
    <t>500k</t>
  </si>
  <si>
    <t>12.5m</t>
  </si>
  <si>
    <t>$9.22</t>
  </si>
  <si>
    <t>±10 V, ±10.8 V, ±5 V, 0 to 10 V, 0 to 10.8 V, 0 to 5 V</t>
  </si>
  <si>
    <t>100k</t>
  </si>
  <si>
    <t>24 ld TSSOP-EP(EP=3.2mm)</t>
  </si>
  <si>
    <t>$13.34</t>
  </si>
  <si>
    <t>310m</t>
  </si>
  <si>
    <t>1.07M</t>
  </si>
  <si>
    <t>190m</t>
  </si>
  <si>
    <t>$11.28</t>
  </si>
  <si>
    <t>$7.73</t>
  </si>
  <si>
    <t>$5.67</t>
  </si>
  <si>
    <t>$0.77</t>
  </si>
  <si>
    <t>250µ</t>
  </si>
  <si>
    <t>20k</t>
  </si>
  <si>
    <t>5m</t>
  </si>
  <si>
    <t>9 ball WLCSP</t>
  </si>
  <si>
    <t>$7.16</t>
  </si>
  <si>
    <t>$24.31</t>
  </si>
  <si>
    <t>±14.7368 V</t>
  </si>
  <si>
    <t>387m</t>
  </si>
  <si>
    <t>32 ld TQFP (7x7x1.0mm)</t>
  </si>
  <si>
    <t>$3.61</t>
  </si>
  <si>
    <t>±12 V</t>
  </si>
  <si>
    <t>$0.40</t>
  </si>
  <si>
    <t>31k</t>
  </si>
  <si>
    <t>9 ball WLCSP,8 ld LFCSP (3x3mm),CHIPS OR DIE</t>
  </si>
  <si>
    <t>$8.82</t>
  </si>
  <si>
    <t>5.8µ</t>
  </si>
  <si>
    <t>1.5M</t>
  </si>
  <si>
    <t>11m</t>
  </si>
  <si>
    <t>14 ld TSSOP</t>
  </si>
  <si>
    <t>$7.24</t>
  </si>
  <si>
    <t>$4.53</t>
  </si>
  <si>
    <t>$10.35</t>
  </si>
  <si>
    <t>$8.50</t>
  </si>
  <si>
    <t>$6.13</t>
  </si>
  <si>
    <t>$14.11</t>
  </si>
  <si>
    <t>125k</t>
  </si>
  <si>
    <t>330µ</t>
  </si>
  <si>
    <t>16 ld TSSOP,14 ld TSSOP</t>
  </si>
  <si>
    <t>$11.59</t>
  </si>
  <si>
    <t>20m</t>
  </si>
  <si>
    <t>$5.25</t>
  </si>
  <si>
    <t>$1.66</t>
  </si>
  <si>
    <t>0 to 4.095 V</t>
  </si>
  <si>
    <t>2M</t>
  </si>
  <si>
    <t>8 ld LFCSP (3x3mm),8 ld MSOP</t>
  </si>
  <si>
    <t>$2.58</t>
  </si>
  <si>
    <t>1m</t>
  </si>
  <si>
    <t>5M</t>
  </si>
  <si>
    <t>5.5µ</t>
  </si>
  <si>
    <t>8 ld MSOP,8 ld LFCSP (3x3mm)</t>
  </si>
  <si>
    <t>Parallel</t>
  </si>
  <si>
    <t>270m</t>
  </si>
  <si>
    <t>28 ld SSOP</t>
  </si>
  <si>
    <t>$11.73</t>
  </si>
  <si>
    <t>111k</t>
  </si>
  <si>
    <t>240m</t>
  </si>
  <si>
    <t>20 ld SSOP,16 ld SSOP,16 ld SOIC - Wide</t>
  </si>
  <si>
    <t>$8.57</t>
  </si>
  <si>
    <t>3µ</t>
  </si>
  <si>
    <t>11.8m</t>
  </si>
  <si>
    <t>14 ld TSSOP,12 ball WLCSP (1.665x2.245),10 ld LFCSP (3x3mm)</t>
  </si>
  <si>
    <t>$8.14</t>
  </si>
  <si>
    <t>6.38m</t>
  </si>
  <si>
    <t>14 ld TSSOP,10 ld LFCSP (3x3mm)</t>
  </si>
  <si>
    <t>$6.12</t>
  </si>
  <si>
    <t>333k</t>
  </si>
  <si>
    <t>$4.69</t>
  </si>
  <si>
    <t>10 ld LFCSP (3x3mm),14 ld TSSOP</t>
  </si>
  <si>
    <t>$4.84</t>
  </si>
  <si>
    <t>6.4m</t>
  </si>
  <si>
    <t>CHIPS OR DIE</t>
  </si>
  <si>
    <t>$4.32</t>
  </si>
  <si>
    <t>4µ</t>
  </si>
  <si>
    <t>250k</t>
  </si>
  <si>
    <t>5.75m</t>
  </si>
  <si>
    <t>10 ld MSOP,10 ld LFCSP (3x3mm)</t>
  </si>
  <si>
    <t>$4.12</t>
  </si>
  <si>
    <t>$2.95</t>
  </si>
  <si>
    <t>3.5µ</t>
  </si>
  <si>
    <t>285k</t>
  </si>
  <si>
    <t>10 ld LFCSP (3x3mm),10 ld MSOP</t>
  </si>
  <si>
    <t>$2.76</t>
  </si>
  <si>
    <t>$2.45</t>
  </si>
  <si>
    <t>$3.43</t>
  </si>
  <si>
    <t>80µ</t>
  </si>
  <si>
    <t>12.5k</t>
  </si>
  <si>
    <t>2.25m</t>
  </si>
  <si>
    <t>8 ld SOT-23,8 ld LFCSP (3x3x.75mm)</t>
  </si>
  <si>
    <t>$6.17</t>
  </si>
  <si>
    <t>223k</t>
  </si>
  <si>
    <t>4.5m</t>
  </si>
  <si>
    <t>$4.22</t>
  </si>
  <si>
    <t>287k</t>
  </si>
  <si>
    <t>$2.20</t>
  </si>
  <si>
    <t>2.5m</t>
  </si>
  <si>
    <t>$3.45</t>
  </si>
  <si>
    <t>220k</t>
  </si>
  <si>
    <t>$4.40</t>
  </si>
  <si>
    <t>6.6m</t>
  </si>
  <si>
    <t>$4.68</t>
  </si>
  <si>
    <t>2.7M</t>
  </si>
  <si>
    <t>2.2µ</t>
  </si>
  <si>
    <t>8 ld TSOT,8 ld MSOP,8 ld LFCSP (3x3mm 1.74x2.38 EP)</t>
  </si>
  <si>
    <t>$4.73</t>
  </si>
  <si>
    <t>$10.29</t>
  </si>
  <si>
    <t>6µ</t>
  </si>
  <si>
    <t>95k</t>
  </si>
  <si>
    <t>$10.63</t>
  </si>
  <si>
    <t>2.15m</t>
  </si>
  <si>
    <t>16 ld LFCSP 4x4 ,16 Ball WLCSP(2.605X2.605) ,16 ld TSSOP</t>
  </si>
  <si>
    <t>$7.74</t>
  </si>
  <si>
    <t>$9.39</t>
  </si>
  <si>
    <t>14 ld TSSOP,16 ld TSSOP</t>
  </si>
  <si>
    <t>$7.83</t>
  </si>
  <si>
    <t>16 ld TSSOP,16 ld LFCSP 4x4 ,14 ld TSSOP,16 Ball WLCSP(2.605X2.605)</t>
  </si>
  <si>
    <t>$5.51</t>
  </si>
  <si>
    <t>8 ld SOT-23</t>
  </si>
  <si>
    <t>$6.20</t>
  </si>
  <si>
    <t>8µ</t>
  </si>
  <si>
    <t>8 ld SOT-23,8 ld MSOP</t>
  </si>
  <si>
    <t>$2.71</t>
  </si>
  <si>
    <t>8 ld SOT-23,8 ld LFCSP (3x3x.75mm),8 ld MSOP</t>
  </si>
  <si>
    <t>$1.52</t>
  </si>
  <si>
    <t>1.7M</t>
  </si>
  <si>
    <t>500µ</t>
  </si>
  <si>
    <t>6 ld SC70,6 ld LFCSP (3x2 w/1.6x1.4ep)</t>
  </si>
  <si>
    <t>$1.87</t>
  </si>
  <si>
    <t>8 ld LFCSP (3x3x.75mm),8 ld SOT-23,8 ld MSOP</t>
  </si>
  <si>
    <t>$1.17</t>
  </si>
  <si>
    <t>$0.95</t>
  </si>
  <si>
    <t>$5.23</t>
  </si>
  <si>
    <t>1.3M</t>
  </si>
  <si>
    <t>3.5m</t>
  </si>
  <si>
    <t>$3.49</t>
  </si>
  <si>
    <t>2.5 to Vsupply High Voltage -10 V</t>
  </si>
  <si>
    <t>1.2M</t>
  </si>
  <si>
    <t>787m</t>
  </si>
  <si>
    <t>$6.02</t>
  </si>
  <si>
    <t>$2.68</t>
  </si>
  <si>
    <t>1.25m</t>
  </si>
  <si>
    <t>$1.78</t>
  </si>
  <si>
    <t>550µ</t>
  </si>
  <si>
    <t>$0.92</t>
  </si>
  <si>
    <t>$0.63</t>
  </si>
  <si>
    <t>6 ld LFCSP (3x2 w/1.6x1.4ep),6 ld SC70,SC-70</t>
  </si>
  <si>
    <t>$0.53</t>
  </si>
  <si>
    <t>$2.61</t>
  </si>
  <si>
    <t>8 ld MSOP,8 ld TSOT</t>
  </si>
  <si>
    <t>$2.40</t>
  </si>
  <si>
    <t>8 ld TSOT</t>
  </si>
  <si>
    <t>$1.46</t>
  </si>
  <si>
    <t>$1.58</t>
  </si>
  <si>
    <t>8 ld LFCSP (3x3mm)</t>
  </si>
  <si>
    <t>21.3M</t>
  </si>
  <si>
    <t>2.75µ</t>
  </si>
  <si>
    <t>24 ld TSSOP</t>
  </si>
  <si>
    <t>$3.62</t>
  </si>
  <si>
    <t>$34.57</t>
  </si>
  <si>
    <t>80m</t>
  </si>
  <si>
    <t>100 ball CSPBGA (10x10x1.35)</t>
  </si>
  <si>
    <t>$3.83</t>
  </si>
  <si>
    <t>2.47M</t>
  </si>
  <si>
    <t>$3.55</t>
  </si>
  <si>
    <t>$4.75</t>
  </si>
  <si>
    <t>MicroWire, QSPI, Serial</t>
  </si>
  <si>
    <t>$4.81</t>
  </si>
  <si>
    <t>40 ld LFCSP (6x6mm w/4.10mm pad)</t>
  </si>
  <si>
    <t>$54.04</t>
  </si>
  <si>
    <t>Parallel, Serial</t>
  </si>
  <si>
    <t>65m</t>
  </si>
  <si>
    <t>100 ld LQFP</t>
  </si>
  <si>
    <t>$12.29</t>
  </si>
  <si>
    <t>2m</t>
  </si>
  <si>
    <t>500n</t>
  </si>
  <si>
    <t>55µ</t>
  </si>
  <si>
    <t>38 ld TSSOP</t>
  </si>
  <si>
    <t>$10.93</t>
  </si>
  <si>
    <t>$18.95</t>
  </si>
  <si>
    <t>I²C, Serial, SPI</t>
  </si>
  <si>
    <t>64 ld LFCSP (9x9mm, 7.10 exposed pad),52 ld LQFP (10x10mm)</t>
  </si>
  <si>
    <t>$20.74</t>
  </si>
  <si>
    <t>167k</t>
  </si>
  <si>
    <t>35m</t>
  </si>
  <si>
    <t>$24.92</t>
  </si>
  <si>
    <t>52 ld LQFP (10x10mm),64 ld LFCSP (9x9mm, 7.10 exposed pad)</t>
  </si>
  <si>
    <t>$35.96</t>
  </si>
  <si>
    <t>I²C, MicroWire, Parallel, QSPI, Serial, SPI</t>
  </si>
  <si>
    <t>39m</t>
  </si>
  <si>
    <t>$41.17</t>
  </si>
  <si>
    <t>$62.94</t>
  </si>
  <si>
    <t>MicroWire, Parallel, QSPI, Serial, SPI</t>
  </si>
  <si>
    <t>48m</t>
  </si>
  <si>
    <t>$6.86</t>
  </si>
  <si>
    <t>28 ld TSSOP (4.4mm)</t>
  </si>
  <si>
    <t>$10.56</t>
  </si>
  <si>
    <t>$2.93</t>
  </si>
  <si>
    <t>27.5µ</t>
  </si>
  <si>
    <t>25µ</t>
  </si>
  <si>
    <t>$3.24</t>
  </si>
  <si>
    <t>20.4M</t>
  </si>
  <si>
    <t>20 ld TSSOP,20 ld LFCSP 4x4mm (2.1EP)</t>
  </si>
  <si>
    <t>$3.08</t>
  </si>
  <si>
    <t>$1.91</t>
  </si>
  <si>
    <t>16 ld TSSOP,20 ld LFCSP 4x4mm (2.1EP)</t>
  </si>
  <si>
    <t>$10.26</t>
  </si>
  <si>
    <t>5.5m</t>
  </si>
  <si>
    <t>38 ld TSSOP,40 ld LFCSP (6x6mm w/4.10mm pad)</t>
  </si>
  <si>
    <t>$5.16</t>
  </si>
  <si>
    <t>40 ld LFCSP (6x6mm w/4.10mm pad),38 ld TSSOP</t>
  </si>
  <si>
    <t>$4.07</t>
  </si>
  <si>
    <t>8 ld MSOP</t>
  </si>
  <si>
    <t>$1.98</t>
  </si>
  <si>
    <t>$1.41</t>
  </si>
  <si>
    <t>$7.60</t>
  </si>
  <si>
    <t>$10.53</t>
  </si>
  <si>
    <t>$5.54</t>
  </si>
  <si>
    <t>$8.53</t>
  </si>
  <si>
    <t>8 ld MSOP,8 ld SOIC</t>
  </si>
  <si>
    <t>$6.48</t>
  </si>
  <si>
    <t>Vsupply Neg to Vsupply</t>
  </si>
  <si>
    <t>200k</t>
  </si>
  <si>
    <t>52.5m</t>
  </si>
  <si>
    <t>48 ld Wide TSSOP</t>
  </si>
  <si>
    <t>$10.55</t>
  </si>
  <si>
    <t>$2.59</t>
  </si>
  <si>
    <t>$27.99</t>
  </si>
  <si>
    <t>±10 V</t>
  </si>
  <si>
    <t>750k</t>
  </si>
  <si>
    <t>105m</t>
  </si>
  <si>
    <t>74 ball CSPBGA</t>
  </si>
  <si>
    <t>$85.24</t>
  </si>
  <si>
    <t>Vsupply Neg +2 V to Vsupply Pos -2 V</t>
  </si>
  <si>
    <t>45k</t>
  </si>
  <si>
    <t>280m</t>
  </si>
  <si>
    <t>$77.50</t>
  </si>
  <si>
    <t>1.1M</t>
  </si>
  <si>
    <t>341m</t>
  </si>
  <si>
    <t>$5.18</t>
  </si>
  <si>
    <t>27m</t>
  </si>
  <si>
    <t>16 ld SOIC - Wide,16 ld TSSOP</t>
  </si>
  <si>
    <t>$10.14</t>
  </si>
  <si>
    <t>$6.33</t>
  </si>
  <si>
    <t>2.75m</t>
  </si>
  <si>
    <t>$5.52</t>
  </si>
  <si>
    <t>$2.83</t>
  </si>
  <si>
    <t>$2.86</t>
  </si>
  <si>
    <t>$2.63</t>
  </si>
  <si>
    <t>$8.48</t>
  </si>
  <si>
    <t>100µ</t>
  </si>
  <si>
    <t>6.05m</t>
  </si>
  <si>
    <t>14 ld SOIC</t>
  </si>
  <si>
    <t>±Vref, 0 to Vref -1 LSB</t>
  </si>
  <si>
    <t>8 ld SOIC</t>
  </si>
  <si>
    <t>$52.07</t>
  </si>
  <si>
    <t>$4.70</t>
  </si>
  <si>
    <t>Byte</t>
  </si>
  <si>
    <t>3.3m</t>
  </si>
  <si>
    <t>$16.03</t>
  </si>
  <si>
    <t>900n</t>
  </si>
  <si>
    <t>$21.23</t>
  </si>
  <si>
    <t>28 ld SSOP,32 ld LFCSP (5x5x.85mm) w/3.5exposed pad</t>
  </si>
  <si>
    <t>$9.70</t>
  </si>
  <si>
    <t>$5.74</t>
  </si>
  <si>
    <t>$6.10</t>
  </si>
  <si>
    <t>$3.67</t>
  </si>
  <si>
    <t>200n</t>
  </si>
  <si>
    <t>$3.97</t>
  </si>
  <si>
    <t>$5.09</t>
  </si>
  <si>
    <t>$4.09</t>
  </si>
  <si>
    <t>770µ</t>
  </si>
  <si>
    <t>$2.03</t>
  </si>
  <si>
    <t>$3.23</t>
  </si>
  <si>
    <t>$2.32</t>
  </si>
  <si>
    <t>$1.93</t>
  </si>
  <si>
    <t>$10.71</t>
  </si>
  <si>
    <t>$9.15</t>
  </si>
  <si>
    <t>$3.29</t>
  </si>
  <si>
    <t>8 ld MSOP,6 ld SOT-23</t>
  </si>
  <si>
    <t>$2.53</t>
  </si>
  <si>
    <t>$1.83</t>
  </si>
  <si>
    <t>$4.10</t>
  </si>
  <si>
    <t>$1.39</t>
  </si>
  <si>
    <t>0.9m</t>
  </si>
  <si>
    <t>4M</t>
  </si>
  <si>
    <t>50µ</t>
  </si>
  <si>
    <t>8 ld PDIP,8 ld SOIC,8 ld TSSOP</t>
  </si>
  <si>
    <t>$3.89</t>
  </si>
  <si>
    <t>3m</t>
  </si>
  <si>
    <t>17k</t>
  </si>
  <si>
    <t>24 ld SOIC - Wide,24 ld TSSOP</t>
  </si>
  <si>
    <t>$6.62</t>
  </si>
  <si>
    <t>24 ld SOIC - Wide</t>
  </si>
  <si>
    <t>$8.73</t>
  </si>
  <si>
    <t>225m</t>
  </si>
  <si>
    <t>52 ld MQFP (13.90mm width)</t>
  </si>
  <si>
    <t>60m</t>
  </si>
  <si>
    <t>20 ld TSSOP,20 ld SOIC - Wide</t>
  </si>
  <si>
    <t>16 ld TSSOP,16 ld SOIC - Wide,16 ld PDIP</t>
  </si>
  <si>
    <t>$2.78</t>
  </si>
  <si>
    <t>$2.21</t>
  </si>
  <si>
    <t>6 ld SOT-23,8 ld MSOP</t>
  </si>
  <si>
    <t>$1.40</t>
  </si>
  <si>
    <t>700µ</t>
  </si>
  <si>
    <t>$2.44</t>
  </si>
  <si>
    <t>833k</t>
  </si>
  <si>
    <t>12.9m</t>
  </si>
  <si>
    <t>$5.63</t>
  </si>
  <si>
    <t>300µ</t>
  </si>
  <si>
    <t>20 ld SOIC - Wide</t>
  </si>
  <si>
    <t>$3.64</t>
  </si>
  <si>
    <t>QSPI, Serial, SPI</t>
  </si>
  <si>
    <t>8 ld SOIC,8 ld TSSOP</t>
  </si>
  <si>
    <t>$5.30</t>
  </si>
  <si>
    <t>8 ld PDIP,8 ld SOIC</t>
  </si>
  <si>
    <t>$2.60</t>
  </si>
  <si>
    <t>24.8m</t>
  </si>
  <si>
    <t>20 ld TSSOP,20 ld PDIP,20 ld SOIC - Wide</t>
  </si>
  <si>
    <t>$3.06</t>
  </si>
  <si>
    <t>LVDS, QSPI, Serial, SPI</t>
  </si>
  <si>
    <t>6.93m</t>
  </si>
  <si>
    <t>8 ld MSOP,8 ld SOIC,8 ld PDIP</t>
  </si>
  <si>
    <t>$33.41</t>
  </si>
  <si>
    <t>62.5k</t>
  </si>
  <si>
    <t>460m</t>
  </si>
  <si>
    <t>44 ld MQFP (13.90mm wide)</t>
  </si>
  <si>
    <t>$13.19</t>
  </si>
  <si>
    <t>Vbias +/- (15/16)xVbias, Vbias/16 to (31/16)xVbias</t>
  </si>
  <si>
    <t>667k</t>
  </si>
  <si>
    <t>99m</t>
  </si>
  <si>
    <t>44 ld TQFP (10x10mm)</t>
  </si>
  <si>
    <t>$11.40</t>
  </si>
  <si>
    <t>$33.42</t>
  </si>
  <si>
    <t>800µ</t>
  </si>
  <si>
    <t>Byte, Parallel</t>
  </si>
  <si>
    <t>±8.192 V</t>
  </si>
  <si>
    <t>465m</t>
  </si>
  <si>
    <t>44 ld MQFP (13.90mm wide),44 ld PLCC</t>
  </si>
  <si>
    <t>$9.34</t>
  </si>
  <si>
    <t>66m</t>
  </si>
  <si>
    <t>28 ld SSOP,28 ld SOIC - Wide, 28 ld PDIP (600mil)</t>
  </si>
  <si>
    <t>$9.63</t>
  </si>
  <si>
    <t>16 ld SOIC - Wide,16 ld PDIP</t>
  </si>
  <si>
    <t>$4.42</t>
  </si>
  <si>
    <t>20 ld PDIP,24 ld SOIC - Wide,20 ld TSSOP,20 ld SOIC - Wide</t>
  </si>
  <si>
    <t>16 ld SOIC</t>
  </si>
  <si>
    <t>$3.85</t>
  </si>
  <si>
    <t>$82.78</t>
  </si>
  <si>
    <t>Byte, Serial</t>
  </si>
  <si>
    <t>725m</t>
  </si>
  <si>
    <t>CERDIP GLASS SEAL</t>
  </si>
  <si>
    <t>$6.39</t>
  </si>
  <si>
    <t>71k</t>
  </si>
  <si>
    <t>8.5m</t>
  </si>
  <si>
    <t>$13.24</t>
  </si>
  <si>
    <t>1.1m</t>
  </si>
  <si>
    <t>1.8M</t>
  </si>
  <si>
    <t>28 ld SOIC - Wide,28 ld SSOP, 28 ld PDIP (600mil)</t>
  </si>
  <si>
    <t>350m</t>
  </si>
  <si>
    <t>$11.98</t>
  </si>
  <si>
    <t>25m</t>
  </si>
  <si>
    <t>14 ld PDIP,14 ld SOIC</t>
  </si>
  <si>
    <t>$5.15</t>
  </si>
  <si>
    <t>20 ld PDIP,20 ld SOIC - Wide,20 ld SSOP</t>
  </si>
  <si>
    <t>20 ld SSOP,20 ld PDIP,20 ld SOIC - Wide</t>
  </si>
  <si>
    <t>20 ld SSOP,16 ld PDIP,16 ld SOIC - Wide</t>
  </si>
  <si>
    <t>$14.56</t>
  </si>
  <si>
    <t>24 ld PDIP,24 ld SOIC - Wide</t>
  </si>
  <si>
    <t>$33.94</t>
  </si>
  <si>
    <t>255m</t>
  </si>
  <si>
    <t>16 ld SOIC - Wide,16 ld PDIP,16 ld CerDIP</t>
  </si>
  <si>
    <t>$19.48</t>
  </si>
  <si>
    <t>625m</t>
  </si>
  <si>
    <t>24 ld PDIP,24 ld CerDIP(300 Mil),CERDIP GLASS SEAL,24 ld SOIC - Wide</t>
  </si>
  <si>
    <t>$13.74</t>
  </si>
  <si>
    <t>±5 V, 0 to 10 V</t>
  </si>
  <si>
    <t>$10.90</t>
  </si>
  <si>
    <t>7m</t>
  </si>
  <si>
    <t>30m</t>
  </si>
  <si>
    <t>20 ld PDIP,20 ld SOIC - Wide,20 ld TSSOP</t>
  </si>
  <si>
    <t>$6.08</t>
  </si>
  <si>
    <t>8 ld PDIP,SOIC 150 MIL,8 ld SOIC</t>
  </si>
  <si>
    <t>10m</t>
  </si>
  <si>
    <t>$17.50</t>
  </si>
  <si>
    <t>28 ld SOIC - Wide, 28 ld PDIP (600mil),CERDIP GLASS SEAL</t>
  </si>
  <si>
    <t>$25.61</t>
  </si>
  <si>
    <t>1.4m</t>
  </si>
  <si>
    <t>17.5m</t>
  </si>
  <si>
    <t>44 ld PLCC,44 ld MQFP (13.90mm wide)</t>
  </si>
  <si>
    <t>$32.86</t>
  </si>
  <si>
    <t>330m</t>
  </si>
  <si>
    <t>28 ld CerDIP,28 ld LCC, 28 ld PDIP (600mil),PLCC:PLASTIC LEAD CHIP CAR,CERDIP GLASS SEAL</t>
  </si>
  <si>
    <t>28 ld CerDIP,PLCC:PLASTIC LEAD CHIP CAR, 28 ld PDIP (600mil),28 ld LCC,CERDIP GLASS SEAL</t>
  </si>
  <si>
    <t>$32.29</t>
  </si>
  <si>
    <t>195m</t>
  </si>
  <si>
    <t>28 ld SOIC - Wide,24 ld CerDIP(300 Mil),CERDIP GLASS SEAL,24 ld PDIP</t>
  </si>
  <si>
    <t>$22.43</t>
  </si>
  <si>
    <t>210m</t>
  </si>
  <si>
    <t>20 ld PDIP,20 ld SOIC - Wide,20 ld CerDIP</t>
  </si>
  <si>
    <t>$17.03</t>
  </si>
  <si>
    <t>24 ld PDIP,24 ld SOIC - Wide,24 ld CerDIP(300 Mil)</t>
  </si>
  <si>
    <t>24 ld SOIC - Wide,24 ld PDIP,CERDIP GLASS SEAL,CHIPS OR DIE</t>
  </si>
  <si>
    <t>24 ld SOIC - Wide,24 ld CerDIP(300 Mil),24 ld PDIP,CERDIP GLASS SEAL</t>
  </si>
  <si>
    <t>$6.85</t>
  </si>
  <si>
    <t>84m</t>
  </si>
  <si>
    <t>24 ld SOIC - Wide,20 ld SOIC - Wide,20 ld PDIP</t>
  </si>
  <si>
    <t>$6.92</t>
  </si>
  <si>
    <t>2.63M</t>
  </si>
  <si>
    <t>16 ld PDIP,16 ld SOIC - Wide</t>
  </si>
  <si>
    <t>$6.24</t>
  </si>
  <si>
    <t>97m</t>
  </si>
  <si>
    <t>$10.74</t>
  </si>
  <si>
    <t>366k</t>
  </si>
  <si>
    <t>8 ld PDIP</t>
  </si>
  <si>
    <t>$22.78</t>
  </si>
  <si>
    <t>2.27m</t>
  </si>
  <si>
    <t>2.22M</t>
  </si>
  <si>
    <t>24 ld CerDIP(300 Mil),24 ld PDIP,24 ld SOIC - Wide</t>
  </si>
  <si>
    <t>$11.17</t>
  </si>
  <si>
    <t>20 ld SOIC - Wide,20 ld PDIP,20 ld PLCC,20 ld CerDIP</t>
  </si>
  <si>
    <t>$22.12</t>
  </si>
  <si>
    <t>$24.63</t>
  </si>
  <si>
    <t>$68.39</t>
  </si>
  <si>
    <t>Byte, Nibble, Parallel</t>
  </si>
  <si>
    <t>525m</t>
  </si>
  <si>
    <t>28 ld Side-Brazed CerDIP,LCC:CER LEADLESS CHIP CARR, 28 ld PDIP (600mil),44 ld PLCC,44 LD JLCC</t>
  </si>
  <si>
    <t>$32.07</t>
  </si>
  <si>
    <t>24 ld CerDIP(300 Mil),28 ld PLCC,28 ld LCC,24 ld PDIP,PLCC:PLASTIC LEAD CHIP CAR,24 ld SOIC - Wide</t>
  </si>
  <si>
    <t>$5.73</t>
  </si>
  <si>
    <t>0 to 2.56 V</t>
  </si>
  <si>
    <t>1.25M</t>
  </si>
  <si>
    <t>125m</t>
  </si>
  <si>
    <t>16 ld PDIP,20 ld PLCC</t>
  </si>
  <si>
    <t>$12.64</t>
  </si>
  <si>
    <t>1.667m</t>
  </si>
  <si>
    <t>24 ld SOIC - Wide,24 ld PDIP</t>
  </si>
  <si>
    <t>$10.16</t>
  </si>
  <si>
    <t>PLCC:PLASTIC LEAD CHIP CAR,24 ld SOIC - Wide,24 ld CerDIP(300 Mil),24 ld PDIP</t>
  </si>
  <si>
    <t>2.9M</t>
  </si>
  <si>
    <t>37.5m</t>
  </si>
  <si>
    <t>20 ld PDIP,PLCC:PLASTIC LEAD CHIP CAR,20 ld SOIC - Wide,20 ld PLCC</t>
  </si>
  <si>
    <t>$15.86</t>
  </si>
  <si>
    <t>0.7m</t>
  </si>
  <si>
    <t>LCC:CER LEADLESS CHIP CARR,CHIPS OR DIE,24 ld SOIC - Wide,24 ld PDIP,PLCC:PLASTIC LEAD CHIP CAR</t>
  </si>
  <si>
    <t>$11.21</t>
  </si>
  <si>
    <t>5.26M</t>
  </si>
  <si>
    <t>28 ld SOIC - Wide, 28 ld PDIP (600mil),28 ld CerDIP,PLCC:PLASTIC LEAD CHIP CAR</t>
  </si>
  <si>
    <t>$25.24</t>
  </si>
  <si>
    <t>Nibble</t>
  </si>
  <si>
    <t>75m</t>
  </si>
  <si>
    <t>CERDIP GLASS SEAL,20 ld PDIP,20 ld PLCC</t>
  </si>
  <si>
    <t>1.67m</t>
  </si>
  <si>
    <t>$12.81</t>
  </si>
  <si>
    <t>±10 V, ±5 V, 0 to 2.5 V</t>
  </si>
  <si>
    <t>555m</t>
  </si>
  <si>
    <t>S/B OR B/B CERAMIC DIP,28 ld Side-Brazed CerDIP,PLCC:PLASTIC LEAD CHIP CAR, 28 ld PDIP (600mil),LCC:CER LEADLESS CHIP CARR,CHIPS OR DIE</t>
  </si>
  <si>
    <t>$23.53</t>
  </si>
  <si>
    <t>20 ld PDIP</t>
  </si>
  <si>
    <t>$5.89</t>
  </si>
  <si>
    <t>18 ld CerDip,18 ld PDIP,20 ld PLCC,18 ld SOIC - Wide,LCC:CER LEADLESS CHIP CARR,20 ld SOIC - Wide</t>
  </si>
  <si>
    <t>$11.70</t>
  </si>
  <si>
    <t>CERDIP GLASS SEAL,20 ld PLCC,20 ld SOIC - Wide,20 ld PDIP,24 ld SOIC - Wide</t>
  </si>
  <si>
    <t>$38.15</t>
  </si>
  <si>
    <t>S/B OR B/B CERAMIC DIP</t>
  </si>
  <si>
    <t>5.6M</t>
  </si>
  <si>
    <t>LCC:CER LEADLESS CHIP CARR,CERDIP GLASS SEAL,20 ld PLCC,PLCC:PLASTIC LEAD CHIP CAR,20 ld SOIC - Wide,20 ld PDIP</t>
  </si>
  <si>
    <t>222k</t>
  </si>
  <si>
    <t>16 ld SOIC - Wide</t>
  </si>
  <si>
    <t>$4.77</t>
  </si>
  <si>
    <t>4.031m</t>
  </si>
  <si>
    <t>267m</t>
  </si>
  <si>
    <t>20 ld PDIP,20 ld CerDIP,20 ld SOIC - Wide</t>
  </si>
  <si>
    <t>$3.80</t>
  </si>
  <si>
    <t>4m</t>
  </si>
  <si>
    <t>231m</t>
  </si>
  <si>
    <t>18 ld SOIC - Wide,18 ld CerDip,18 ld PDIP</t>
  </si>
  <si>
    <t>$14.34</t>
  </si>
  <si>
    <t>CERDIP GLASS SEAL,16 ld PDIP,20 ld PLCC,16 ld SOIC - Wide,CHIPS OR DIE</t>
  </si>
  <si>
    <t>$8.99</t>
  </si>
  <si>
    <t>0 to 10 V</t>
  </si>
  <si>
    <t>375m</t>
  </si>
  <si>
    <t>LCC:CER LEADLESS CHIP CARR,16 ld Side-Brazed CerDip,16 ld PDIP,20 ld PLCC,20 ld LCC,CHIPS OR DIE</t>
  </si>
  <si>
    <t>16 ld PDIP,20 ld PLCC,16 ld SOIC - Wide,16 ld CerDIP,LCC:CER LEADLESS CHIP CARR</t>
  </si>
  <si>
    <t>$4.31</t>
  </si>
  <si>
    <t>20 ld LCC,16 ld CerDIP,20 ld PLCC,CERDIP GLASS SEAL,16 ld SOIC,PLCC:PLASTIC LEAD CHIP CAR,16 ld PDIP</t>
  </si>
  <si>
    <t>$1.22</t>
  </si>
  <si>
    <t>11.8M</t>
  </si>
  <si>
    <t>33m</t>
  </si>
  <si>
    <t>16 ld PDIP,20 ld LCC,16 ld CerDIP,16 ld SOIC</t>
  </si>
  <si>
    <t>-10 to 0 V,-10 to 6 V,-12 to 14 V,-16 to 0 V,-16 to 10 V,-20 to 0V,±10 V,±5 V</t>
  </si>
  <si>
    <t>Bipolar,Unipolar</t>
  </si>
  <si>
    <t>MicroWire,SPI</t>
  </si>
  <si>
    <t>-2.5 to 7.5 V,±10 V,±3 V,±5 V,0 to 10 V,0 to 16 V,0 to 20 V,0 to 5 V</t>
  </si>
  <si>
    <t>I²C,Serial</t>
  </si>
  <si>
    <t>Serial,SPI</t>
  </si>
  <si>
    <t>MicroWire,QSPI,Serial,SPI</t>
  </si>
  <si>
    <t>I²C,SPI</t>
  </si>
  <si>
    <t>0 to Vref,0 to Vref (2x)</t>
  </si>
  <si>
    <t>0 to 200 V,0 to 50 V,1 to Vsupply Pos -1 V</t>
  </si>
  <si>
    <t>MicroWire,Parallel,Serial,SPI</t>
  </si>
  <si>
    <t>±10 V,±10.8 V,±5 V,0 to 10 V,0 to 10.8 V,0 to 5 V</t>
  </si>
  <si>
    <t>MicroWire,QSPI,Serial</t>
  </si>
  <si>
    <t>Parallel,Serial</t>
  </si>
  <si>
    <t>I²C,Serial,SPI</t>
  </si>
  <si>
    <t>I²C,MicroWire,Parallel,QSPI,Serial,SPI</t>
  </si>
  <si>
    <t>MicroWire,Parallel,QSPI,Serial,SPI</t>
  </si>
  <si>
    <t>±Vref,0 to Vref -1 LSB</t>
  </si>
  <si>
    <t>QSPI,Serial,SPI</t>
  </si>
  <si>
    <t>LVDS,QSPI,Serial,SPI</t>
  </si>
  <si>
    <t>Vbias +/- (15/16)xVbias,Vbias/16 to (31/16)xVbias</t>
  </si>
  <si>
    <t>Byte,Parallel</t>
  </si>
  <si>
    <t>Byte,Serial</t>
  </si>
  <si>
    <t>±5 V,0 to 10 V</t>
  </si>
  <si>
    <t>Byte,Nibble,Parallel</t>
  </si>
  <si>
    <t>±10 V,±5 V,0 to 2.5 V</t>
  </si>
</sst>
</file>

<file path=xl/styles.xml><?xml version="1.0" encoding="utf-8"?>
<styleSheet xmlns="http://schemas.openxmlformats.org/spreadsheetml/2006/main">
  <fonts count="7">
    <font>
      <sz val="11"/>
      <name val="Calibri"/>
    </font>
    <font>
      <u/>
      <sz val="11"/>
      <color rgb="FF0563C1"/>
      <name val="Calibri"/>
    </font>
    <font>
      <b/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name val="宋体"/>
      <family val="3"/>
      <charset val="134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3" fillId="0" borderId="0" xfId="0" applyFont="1"/>
    <xf numFmtId="0" fontId="0" fillId="5" borderId="0" xfId="0" applyFill="1"/>
    <xf numFmtId="0" fontId="0" fillId="6" borderId="0" xfId="0" applyFill="1" applyAlignment="1">
      <alignment horizontal="center"/>
    </xf>
    <xf numFmtId="0" fontId="4" fillId="0" borderId="0" xfId="0" applyFont="1"/>
    <xf numFmtId="0" fontId="0" fillId="7" borderId="0" xfId="0" applyFill="1"/>
    <xf numFmtId="0" fontId="0" fillId="0" borderId="0" xfId="0" applyFill="1"/>
    <xf numFmtId="0" fontId="6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G19" sqref="G19"/>
    </sheetView>
  </sheetViews>
  <sheetFormatPr defaultRowHeight="15"/>
  <cols>
    <col min="1" max="1" width="20" customWidth="1"/>
    <col min="2" max="2" width="25" customWidth="1"/>
    <col min="3" max="3" width="20" customWidth="1"/>
  </cols>
  <sheetData>
    <row r="1" spans="1:3">
      <c r="A1" s="2" t="s">
        <v>0</v>
      </c>
      <c r="B1" t="s">
        <v>1</v>
      </c>
    </row>
    <row r="2" spans="1:3">
      <c r="A2" s="2" t="s">
        <v>2</v>
      </c>
      <c r="B2" t="s">
        <v>3</v>
      </c>
    </row>
    <row r="3" spans="1:3">
      <c r="A3" s="2" t="s">
        <v>4</v>
      </c>
      <c r="B3" s="1" t="str">
        <f>HYPERLINK("http://www.analog.com/cn/parametricsearch/11061#/p4910=Precision%20DAC&amp;p4386=Unipolar", "http://www.analog.com/cn/parametricsearch/11061#/p4910=Precision%20DAC&amp;p4386=Unipolar")</f>
        <v>http://www.analog.com/cn/parametricsearch/11061#/p4910=Precision%20DAC&amp;p4386=Unipolar</v>
      </c>
    </row>
    <row r="4" spans="1:3">
      <c r="A4" s="2" t="s">
        <v>5</v>
      </c>
      <c r="B4" s="2" t="s">
        <v>6</v>
      </c>
      <c r="C4" s="2" t="s">
        <v>7</v>
      </c>
    </row>
    <row r="5" spans="1:3">
      <c r="A5" t="s">
        <v>8</v>
      </c>
      <c r="B5" t="s">
        <v>9</v>
      </c>
      <c r="C5" t="s">
        <v>10</v>
      </c>
    </row>
    <row r="6" spans="1:3">
      <c r="A6" t="s">
        <v>8</v>
      </c>
      <c r="B6" t="s">
        <v>11</v>
      </c>
      <c r="C6" t="s">
        <v>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295"/>
  <sheetViews>
    <sheetView workbookViewId="0">
      <selection activeCell="B52" sqref="B52:D52"/>
    </sheetView>
  </sheetViews>
  <sheetFormatPr defaultRowHeight="15"/>
  <cols>
    <col min="1" max="2" width="15" customWidth="1"/>
    <col min="3" max="3" width="15.5703125" customWidth="1"/>
    <col min="4" max="4" width="25" customWidth="1"/>
    <col min="5" max="5" width="16" customWidth="1"/>
    <col min="6" max="7" width="15" customWidth="1"/>
    <col min="8" max="8" width="16" customWidth="1"/>
    <col min="9" max="9" width="23" customWidth="1"/>
    <col min="10" max="11" width="15" customWidth="1"/>
    <col min="12" max="12" width="18" customWidth="1"/>
    <col min="13" max="13" width="15" customWidth="1"/>
  </cols>
  <sheetData>
    <row r="1" spans="1:1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11</v>
      </c>
      <c r="M1" s="3" t="s">
        <v>24</v>
      </c>
    </row>
    <row r="2" spans="1:13" hidden="1">
      <c r="A2" s="4" t="s">
        <v>8</v>
      </c>
      <c r="B2" s="4" t="s">
        <v>25</v>
      </c>
      <c r="C2" s="4" t="s">
        <v>8</v>
      </c>
      <c r="D2" s="4" t="s">
        <v>26</v>
      </c>
      <c r="E2" s="4" t="s">
        <v>27</v>
      </c>
      <c r="F2" s="4" t="s">
        <v>8</v>
      </c>
      <c r="G2" s="4" t="s">
        <v>8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8</v>
      </c>
      <c r="M2" s="4" t="s">
        <v>8</v>
      </c>
    </row>
    <row r="3" spans="1:13" hidden="1">
      <c r="A3" s="5" t="str">
        <f>HYPERLINK("http://www.analog.com/zh/ad5767#details", "AD5767")</f>
        <v>AD5767</v>
      </c>
      <c r="B3">
        <v>12</v>
      </c>
      <c r="C3">
        <v>16</v>
      </c>
      <c r="D3" t="s">
        <v>32</v>
      </c>
      <c r="E3" t="s">
        <v>8</v>
      </c>
      <c r="F3" t="s">
        <v>33</v>
      </c>
      <c r="G3" t="s">
        <v>34</v>
      </c>
      <c r="H3">
        <v>1</v>
      </c>
      <c r="I3" t="s">
        <v>35</v>
      </c>
      <c r="J3" t="s">
        <v>8</v>
      </c>
      <c r="K3" t="s">
        <v>8</v>
      </c>
      <c r="L3" t="s">
        <v>36</v>
      </c>
      <c r="M3" t="s">
        <v>37</v>
      </c>
    </row>
    <row r="4" spans="1:13" hidden="1">
      <c r="A4" s="5" t="str">
        <f>HYPERLINK("http://www.analog.com/zh/ad5761#details", "AD5761")</f>
        <v>AD5761</v>
      </c>
      <c r="B4">
        <v>16</v>
      </c>
      <c r="C4">
        <v>1</v>
      </c>
      <c r="D4" t="s">
        <v>38</v>
      </c>
      <c r="E4" t="s">
        <v>8</v>
      </c>
      <c r="F4" t="s">
        <v>39</v>
      </c>
      <c r="G4" t="s">
        <v>40</v>
      </c>
      <c r="H4">
        <v>2</v>
      </c>
      <c r="I4" t="s">
        <v>41</v>
      </c>
      <c r="J4" t="s">
        <v>8</v>
      </c>
      <c r="K4" t="s">
        <v>42</v>
      </c>
      <c r="L4" t="s">
        <v>36</v>
      </c>
      <c r="M4" t="s">
        <v>43</v>
      </c>
    </row>
    <row r="5" spans="1:13" hidden="1">
      <c r="A5" s="5" t="str">
        <f>HYPERLINK("http://www.analog.com/zh/ad5761r#details", "AD5761R")</f>
        <v>AD5761R</v>
      </c>
      <c r="B5">
        <v>16</v>
      </c>
      <c r="C5">
        <v>1</v>
      </c>
      <c r="D5" t="s">
        <v>44</v>
      </c>
      <c r="E5" t="s">
        <v>8</v>
      </c>
      <c r="F5" t="s">
        <v>39</v>
      </c>
      <c r="G5" t="s">
        <v>40</v>
      </c>
      <c r="H5">
        <v>2</v>
      </c>
      <c r="I5" t="s">
        <v>41</v>
      </c>
      <c r="J5" t="s">
        <v>8</v>
      </c>
      <c r="K5" t="s">
        <v>42</v>
      </c>
      <c r="L5" t="s">
        <v>36</v>
      </c>
      <c r="M5" t="s">
        <v>45</v>
      </c>
    </row>
    <row r="6" spans="1:13" hidden="1">
      <c r="A6" s="5" t="str">
        <f>HYPERLINK("http://www.analog.com/zh/ad5721#details", "AD5721")</f>
        <v>AD5721</v>
      </c>
      <c r="B6">
        <v>12</v>
      </c>
      <c r="C6">
        <v>1</v>
      </c>
      <c r="D6" t="s">
        <v>46</v>
      </c>
      <c r="E6" t="s">
        <v>8</v>
      </c>
      <c r="F6" t="s">
        <v>39</v>
      </c>
      <c r="G6" t="s">
        <v>40</v>
      </c>
      <c r="H6">
        <v>0.5</v>
      </c>
      <c r="I6" t="s">
        <v>41</v>
      </c>
      <c r="J6" t="s">
        <v>8</v>
      </c>
      <c r="K6" t="s">
        <v>42</v>
      </c>
      <c r="L6" t="s">
        <v>36</v>
      </c>
      <c r="M6" t="s">
        <v>43</v>
      </c>
    </row>
    <row r="7" spans="1:13" hidden="1">
      <c r="A7" s="5" t="str">
        <f>HYPERLINK("http://www.analog.com/zh/ad5675#details", "AD5675")</f>
        <v>AD5675</v>
      </c>
      <c r="B7">
        <v>16</v>
      </c>
      <c r="C7">
        <v>8</v>
      </c>
      <c r="D7" t="s">
        <v>47</v>
      </c>
      <c r="E7" t="s">
        <v>48</v>
      </c>
      <c r="F7" t="s">
        <v>49</v>
      </c>
      <c r="G7" t="s">
        <v>8</v>
      </c>
      <c r="H7" t="s">
        <v>8</v>
      </c>
      <c r="I7" t="s">
        <v>50</v>
      </c>
      <c r="J7" t="s">
        <v>8</v>
      </c>
      <c r="K7" t="s">
        <v>51</v>
      </c>
      <c r="L7" t="s">
        <v>12</v>
      </c>
      <c r="M7" t="s">
        <v>52</v>
      </c>
    </row>
    <row r="8" spans="1:13" hidden="1">
      <c r="A8" s="5" t="str">
        <f>HYPERLINK("http://www.analog.com/zh/ad5721r#details", "AD5721R")</f>
        <v>AD5721R</v>
      </c>
      <c r="B8">
        <v>12</v>
      </c>
      <c r="C8">
        <v>1</v>
      </c>
      <c r="D8" t="s">
        <v>53</v>
      </c>
      <c r="E8" t="s">
        <v>8</v>
      </c>
      <c r="F8" t="s">
        <v>39</v>
      </c>
      <c r="G8" t="s">
        <v>40</v>
      </c>
      <c r="H8">
        <v>0.5</v>
      </c>
      <c r="I8" t="s">
        <v>41</v>
      </c>
      <c r="J8" t="s">
        <v>8</v>
      </c>
      <c r="K8" t="s">
        <v>42</v>
      </c>
      <c r="L8" t="s">
        <v>36</v>
      </c>
      <c r="M8" t="s">
        <v>43</v>
      </c>
    </row>
    <row r="9" spans="1:13" hidden="1">
      <c r="A9" s="5" t="str">
        <f>HYPERLINK("http://www.analog.com/zh/ad5676r#details", "AD5676R")</f>
        <v>AD5676R</v>
      </c>
      <c r="B9">
        <v>16</v>
      </c>
      <c r="C9">
        <v>8</v>
      </c>
      <c r="D9" t="s">
        <v>54</v>
      </c>
      <c r="E9" t="s">
        <v>48</v>
      </c>
      <c r="F9" t="s">
        <v>55</v>
      </c>
      <c r="G9" t="s">
        <v>8</v>
      </c>
      <c r="H9" t="s">
        <v>8</v>
      </c>
      <c r="I9" t="s">
        <v>50</v>
      </c>
      <c r="J9" t="s">
        <v>8</v>
      </c>
      <c r="K9" t="s">
        <v>51</v>
      </c>
      <c r="L9" t="s">
        <v>12</v>
      </c>
      <c r="M9" t="s">
        <v>56</v>
      </c>
    </row>
    <row r="10" spans="1:13" hidden="1">
      <c r="A10" s="5" t="str">
        <f>HYPERLINK("http://www.analog.com/zh/ad5676#details", "AD5676")</f>
        <v>AD5676</v>
      </c>
      <c r="B10">
        <v>16</v>
      </c>
      <c r="C10">
        <v>8</v>
      </c>
      <c r="D10" t="s">
        <v>47</v>
      </c>
      <c r="E10" t="s">
        <v>48</v>
      </c>
      <c r="F10" t="s">
        <v>55</v>
      </c>
      <c r="G10" t="s">
        <v>8</v>
      </c>
      <c r="H10" t="s">
        <v>8</v>
      </c>
      <c r="I10" t="s">
        <v>50</v>
      </c>
      <c r="J10" t="s">
        <v>8</v>
      </c>
      <c r="K10" t="s">
        <v>51</v>
      </c>
      <c r="L10" t="s">
        <v>12</v>
      </c>
      <c r="M10" t="s">
        <v>56</v>
      </c>
    </row>
    <row r="11" spans="1:13" hidden="1">
      <c r="A11" s="5" t="str">
        <f>HYPERLINK("http://www.analog.com/zh/ad5675r#details", "AD5675R")</f>
        <v>AD5675R</v>
      </c>
      <c r="B11">
        <v>12</v>
      </c>
      <c r="C11">
        <v>8</v>
      </c>
      <c r="D11" t="s">
        <v>54</v>
      </c>
      <c r="E11" t="s">
        <v>48</v>
      </c>
      <c r="F11" t="s">
        <v>49</v>
      </c>
      <c r="G11" t="s">
        <v>8</v>
      </c>
      <c r="H11" t="s">
        <v>8</v>
      </c>
      <c r="I11" t="s">
        <v>50</v>
      </c>
      <c r="J11" t="s">
        <v>8</v>
      </c>
      <c r="K11" t="s">
        <v>51</v>
      </c>
      <c r="L11" t="s">
        <v>12</v>
      </c>
      <c r="M11" t="s">
        <v>56</v>
      </c>
    </row>
    <row r="12" spans="1:13" hidden="1">
      <c r="A12" s="5" t="str">
        <f>HYPERLINK("http://www.analog.com/zh/ad5672r#details", "AD5672R")</f>
        <v>AD5672R</v>
      </c>
      <c r="B12">
        <v>12</v>
      </c>
      <c r="C12">
        <v>8</v>
      </c>
      <c r="D12" t="s">
        <v>57</v>
      </c>
      <c r="E12" t="s">
        <v>48</v>
      </c>
      <c r="F12" t="s">
        <v>55</v>
      </c>
      <c r="G12" t="s">
        <v>8</v>
      </c>
      <c r="H12" t="s">
        <v>8</v>
      </c>
      <c r="I12" t="s">
        <v>50</v>
      </c>
      <c r="J12" t="s">
        <v>8</v>
      </c>
      <c r="K12" t="s">
        <v>51</v>
      </c>
      <c r="L12" t="s">
        <v>12</v>
      </c>
      <c r="M12" t="s">
        <v>56</v>
      </c>
    </row>
    <row r="13" spans="1:13" hidden="1">
      <c r="A13" s="5" t="str">
        <f>HYPERLINK("http://www.analog.com/zh/ad5671r#details", "AD5671R")</f>
        <v>AD5671R</v>
      </c>
      <c r="B13">
        <v>12</v>
      </c>
      <c r="C13">
        <v>8</v>
      </c>
      <c r="D13" t="s">
        <v>57</v>
      </c>
      <c r="E13" t="s">
        <v>48</v>
      </c>
      <c r="F13" t="s">
        <v>49</v>
      </c>
      <c r="G13" t="s">
        <v>8</v>
      </c>
      <c r="H13" t="s">
        <v>8</v>
      </c>
      <c r="I13" t="s">
        <v>50</v>
      </c>
      <c r="J13" t="s">
        <v>8</v>
      </c>
      <c r="K13" t="s">
        <v>51</v>
      </c>
      <c r="L13" t="s">
        <v>12</v>
      </c>
      <c r="M13" t="s">
        <v>56</v>
      </c>
    </row>
    <row r="14" spans="1:13" hidden="1">
      <c r="A14" s="5" t="str">
        <f>HYPERLINK("http://www.analog.com/zh/ad5693r#details", "AD5693R")</f>
        <v>AD5693R</v>
      </c>
      <c r="B14">
        <v>16</v>
      </c>
      <c r="C14">
        <v>1</v>
      </c>
      <c r="D14" t="s">
        <v>58</v>
      </c>
      <c r="E14" t="s">
        <v>8</v>
      </c>
      <c r="F14" t="s">
        <v>59</v>
      </c>
      <c r="G14" t="s">
        <v>60</v>
      </c>
      <c r="H14">
        <v>3</v>
      </c>
      <c r="I14" t="s">
        <v>50</v>
      </c>
      <c r="J14" t="s">
        <v>8</v>
      </c>
      <c r="K14" t="s">
        <v>8</v>
      </c>
      <c r="L14" t="s">
        <v>12</v>
      </c>
      <c r="M14" t="s">
        <v>61</v>
      </c>
    </row>
    <row r="15" spans="1:13" hidden="1">
      <c r="A15" s="5" t="str">
        <f>HYPERLINK("http://www.analog.com/zh/ad5693#details", "AD5693")</f>
        <v>AD5693</v>
      </c>
      <c r="B15">
        <v>16</v>
      </c>
      <c r="C15">
        <v>1</v>
      </c>
      <c r="D15" t="s">
        <v>62</v>
      </c>
      <c r="E15" t="s">
        <v>8</v>
      </c>
      <c r="F15" t="s">
        <v>59</v>
      </c>
      <c r="G15" t="s">
        <v>60</v>
      </c>
      <c r="H15">
        <v>3</v>
      </c>
      <c r="I15" t="s">
        <v>50</v>
      </c>
      <c r="J15" t="s">
        <v>8</v>
      </c>
      <c r="K15" t="s">
        <v>8</v>
      </c>
      <c r="L15" t="s">
        <v>12</v>
      </c>
      <c r="M15" t="s">
        <v>63</v>
      </c>
    </row>
    <row r="16" spans="1:13" hidden="1">
      <c r="A16" s="5" t="str">
        <f>HYPERLINK("http://www.analog.com/zh/ad5692r#details", "AD5692R")</f>
        <v>AD5692R</v>
      </c>
      <c r="B16">
        <v>14</v>
      </c>
      <c r="C16">
        <v>1</v>
      </c>
      <c r="D16" t="s">
        <v>64</v>
      </c>
      <c r="E16" t="s">
        <v>8</v>
      </c>
      <c r="F16" t="s">
        <v>59</v>
      </c>
      <c r="G16" t="s">
        <v>60</v>
      </c>
      <c r="H16">
        <v>4</v>
      </c>
      <c r="I16" t="s">
        <v>50</v>
      </c>
      <c r="J16" t="s">
        <v>8</v>
      </c>
      <c r="K16" t="s">
        <v>8</v>
      </c>
      <c r="L16" t="s">
        <v>12</v>
      </c>
      <c r="M16" t="s">
        <v>63</v>
      </c>
    </row>
    <row r="17" spans="1:13" hidden="1">
      <c r="A17" s="5" t="str">
        <f>HYPERLINK("http://www.analog.com/zh/ad5691r#details", "AD5691R")</f>
        <v>AD5691R</v>
      </c>
      <c r="B17">
        <v>12</v>
      </c>
      <c r="C17">
        <v>1</v>
      </c>
      <c r="D17" t="s">
        <v>65</v>
      </c>
      <c r="E17" t="s">
        <v>8</v>
      </c>
      <c r="F17" t="s">
        <v>59</v>
      </c>
      <c r="G17" t="s">
        <v>60</v>
      </c>
      <c r="H17">
        <v>1</v>
      </c>
      <c r="I17" t="s">
        <v>50</v>
      </c>
      <c r="J17" t="s">
        <v>8</v>
      </c>
      <c r="K17" t="s">
        <v>8</v>
      </c>
      <c r="L17" t="s">
        <v>12</v>
      </c>
      <c r="M17" t="s">
        <v>61</v>
      </c>
    </row>
    <row r="18" spans="1:13" hidden="1">
      <c r="A18" s="5" t="str">
        <f>HYPERLINK("http://www.analog.com/zh/ad5683r#details", "AD5683R")</f>
        <v>AD5683R</v>
      </c>
      <c r="B18">
        <v>16</v>
      </c>
      <c r="C18">
        <v>1</v>
      </c>
      <c r="D18" t="s">
        <v>58</v>
      </c>
      <c r="E18" t="s">
        <v>8</v>
      </c>
      <c r="F18" t="s">
        <v>66</v>
      </c>
      <c r="G18" t="s">
        <v>60</v>
      </c>
      <c r="H18">
        <v>2</v>
      </c>
      <c r="I18" t="s">
        <v>50</v>
      </c>
      <c r="J18" t="s">
        <v>8</v>
      </c>
      <c r="K18" t="s">
        <v>8</v>
      </c>
      <c r="L18" t="s">
        <v>12</v>
      </c>
      <c r="M18" t="s">
        <v>61</v>
      </c>
    </row>
    <row r="19" spans="1:13" hidden="1">
      <c r="A19" s="5" t="str">
        <f>HYPERLINK("http://www.analog.com/zh/ad5683#details", "AD5683")</f>
        <v>AD5683</v>
      </c>
      <c r="B19">
        <v>16</v>
      </c>
      <c r="C19">
        <v>1</v>
      </c>
      <c r="D19" t="s">
        <v>62</v>
      </c>
      <c r="E19" t="s">
        <v>8</v>
      </c>
      <c r="F19" t="s">
        <v>66</v>
      </c>
      <c r="G19" t="s">
        <v>60</v>
      </c>
      <c r="H19">
        <v>2</v>
      </c>
      <c r="I19" t="s">
        <v>50</v>
      </c>
      <c r="J19" t="s">
        <v>8</v>
      </c>
      <c r="K19" t="s">
        <v>8</v>
      </c>
      <c r="L19" t="s">
        <v>12</v>
      </c>
      <c r="M19" t="s">
        <v>63</v>
      </c>
    </row>
    <row r="20" spans="1:13" hidden="1">
      <c r="A20" s="5" t="str">
        <f>HYPERLINK("http://www.analog.com/zh/ad5682r#details", "AD5682R")</f>
        <v>AD5682R</v>
      </c>
      <c r="B20">
        <v>14</v>
      </c>
      <c r="C20">
        <v>1</v>
      </c>
      <c r="D20" t="s">
        <v>67</v>
      </c>
      <c r="E20" t="s">
        <v>8</v>
      </c>
      <c r="F20" t="s">
        <v>66</v>
      </c>
      <c r="G20" t="s">
        <v>60</v>
      </c>
      <c r="H20">
        <v>1</v>
      </c>
      <c r="I20" t="s">
        <v>50</v>
      </c>
      <c r="J20" t="s">
        <v>8</v>
      </c>
      <c r="K20" t="s">
        <v>8</v>
      </c>
      <c r="L20" t="s">
        <v>12</v>
      </c>
      <c r="M20" t="s">
        <v>63</v>
      </c>
    </row>
    <row r="21" spans="1:13" hidden="1">
      <c r="A21" s="5" t="str">
        <f>HYPERLINK("http://www.analog.com/zh/ad5681r#details", "AD5681R")</f>
        <v>AD5681R</v>
      </c>
      <c r="B21">
        <v>12</v>
      </c>
      <c r="C21">
        <v>1</v>
      </c>
      <c r="D21" t="s">
        <v>68</v>
      </c>
      <c r="E21" t="s">
        <v>8</v>
      </c>
      <c r="F21" t="s">
        <v>66</v>
      </c>
      <c r="G21" t="s">
        <v>60</v>
      </c>
      <c r="H21">
        <v>1</v>
      </c>
      <c r="I21" t="s">
        <v>50</v>
      </c>
      <c r="J21" t="s">
        <v>8</v>
      </c>
      <c r="K21" t="s">
        <v>8</v>
      </c>
      <c r="L21" t="s">
        <v>12</v>
      </c>
      <c r="M21" t="s">
        <v>69</v>
      </c>
    </row>
    <row r="22" spans="1:13" hidden="1">
      <c r="A22" s="5" t="str">
        <f>HYPERLINK("http://www.analog.com/zh/ad5311r#details", "AD5311R")</f>
        <v>AD5311R</v>
      </c>
      <c r="B22">
        <v>10</v>
      </c>
      <c r="C22">
        <v>1</v>
      </c>
      <c r="D22" t="s">
        <v>70</v>
      </c>
      <c r="E22" t="s">
        <v>8</v>
      </c>
      <c r="F22" t="s">
        <v>71</v>
      </c>
      <c r="G22" t="s">
        <v>72</v>
      </c>
      <c r="H22">
        <v>4</v>
      </c>
      <c r="I22" t="s">
        <v>73</v>
      </c>
      <c r="J22" t="s">
        <v>8</v>
      </c>
      <c r="K22" t="s">
        <v>74</v>
      </c>
      <c r="L22" t="s">
        <v>12</v>
      </c>
      <c r="M22" t="s">
        <v>75</v>
      </c>
    </row>
    <row r="23" spans="1:13" hidden="1">
      <c r="A23" s="5" t="str">
        <f>HYPERLINK("http://www.analog.com/zh/ad5310r#details", "AD5310R")</f>
        <v>AD5310R</v>
      </c>
      <c r="B23">
        <v>10</v>
      </c>
      <c r="C23">
        <v>1</v>
      </c>
      <c r="D23" t="s">
        <v>70</v>
      </c>
      <c r="E23" t="s">
        <v>8</v>
      </c>
      <c r="F23" t="s">
        <v>71</v>
      </c>
      <c r="G23" t="s">
        <v>72</v>
      </c>
      <c r="H23">
        <v>4</v>
      </c>
      <c r="I23" t="s">
        <v>73</v>
      </c>
      <c r="J23" t="s">
        <v>8</v>
      </c>
      <c r="K23" t="s">
        <v>74</v>
      </c>
      <c r="L23" t="s">
        <v>12</v>
      </c>
      <c r="M23" t="s">
        <v>75</v>
      </c>
    </row>
    <row r="24" spans="1:13" hidden="1">
      <c r="A24" s="5" t="str">
        <f>HYPERLINK("http://www.analog.com/zh/ad5697r#details", "AD5697R")</f>
        <v>AD5697R</v>
      </c>
      <c r="B24">
        <v>12</v>
      </c>
      <c r="C24">
        <v>2</v>
      </c>
      <c r="D24" t="s">
        <v>38</v>
      </c>
      <c r="E24" t="s">
        <v>8</v>
      </c>
      <c r="F24" t="s">
        <v>49</v>
      </c>
      <c r="G24" t="s">
        <v>76</v>
      </c>
      <c r="H24">
        <v>1</v>
      </c>
      <c r="I24" t="s">
        <v>50</v>
      </c>
      <c r="J24" t="s">
        <v>77</v>
      </c>
      <c r="K24" t="s">
        <v>78</v>
      </c>
      <c r="L24" t="s">
        <v>12</v>
      </c>
      <c r="M24" t="s">
        <v>43</v>
      </c>
    </row>
    <row r="25" spans="1:13" hidden="1">
      <c r="A25" s="5" t="str">
        <f>HYPERLINK("http://www.analog.com/zh/ad5689r#details", "AD5689R")</f>
        <v>AD5689R</v>
      </c>
      <c r="B25">
        <v>16</v>
      </c>
      <c r="C25">
        <v>2</v>
      </c>
      <c r="D25" t="s">
        <v>79</v>
      </c>
      <c r="E25" t="s">
        <v>8</v>
      </c>
      <c r="F25" t="s">
        <v>66</v>
      </c>
      <c r="G25" t="s">
        <v>76</v>
      </c>
      <c r="H25">
        <v>3</v>
      </c>
      <c r="I25" t="s">
        <v>50</v>
      </c>
      <c r="J25" t="s">
        <v>8</v>
      </c>
      <c r="K25" t="s">
        <v>78</v>
      </c>
      <c r="L25" t="s">
        <v>12</v>
      </c>
      <c r="M25" t="s">
        <v>43</v>
      </c>
    </row>
    <row r="26" spans="1:13" hidden="1">
      <c r="A26" s="5" t="str">
        <f>HYPERLINK("http://www.analog.com/zh/ad5689#details", "AD5689")</f>
        <v>AD5689</v>
      </c>
      <c r="B26">
        <v>16</v>
      </c>
      <c r="C26">
        <v>2</v>
      </c>
      <c r="D26" t="s">
        <v>80</v>
      </c>
      <c r="E26" t="s">
        <v>8</v>
      </c>
      <c r="F26" t="s">
        <v>66</v>
      </c>
      <c r="G26" t="s">
        <v>76</v>
      </c>
      <c r="H26">
        <v>3</v>
      </c>
      <c r="I26" t="s">
        <v>50</v>
      </c>
      <c r="J26" t="s">
        <v>8</v>
      </c>
      <c r="K26" t="s">
        <v>81</v>
      </c>
      <c r="L26" t="s">
        <v>12</v>
      </c>
      <c r="M26" t="s">
        <v>45</v>
      </c>
    </row>
    <row r="27" spans="1:13" hidden="1">
      <c r="A27" s="5" t="str">
        <f>HYPERLINK("http://www.analog.com/zh/ad5687r#details", "AD5687R")</f>
        <v>AD5687R</v>
      </c>
      <c r="B27">
        <v>12</v>
      </c>
      <c r="C27">
        <v>2</v>
      </c>
      <c r="D27" t="s">
        <v>38</v>
      </c>
      <c r="E27" t="s">
        <v>8</v>
      </c>
      <c r="F27" t="s">
        <v>66</v>
      </c>
      <c r="G27" t="s">
        <v>76</v>
      </c>
      <c r="H27">
        <v>1</v>
      </c>
      <c r="I27" t="s">
        <v>50</v>
      </c>
      <c r="J27" t="s">
        <v>8</v>
      </c>
      <c r="K27" t="s">
        <v>78</v>
      </c>
      <c r="L27" t="s">
        <v>12</v>
      </c>
      <c r="M27" t="s">
        <v>45</v>
      </c>
    </row>
    <row r="28" spans="1:13" hidden="1">
      <c r="A28" s="5" t="str">
        <f>HYPERLINK("http://www.analog.com/zh/ad5687#details", "AD5687")</f>
        <v>AD5687</v>
      </c>
      <c r="B28">
        <v>12</v>
      </c>
      <c r="C28">
        <v>2</v>
      </c>
      <c r="D28" t="s">
        <v>62</v>
      </c>
      <c r="E28" t="s">
        <v>8</v>
      </c>
      <c r="F28" t="s">
        <v>66</v>
      </c>
      <c r="G28" t="s">
        <v>76</v>
      </c>
      <c r="H28">
        <v>1</v>
      </c>
      <c r="I28" t="s">
        <v>50</v>
      </c>
      <c r="J28" t="s">
        <v>8</v>
      </c>
      <c r="K28" t="s">
        <v>81</v>
      </c>
      <c r="L28" t="s">
        <v>12</v>
      </c>
      <c r="M28" t="s">
        <v>43</v>
      </c>
    </row>
    <row r="29" spans="1:13" hidden="1">
      <c r="A29" s="5" t="str">
        <f>HYPERLINK("http://www.analog.com/zh/ad5338r#details", "AD5338R")</f>
        <v>AD5338R</v>
      </c>
      <c r="B29">
        <v>10</v>
      </c>
      <c r="C29">
        <v>2</v>
      </c>
      <c r="D29" t="s">
        <v>82</v>
      </c>
      <c r="E29" t="s">
        <v>8</v>
      </c>
      <c r="F29" t="s">
        <v>49</v>
      </c>
      <c r="G29" t="s">
        <v>76</v>
      </c>
      <c r="H29">
        <v>0.5</v>
      </c>
      <c r="I29" t="s">
        <v>50</v>
      </c>
      <c r="J29" t="s">
        <v>83</v>
      </c>
      <c r="K29" t="s">
        <v>84</v>
      </c>
      <c r="L29" t="s">
        <v>12</v>
      </c>
      <c r="M29" t="s">
        <v>45</v>
      </c>
    </row>
    <row r="30" spans="1:13" hidden="1">
      <c r="A30" s="5" t="str">
        <f>HYPERLINK("http://www.analog.com/zh/ad5313r#details", "AD5313R")</f>
        <v>AD5313R</v>
      </c>
      <c r="B30">
        <v>10</v>
      </c>
      <c r="C30">
        <v>2</v>
      </c>
      <c r="D30" t="s">
        <v>82</v>
      </c>
      <c r="E30" t="s">
        <v>8</v>
      </c>
      <c r="F30" t="s">
        <v>66</v>
      </c>
      <c r="G30" t="s">
        <v>76</v>
      </c>
      <c r="H30">
        <v>0.5</v>
      </c>
      <c r="I30" t="s">
        <v>50</v>
      </c>
      <c r="J30" t="s">
        <v>85</v>
      </c>
      <c r="K30" t="s">
        <v>86</v>
      </c>
      <c r="L30" t="s">
        <v>12</v>
      </c>
      <c r="M30" t="s">
        <v>43</v>
      </c>
    </row>
    <row r="31" spans="1:13" hidden="1">
      <c r="A31" s="5" t="str">
        <f>HYPERLINK("http://www.analog.com/zh/ad5535b#details", "AD5535B")</f>
        <v>AD5535B</v>
      </c>
      <c r="B31">
        <v>14</v>
      </c>
      <c r="C31">
        <v>32</v>
      </c>
      <c r="D31" t="s">
        <v>87</v>
      </c>
      <c r="E31" t="s">
        <v>8</v>
      </c>
      <c r="F31" t="s">
        <v>88</v>
      </c>
      <c r="G31" t="s">
        <v>89</v>
      </c>
      <c r="H31" t="s">
        <v>8</v>
      </c>
      <c r="I31" t="s">
        <v>8</v>
      </c>
      <c r="J31" t="s">
        <v>8</v>
      </c>
      <c r="K31" t="s">
        <v>8</v>
      </c>
      <c r="L31" t="s">
        <v>12</v>
      </c>
      <c r="M31" t="s">
        <v>90</v>
      </c>
    </row>
    <row r="32" spans="1:13" hidden="1">
      <c r="A32" s="5" t="str">
        <f>HYPERLINK("http://www.analog.com/zh/ad5696#details", "AD5696")</f>
        <v>AD5696</v>
      </c>
      <c r="B32">
        <v>16</v>
      </c>
      <c r="C32">
        <v>4</v>
      </c>
      <c r="D32" t="s">
        <v>91</v>
      </c>
      <c r="E32" t="s">
        <v>8</v>
      </c>
      <c r="F32" t="s">
        <v>49</v>
      </c>
      <c r="G32" t="s">
        <v>76</v>
      </c>
      <c r="H32">
        <v>1</v>
      </c>
      <c r="I32" t="s">
        <v>50</v>
      </c>
      <c r="J32" t="s">
        <v>8</v>
      </c>
      <c r="K32" t="s">
        <v>8</v>
      </c>
      <c r="L32" t="s">
        <v>12</v>
      </c>
      <c r="M32" t="s">
        <v>45</v>
      </c>
    </row>
    <row r="33" spans="1:13" hidden="1">
      <c r="A33" s="5" t="str">
        <f>HYPERLINK("http://www.analog.com/zh/ad5694#details", "AD5694")</f>
        <v>AD5694</v>
      </c>
      <c r="B33">
        <v>12</v>
      </c>
      <c r="C33">
        <v>4</v>
      </c>
      <c r="D33" t="s">
        <v>92</v>
      </c>
      <c r="E33" t="s">
        <v>8</v>
      </c>
      <c r="F33" t="s">
        <v>49</v>
      </c>
      <c r="G33" t="s">
        <v>76</v>
      </c>
      <c r="H33">
        <v>1</v>
      </c>
      <c r="I33" t="s">
        <v>50</v>
      </c>
      <c r="J33" t="s">
        <v>8</v>
      </c>
      <c r="K33" t="s">
        <v>8</v>
      </c>
      <c r="L33" t="s">
        <v>12</v>
      </c>
      <c r="M33" t="s">
        <v>43</v>
      </c>
    </row>
    <row r="34" spans="1:13" hidden="1">
      <c r="A34" s="5" t="str">
        <f>HYPERLINK("http://www.analog.com/zh/ad5686#details", "AD5686")</f>
        <v>AD5686</v>
      </c>
      <c r="B34">
        <v>16</v>
      </c>
      <c r="C34">
        <v>4</v>
      </c>
      <c r="D34" t="s">
        <v>91</v>
      </c>
      <c r="E34" t="s">
        <v>8</v>
      </c>
      <c r="F34" t="s">
        <v>93</v>
      </c>
      <c r="G34" t="s">
        <v>76</v>
      </c>
      <c r="H34">
        <v>3</v>
      </c>
      <c r="I34" t="s">
        <v>50</v>
      </c>
      <c r="J34" t="s">
        <v>8</v>
      </c>
      <c r="K34" t="s">
        <v>8</v>
      </c>
      <c r="L34" t="s">
        <v>12</v>
      </c>
      <c r="M34" t="s">
        <v>45</v>
      </c>
    </row>
    <row r="35" spans="1:13" hidden="1">
      <c r="A35" s="5" t="str">
        <f>HYPERLINK("http://www.analog.com/zh/ad5684#details", "AD5684")</f>
        <v>AD5684</v>
      </c>
      <c r="B35">
        <v>12</v>
      </c>
      <c r="C35">
        <v>4</v>
      </c>
      <c r="D35" t="s">
        <v>92</v>
      </c>
      <c r="E35" t="s">
        <v>8</v>
      </c>
      <c r="F35" t="s">
        <v>66</v>
      </c>
      <c r="G35" t="s">
        <v>76</v>
      </c>
      <c r="H35">
        <v>1</v>
      </c>
      <c r="I35" t="s">
        <v>50</v>
      </c>
      <c r="J35" t="s">
        <v>8</v>
      </c>
      <c r="K35" t="s">
        <v>8</v>
      </c>
      <c r="L35" t="s">
        <v>12</v>
      </c>
      <c r="M35" t="s">
        <v>45</v>
      </c>
    </row>
    <row r="36" spans="1:13" hidden="1">
      <c r="A36" s="5" t="str">
        <f>HYPERLINK("http://www.analog.com/zh/ad5317r#details", "AD5317R")</f>
        <v>AD5317R</v>
      </c>
      <c r="B36">
        <v>10</v>
      </c>
      <c r="C36">
        <v>4</v>
      </c>
      <c r="D36" t="s">
        <v>94</v>
      </c>
      <c r="E36" t="s">
        <v>8</v>
      </c>
      <c r="F36" t="s">
        <v>66</v>
      </c>
      <c r="G36" t="s">
        <v>95</v>
      </c>
      <c r="H36">
        <v>0.5</v>
      </c>
      <c r="I36" t="s">
        <v>50</v>
      </c>
      <c r="J36" t="s">
        <v>8</v>
      </c>
      <c r="K36" t="s">
        <v>8</v>
      </c>
      <c r="L36" t="s">
        <v>12</v>
      </c>
      <c r="M36" t="s">
        <v>45</v>
      </c>
    </row>
    <row r="37" spans="1:13" hidden="1">
      <c r="A37" s="5" t="str">
        <f>HYPERLINK("http://www.analog.com/zh/ad5316r#details", "AD5316R")</f>
        <v>AD5316R</v>
      </c>
      <c r="B37">
        <v>10</v>
      </c>
      <c r="C37">
        <v>4</v>
      </c>
      <c r="D37" t="s">
        <v>94</v>
      </c>
      <c r="E37" t="s">
        <v>8</v>
      </c>
      <c r="F37" t="s">
        <v>49</v>
      </c>
      <c r="G37" t="s">
        <v>95</v>
      </c>
      <c r="H37">
        <v>0.5</v>
      </c>
      <c r="I37" t="s">
        <v>50</v>
      </c>
      <c r="J37" t="s">
        <v>8</v>
      </c>
      <c r="K37" t="s">
        <v>8</v>
      </c>
      <c r="L37" t="s">
        <v>12</v>
      </c>
      <c r="M37" t="s">
        <v>43</v>
      </c>
    </row>
    <row r="38" spans="1:13" hidden="1">
      <c r="A38" s="5" t="str">
        <f>HYPERLINK("http://www.analog.com/zh/ad5696r#details", "AD5696R")</f>
        <v>AD5696R</v>
      </c>
      <c r="B38">
        <v>16</v>
      </c>
      <c r="C38">
        <v>4</v>
      </c>
      <c r="D38" t="s">
        <v>96</v>
      </c>
      <c r="E38" t="s">
        <v>8</v>
      </c>
      <c r="F38" t="s">
        <v>49</v>
      </c>
      <c r="G38" t="s">
        <v>76</v>
      </c>
      <c r="H38">
        <v>3</v>
      </c>
      <c r="I38" t="s">
        <v>50</v>
      </c>
      <c r="J38" t="s">
        <v>97</v>
      </c>
      <c r="K38" t="s">
        <v>78</v>
      </c>
      <c r="L38" t="s">
        <v>12</v>
      </c>
      <c r="M38" t="s">
        <v>43</v>
      </c>
    </row>
    <row r="39" spans="1:13" hidden="1">
      <c r="A39" s="5" t="str">
        <f>HYPERLINK("http://www.analog.com/zh/ad5695r#details", "AD5695R")</f>
        <v>AD5695R</v>
      </c>
      <c r="B39">
        <v>14</v>
      </c>
      <c r="C39">
        <v>4</v>
      </c>
      <c r="D39" t="s">
        <v>98</v>
      </c>
      <c r="E39" t="s">
        <v>8</v>
      </c>
      <c r="F39" t="s">
        <v>49</v>
      </c>
      <c r="G39" t="s">
        <v>76</v>
      </c>
      <c r="H39">
        <v>1</v>
      </c>
      <c r="I39" t="s">
        <v>50</v>
      </c>
      <c r="J39" t="s">
        <v>8</v>
      </c>
      <c r="K39" t="s">
        <v>78</v>
      </c>
      <c r="L39" t="s">
        <v>12</v>
      </c>
      <c r="M39" t="s">
        <v>43</v>
      </c>
    </row>
    <row r="40" spans="1:13" hidden="1">
      <c r="A40" s="5" t="str">
        <f>HYPERLINK("http://www.analog.com/zh/ad5694r#details", "AD5694R")</f>
        <v>AD5694R</v>
      </c>
      <c r="B40">
        <v>12</v>
      </c>
      <c r="C40">
        <v>4</v>
      </c>
      <c r="D40" t="s">
        <v>99</v>
      </c>
      <c r="E40" t="s">
        <v>8</v>
      </c>
      <c r="F40" t="s">
        <v>49</v>
      </c>
      <c r="G40" t="s">
        <v>76</v>
      </c>
      <c r="H40">
        <v>1</v>
      </c>
      <c r="I40" t="s">
        <v>50</v>
      </c>
      <c r="J40" t="s">
        <v>8</v>
      </c>
      <c r="K40" t="s">
        <v>78</v>
      </c>
      <c r="L40" t="s">
        <v>12</v>
      </c>
      <c r="M40" t="s">
        <v>45</v>
      </c>
    </row>
    <row r="41" spans="1:13" hidden="1">
      <c r="A41" s="5" t="str">
        <f>HYPERLINK("http://www.analog.com/zh/ad5686r#details", "AD5686R")</f>
        <v>AD5686R</v>
      </c>
      <c r="B41">
        <v>16</v>
      </c>
      <c r="C41">
        <v>4</v>
      </c>
      <c r="D41" t="s">
        <v>96</v>
      </c>
      <c r="E41" t="s">
        <v>8</v>
      </c>
      <c r="F41" t="s">
        <v>66</v>
      </c>
      <c r="G41" t="s">
        <v>76</v>
      </c>
      <c r="H41">
        <v>1</v>
      </c>
      <c r="I41" t="s">
        <v>50</v>
      </c>
      <c r="J41" t="s">
        <v>8</v>
      </c>
      <c r="K41" t="s">
        <v>100</v>
      </c>
      <c r="L41" t="s">
        <v>12</v>
      </c>
      <c r="M41" t="s">
        <v>45</v>
      </c>
    </row>
    <row r="42" spans="1:13" hidden="1">
      <c r="A42" s="5" t="str">
        <f>HYPERLINK("http://www.analog.com/zh/ad5685r#details", "AD5685R")</f>
        <v>AD5685R</v>
      </c>
      <c r="B42">
        <v>14</v>
      </c>
      <c r="C42">
        <v>4</v>
      </c>
      <c r="D42" t="s">
        <v>98</v>
      </c>
      <c r="E42" t="s">
        <v>8</v>
      </c>
      <c r="F42" t="s">
        <v>66</v>
      </c>
      <c r="G42" t="s">
        <v>76</v>
      </c>
      <c r="H42">
        <v>1</v>
      </c>
      <c r="I42" t="s">
        <v>50</v>
      </c>
      <c r="J42" t="s">
        <v>8</v>
      </c>
      <c r="K42" t="s">
        <v>100</v>
      </c>
      <c r="L42" t="s">
        <v>12</v>
      </c>
      <c r="M42" t="s">
        <v>45</v>
      </c>
    </row>
    <row r="43" spans="1:13" hidden="1">
      <c r="A43" s="5" t="str">
        <f>HYPERLINK("http://www.analog.com/zh/ad5684r#details", "AD5684R")</f>
        <v>AD5684R</v>
      </c>
      <c r="B43">
        <v>12</v>
      </c>
      <c r="C43">
        <v>4</v>
      </c>
      <c r="D43" t="s">
        <v>99</v>
      </c>
      <c r="E43" t="s">
        <v>8</v>
      </c>
      <c r="F43" t="s">
        <v>66</v>
      </c>
      <c r="G43" t="s">
        <v>76</v>
      </c>
      <c r="H43">
        <v>3</v>
      </c>
      <c r="I43" t="s">
        <v>50</v>
      </c>
      <c r="J43" t="s">
        <v>101</v>
      </c>
      <c r="K43" t="s">
        <v>78</v>
      </c>
      <c r="L43" t="s">
        <v>12</v>
      </c>
      <c r="M43" t="s">
        <v>45</v>
      </c>
    </row>
    <row r="44" spans="1:13">
      <c r="A44" s="5" t="str">
        <f>HYPERLINK("http://www.analog.com/zh/ad5790#details", "AD5790")</f>
        <v>AD5790</v>
      </c>
      <c r="B44">
        <v>20</v>
      </c>
      <c r="C44">
        <v>1</v>
      </c>
      <c r="D44" t="s">
        <v>102</v>
      </c>
      <c r="E44" t="s">
        <v>8</v>
      </c>
      <c r="F44" t="s">
        <v>66</v>
      </c>
      <c r="G44" t="s">
        <v>103</v>
      </c>
      <c r="H44">
        <v>3</v>
      </c>
      <c r="I44" t="s">
        <v>104</v>
      </c>
      <c r="J44" t="s">
        <v>8</v>
      </c>
      <c r="K44" t="s">
        <v>8</v>
      </c>
      <c r="L44" t="s">
        <v>36</v>
      </c>
      <c r="M44" t="s">
        <v>105</v>
      </c>
    </row>
    <row r="45" spans="1:13">
      <c r="A45" s="5" t="str">
        <f>HYPERLINK("http://www.analog.com/zh/ad5780#details", "AD5780")</f>
        <v>AD5780</v>
      </c>
      <c r="B45" s="9">
        <v>18</v>
      </c>
      <c r="C45" s="9">
        <v>1</v>
      </c>
      <c r="D45" s="9" t="s">
        <v>106</v>
      </c>
      <c r="E45" t="s">
        <v>8</v>
      </c>
      <c r="F45" t="s">
        <v>66</v>
      </c>
      <c r="G45" t="s">
        <v>103</v>
      </c>
      <c r="H45">
        <v>1</v>
      </c>
      <c r="I45" t="s">
        <v>104</v>
      </c>
      <c r="J45" t="s">
        <v>8</v>
      </c>
      <c r="K45" t="s">
        <v>8</v>
      </c>
      <c r="L45" t="s">
        <v>36</v>
      </c>
      <c r="M45" t="s">
        <v>105</v>
      </c>
    </row>
    <row r="46" spans="1:13" hidden="1">
      <c r="A46" s="5" t="str">
        <f>HYPERLINK("http://www.analog.com/zh/ad5760#details", "AD5760")</f>
        <v>AD5760</v>
      </c>
      <c r="B46">
        <v>16</v>
      </c>
      <c r="C46">
        <v>1</v>
      </c>
      <c r="D46" t="s">
        <v>107</v>
      </c>
      <c r="E46" t="s">
        <v>8</v>
      </c>
      <c r="F46" t="s">
        <v>39</v>
      </c>
      <c r="G46" t="s">
        <v>103</v>
      </c>
      <c r="H46">
        <v>0.5</v>
      </c>
      <c r="I46" t="s">
        <v>104</v>
      </c>
      <c r="J46" t="s">
        <v>8</v>
      </c>
      <c r="K46" t="s">
        <v>8</v>
      </c>
      <c r="L46" t="s">
        <v>36</v>
      </c>
      <c r="M46" t="s">
        <v>105</v>
      </c>
    </row>
    <row r="47" spans="1:13" hidden="1">
      <c r="A47" s="5" t="str">
        <f>HYPERLINK("http://www.analog.com/zh/ad5669r#details", "AD5669R")</f>
        <v>AD5669R</v>
      </c>
      <c r="B47">
        <v>16</v>
      </c>
      <c r="C47">
        <v>8</v>
      </c>
      <c r="D47" t="s">
        <v>108</v>
      </c>
      <c r="E47" t="s">
        <v>8</v>
      </c>
      <c r="F47" t="s">
        <v>49</v>
      </c>
      <c r="G47" t="s">
        <v>109</v>
      </c>
      <c r="H47">
        <v>16</v>
      </c>
      <c r="I47" t="s">
        <v>104</v>
      </c>
      <c r="J47" t="s">
        <v>110</v>
      </c>
      <c r="K47" t="s">
        <v>111</v>
      </c>
      <c r="L47" t="s">
        <v>12</v>
      </c>
      <c r="M47" t="s">
        <v>112</v>
      </c>
    </row>
    <row r="48" spans="1:13" hidden="1">
      <c r="A48" s="5" t="str">
        <f>HYPERLINK("http://www.analog.com/zh/ad5629r#details", "AD5629R")</f>
        <v>AD5629R</v>
      </c>
      <c r="B48">
        <v>12</v>
      </c>
      <c r="C48">
        <v>8</v>
      </c>
      <c r="D48" t="s">
        <v>113</v>
      </c>
      <c r="E48" t="s">
        <v>8</v>
      </c>
      <c r="F48" t="s">
        <v>49</v>
      </c>
      <c r="G48" t="s">
        <v>109</v>
      </c>
      <c r="H48">
        <v>1</v>
      </c>
      <c r="I48" t="s">
        <v>104</v>
      </c>
      <c r="J48" t="s">
        <v>110</v>
      </c>
      <c r="K48" t="s">
        <v>114</v>
      </c>
      <c r="L48" t="s">
        <v>12</v>
      </c>
      <c r="M48" t="s">
        <v>115</v>
      </c>
    </row>
    <row r="49" spans="1:13" hidden="1">
      <c r="A49" s="5" t="str">
        <f>HYPERLINK("http://www.analog.com/zh/ad5542a#details", "AD5542A")</f>
        <v>AD5542A</v>
      </c>
      <c r="B49">
        <v>16</v>
      </c>
      <c r="C49">
        <v>1</v>
      </c>
      <c r="D49" t="s">
        <v>116</v>
      </c>
      <c r="E49" t="s">
        <v>8</v>
      </c>
      <c r="F49" t="s">
        <v>66</v>
      </c>
      <c r="G49" t="s">
        <v>103</v>
      </c>
      <c r="H49">
        <v>1</v>
      </c>
      <c r="I49" t="s">
        <v>8</v>
      </c>
      <c r="J49" t="s">
        <v>117</v>
      </c>
      <c r="K49" t="s">
        <v>86</v>
      </c>
      <c r="L49" t="s">
        <v>36</v>
      </c>
      <c r="M49" t="s">
        <v>118</v>
      </c>
    </row>
    <row r="50" spans="1:13" hidden="1">
      <c r="A50" s="5" t="str">
        <f>HYPERLINK("http://www.analog.com/zh/ad5512a#details", "AD5512A")</f>
        <v>AD5512A</v>
      </c>
      <c r="B50">
        <v>12</v>
      </c>
      <c r="C50">
        <v>1</v>
      </c>
      <c r="D50" t="s">
        <v>119</v>
      </c>
      <c r="E50" t="s">
        <v>8</v>
      </c>
      <c r="F50" t="s">
        <v>66</v>
      </c>
      <c r="G50" t="s">
        <v>103</v>
      </c>
      <c r="H50">
        <v>1</v>
      </c>
      <c r="I50" t="s">
        <v>8</v>
      </c>
      <c r="J50" t="s">
        <v>8</v>
      </c>
      <c r="K50" t="s">
        <v>86</v>
      </c>
      <c r="L50" t="s">
        <v>36</v>
      </c>
      <c r="M50" t="s">
        <v>120</v>
      </c>
    </row>
    <row r="51" spans="1:13">
      <c r="A51" s="5" t="str">
        <f>HYPERLINK("http://www.analog.com/zh/ad5791#details", "AD5791")</f>
        <v>AD5791</v>
      </c>
      <c r="B51">
        <v>20</v>
      </c>
      <c r="C51">
        <v>1</v>
      </c>
      <c r="D51" t="s">
        <v>121</v>
      </c>
      <c r="E51" t="s">
        <v>8</v>
      </c>
      <c r="F51" t="s">
        <v>66</v>
      </c>
      <c r="G51" t="s">
        <v>103</v>
      </c>
      <c r="H51">
        <v>1.5</v>
      </c>
      <c r="I51" t="s">
        <v>122</v>
      </c>
      <c r="J51" t="s">
        <v>8</v>
      </c>
      <c r="K51" t="s">
        <v>123</v>
      </c>
      <c r="L51" t="s">
        <v>36</v>
      </c>
      <c r="M51" t="s">
        <v>124</v>
      </c>
    </row>
    <row r="52" spans="1:13">
      <c r="A52" s="5" t="str">
        <f>HYPERLINK("http://www.analog.com/zh/ad5781#details", "AD5781")</f>
        <v>AD5781</v>
      </c>
      <c r="B52" s="9">
        <v>18</v>
      </c>
      <c r="C52" s="9">
        <v>1</v>
      </c>
      <c r="D52" s="9" t="s">
        <v>125</v>
      </c>
      <c r="E52" t="s">
        <v>8</v>
      </c>
      <c r="F52" t="s">
        <v>66</v>
      </c>
      <c r="G52" t="s">
        <v>103</v>
      </c>
      <c r="H52">
        <v>0.5</v>
      </c>
      <c r="I52" t="s">
        <v>122</v>
      </c>
      <c r="J52" t="s">
        <v>8</v>
      </c>
      <c r="K52" t="s">
        <v>126</v>
      </c>
      <c r="L52" t="s">
        <v>36</v>
      </c>
      <c r="M52" t="s">
        <v>124</v>
      </c>
    </row>
    <row r="53" spans="1:13" hidden="1">
      <c r="A53" s="5" t="str">
        <f>HYPERLINK("http://www.analog.com/zh/ad5541a#details", "AD5541A")</f>
        <v>AD5541A</v>
      </c>
      <c r="B53">
        <v>16</v>
      </c>
      <c r="C53">
        <v>1</v>
      </c>
      <c r="D53" t="s">
        <v>116</v>
      </c>
      <c r="E53" t="s">
        <v>8</v>
      </c>
      <c r="F53" t="s">
        <v>66</v>
      </c>
      <c r="G53" t="s">
        <v>127</v>
      </c>
      <c r="H53">
        <v>1</v>
      </c>
      <c r="I53" t="s">
        <v>8</v>
      </c>
      <c r="J53" t="s">
        <v>101</v>
      </c>
      <c r="K53" t="s">
        <v>128</v>
      </c>
      <c r="L53" t="s">
        <v>36</v>
      </c>
      <c r="M53" t="s">
        <v>129</v>
      </c>
    </row>
    <row r="54" spans="1:13" hidden="1">
      <c r="A54" s="5" t="str">
        <f>HYPERLINK("http://www.analog.com/zh/ad5504#details", "AD5504")</f>
        <v>AD5504</v>
      </c>
      <c r="B54">
        <v>12</v>
      </c>
      <c r="C54">
        <v>4</v>
      </c>
      <c r="D54" t="s">
        <v>130</v>
      </c>
      <c r="E54" t="s">
        <v>8</v>
      </c>
      <c r="F54" t="s">
        <v>66</v>
      </c>
      <c r="G54" t="s">
        <v>131</v>
      </c>
      <c r="H54">
        <v>2</v>
      </c>
      <c r="I54" t="s">
        <v>132</v>
      </c>
      <c r="J54" t="s">
        <v>8</v>
      </c>
      <c r="K54" t="s">
        <v>8</v>
      </c>
      <c r="L54" t="s">
        <v>12</v>
      </c>
      <c r="M54" t="s">
        <v>133</v>
      </c>
    </row>
    <row r="55" spans="1:13" hidden="1">
      <c r="A55" s="5" t="str">
        <f>HYPERLINK("http://www.analog.com/zh/ad5501#details", "AD5501")</f>
        <v>AD5501</v>
      </c>
      <c r="B55">
        <v>12</v>
      </c>
      <c r="C55">
        <v>1</v>
      </c>
      <c r="D55" t="s">
        <v>134</v>
      </c>
      <c r="E55" t="s">
        <v>8</v>
      </c>
      <c r="F55" t="s">
        <v>66</v>
      </c>
      <c r="G55" t="s">
        <v>131</v>
      </c>
      <c r="H55">
        <v>1</v>
      </c>
      <c r="I55" t="s">
        <v>132</v>
      </c>
      <c r="J55" t="s">
        <v>8</v>
      </c>
      <c r="K55" t="s">
        <v>135</v>
      </c>
      <c r="L55" t="s">
        <v>12</v>
      </c>
      <c r="M55" t="s">
        <v>133</v>
      </c>
    </row>
    <row r="56" spans="1:13" hidden="1">
      <c r="A56" s="5" t="str">
        <f>HYPERLINK("http://www.analog.com/zh/ad5066#details", "AD5066")</f>
        <v>AD5066</v>
      </c>
      <c r="B56">
        <v>16</v>
      </c>
      <c r="C56">
        <v>4</v>
      </c>
      <c r="D56" t="s">
        <v>136</v>
      </c>
      <c r="E56" t="s">
        <v>8</v>
      </c>
      <c r="F56" t="s">
        <v>66</v>
      </c>
      <c r="G56" t="s">
        <v>95</v>
      </c>
      <c r="H56">
        <v>2</v>
      </c>
      <c r="I56" t="s">
        <v>137</v>
      </c>
      <c r="J56" t="s">
        <v>138</v>
      </c>
      <c r="K56" t="s">
        <v>139</v>
      </c>
      <c r="L56" t="s">
        <v>12</v>
      </c>
      <c r="M56" t="s">
        <v>133</v>
      </c>
    </row>
    <row r="57" spans="1:13" hidden="1">
      <c r="A57" s="5" t="str">
        <f>HYPERLINK("http://www.analog.com/zh/ad5724r#details", "AD5724R")</f>
        <v>AD5724R</v>
      </c>
      <c r="B57">
        <v>12</v>
      </c>
      <c r="C57">
        <v>4</v>
      </c>
      <c r="D57" t="s">
        <v>140</v>
      </c>
      <c r="E57" t="s">
        <v>8</v>
      </c>
      <c r="F57" t="s">
        <v>66</v>
      </c>
      <c r="G57" t="s">
        <v>141</v>
      </c>
      <c r="H57">
        <v>1</v>
      </c>
      <c r="I57" t="s">
        <v>8</v>
      </c>
      <c r="J57" t="s">
        <v>142</v>
      </c>
      <c r="K57" t="s">
        <v>8</v>
      </c>
      <c r="L57" t="s">
        <v>36</v>
      </c>
      <c r="M57" t="s">
        <v>143</v>
      </c>
    </row>
    <row r="58" spans="1:13" hidden="1">
      <c r="A58" s="5" t="str">
        <f>HYPERLINK("http://www.analog.com/zh/ad5754r#details", "AD5754R")</f>
        <v>AD5754R</v>
      </c>
      <c r="B58">
        <v>16</v>
      </c>
      <c r="C58">
        <v>4</v>
      </c>
      <c r="D58" t="s">
        <v>144</v>
      </c>
      <c r="E58" t="s">
        <v>8</v>
      </c>
      <c r="F58" t="s">
        <v>66</v>
      </c>
      <c r="G58" t="s">
        <v>141</v>
      </c>
      <c r="H58">
        <v>16</v>
      </c>
      <c r="I58" t="s">
        <v>137</v>
      </c>
      <c r="J58" t="s">
        <v>142</v>
      </c>
      <c r="K58" t="s">
        <v>145</v>
      </c>
      <c r="L58" t="s">
        <v>36</v>
      </c>
      <c r="M58" t="s">
        <v>143</v>
      </c>
    </row>
    <row r="59" spans="1:13" hidden="1">
      <c r="A59" s="5" t="str">
        <f>HYPERLINK("http://www.analog.com/zh/ad5752r#details", "AD5752R")</f>
        <v>AD5752R</v>
      </c>
      <c r="B59">
        <v>16</v>
      </c>
      <c r="C59">
        <v>2</v>
      </c>
      <c r="D59" t="s">
        <v>140</v>
      </c>
      <c r="E59" t="s">
        <v>8</v>
      </c>
      <c r="F59" t="s">
        <v>66</v>
      </c>
      <c r="G59" t="s">
        <v>141</v>
      </c>
      <c r="H59">
        <v>16</v>
      </c>
      <c r="I59" t="s">
        <v>137</v>
      </c>
      <c r="J59" t="s">
        <v>146</v>
      </c>
      <c r="K59" t="s">
        <v>147</v>
      </c>
      <c r="L59" t="s">
        <v>36</v>
      </c>
      <c r="M59" t="s">
        <v>143</v>
      </c>
    </row>
    <row r="60" spans="1:13" hidden="1">
      <c r="A60" s="5" t="str">
        <f>HYPERLINK("http://www.analog.com/zh/ad5734r#details", "AD5734R")</f>
        <v>AD5734R</v>
      </c>
      <c r="B60">
        <v>14</v>
      </c>
      <c r="C60">
        <v>4</v>
      </c>
      <c r="D60" t="s">
        <v>148</v>
      </c>
      <c r="E60" t="s">
        <v>8</v>
      </c>
      <c r="F60" t="s">
        <v>66</v>
      </c>
      <c r="G60" t="s">
        <v>141</v>
      </c>
      <c r="H60">
        <v>4</v>
      </c>
      <c r="I60" t="s">
        <v>137</v>
      </c>
      <c r="J60" t="s">
        <v>142</v>
      </c>
      <c r="K60" t="s">
        <v>145</v>
      </c>
      <c r="L60" t="s">
        <v>36</v>
      </c>
      <c r="M60" t="s">
        <v>143</v>
      </c>
    </row>
    <row r="61" spans="1:13" hidden="1">
      <c r="A61" s="5" t="str">
        <f>HYPERLINK("http://www.analog.com/zh/ad5732r#details", "AD5732R")</f>
        <v>AD5732R</v>
      </c>
      <c r="B61">
        <v>14</v>
      </c>
      <c r="C61">
        <v>2</v>
      </c>
      <c r="D61" t="s">
        <v>149</v>
      </c>
      <c r="E61" t="s">
        <v>8</v>
      </c>
      <c r="F61" t="s">
        <v>66</v>
      </c>
      <c r="G61" t="s">
        <v>141</v>
      </c>
      <c r="H61">
        <v>4</v>
      </c>
      <c r="I61" t="s">
        <v>137</v>
      </c>
      <c r="J61" t="s">
        <v>146</v>
      </c>
      <c r="K61" t="s">
        <v>147</v>
      </c>
      <c r="L61" t="s">
        <v>36</v>
      </c>
      <c r="M61" t="s">
        <v>143</v>
      </c>
    </row>
    <row r="62" spans="1:13" hidden="1">
      <c r="A62" s="5" t="str">
        <f>HYPERLINK("http://www.analog.com/zh/ad5722r#details", "AD5722R")</f>
        <v>AD5722R</v>
      </c>
      <c r="B62">
        <v>12</v>
      </c>
      <c r="C62">
        <v>2</v>
      </c>
      <c r="D62" t="s">
        <v>150</v>
      </c>
      <c r="E62" t="s">
        <v>8</v>
      </c>
      <c r="F62" t="s">
        <v>66</v>
      </c>
      <c r="G62" t="s">
        <v>141</v>
      </c>
      <c r="H62">
        <v>1</v>
      </c>
      <c r="I62" t="s">
        <v>137</v>
      </c>
      <c r="J62" t="s">
        <v>142</v>
      </c>
      <c r="K62" t="s">
        <v>8</v>
      </c>
      <c r="L62" t="s">
        <v>36</v>
      </c>
      <c r="M62" t="s">
        <v>143</v>
      </c>
    </row>
    <row r="63" spans="1:13" hidden="1">
      <c r="A63" s="5" t="str">
        <f>HYPERLINK("http://www.analog.com/zh/ad5821a#details", "AD5821A")</f>
        <v>AD5821A</v>
      </c>
      <c r="B63">
        <v>10</v>
      </c>
      <c r="C63">
        <v>1</v>
      </c>
      <c r="D63" t="s">
        <v>151</v>
      </c>
      <c r="E63" t="s">
        <v>126</v>
      </c>
      <c r="F63" t="s">
        <v>49</v>
      </c>
      <c r="G63" t="s">
        <v>8</v>
      </c>
      <c r="H63" t="s">
        <v>8</v>
      </c>
      <c r="I63" t="s">
        <v>152</v>
      </c>
      <c r="J63" t="s">
        <v>153</v>
      </c>
      <c r="K63" t="s">
        <v>154</v>
      </c>
      <c r="L63" t="s">
        <v>36</v>
      </c>
      <c r="M63" t="s">
        <v>155</v>
      </c>
    </row>
    <row r="64" spans="1:13" hidden="1">
      <c r="A64" s="5" t="str">
        <f>HYPERLINK("http://www.analog.com/zh/ad5752#details", "AD5752")</f>
        <v>AD5752</v>
      </c>
      <c r="B64">
        <v>16</v>
      </c>
      <c r="C64">
        <v>2</v>
      </c>
      <c r="D64" t="s">
        <v>156</v>
      </c>
      <c r="E64" t="s">
        <v>8</v>
      </c>
      <c r="F64" t="s">
        <v>66</v>
      </c>
      <c r="G64" t="s">
        <v>141</v>
      </c>
      <c r="H64">
        <v>16</v>
      </c>
      <c r="I64" t="s">
        <v>137</v>
      </c>
      <c r="J64" t="s">
        <v>101</v>
      </c>
      <c r="K64" t="s">
        <v>147</v>
      </c>
      <c r="L64" t="s">
        <v>36</v>
      </c>
      <c r="M64" t="s">
        <v>143</v>
      </c>
    </row>
    <row r="65" spans="1:13" hidden="1">
      <c r="A65" s="5" t="str">
        <f>HYPERLINK("http://www.analog.com/zh/ad5744r#details", "AD5744R")</f>
        <v>AD5744R</v>
      </c>
      <c r="B65">
        <v>14</v>
      </c>
      <c r="C65">
        <v>4</v>
      </c>
      <c r="D65" t="s">
        <v>157</v>
      </c>
      <c r="E65" t="s">
        <v>8</v>
      </c>
      <c r="F65" t="s">
        <v>66</v>
      </c>
      <c r="G65" t="s">
        <v>158</v>
      </c>
      <c r="H65">
        <v>1</v>
      </c>
      <c r="I65" t="s">
        <v>8</v>
      </c>
      <c r="J65" t="s">
        <v>101</v>
      </c>
      <c r="K65" t="s">
        <v>159</v>
      </c>
      <c r="L65" t="s">
        <v>36</v>
      </c>
      <c r="M65" t="s">
        <v>160</v>
      </c>
    </row>
    <row r="66" spans="1:13" hidden="1">
      <c r="A66" s="5" t="str">
        <f>HYPERLINK("http://www.analog.com/zh/ad5732#details", "AD5732")</f>
        <v>AD5732</v>
      </c>
      <c r="B66">
        <v>14</v>
      </c>
      <c r="C66">
        <v>2</v>
      </c>
      <c r="D66" t="s">
        <v>150</v>
      </c>
      <c r="E66" t="s">
        <v>8</v>
      </c>
      <c r="F66" t="s">
        <v>66</v>
      </c>
      <c r="G66" t="s">
        <v>141</v>
      </c>
      <c r="H66">
        <v>4</v>
      </c>
      <c r="I66" t="s">
        <v>137</v>
      </c>
      <c r="J66" t="s">
        <v>101</v>
      </c>
      <c r="K66" t="s">
        <v>147</v>
      </c>
      <c r="L66" t="s">
        <v>36</v>
      </c>
      <c r="M66" t="s">
        <v>143</v>
      </c>
    </row>
    <row r="67" spans="1:13" hidden="1">
      <c r="A67" s="5" t="str">
        <f>HYPERLINK("http://www.analog.com/zh/ad5722#details", "AD5722")</f>
        <v>AD5722</v>
      </c>
      <c r="B67">
        <v>12</v>
      </c>
      <c r="C67">
        <v>2</v>
      </c>
      <c r="D67" t="s">
        <v>161</v>
      </c>
      <c r="E67" t="s">
        <v>8</v>
      </c>
      <c r="F67" t="s">
        <v>66</v>
      </c>
      <c r="G67" t="s">
        <v>162</v>
      </c>
      <c r="H67">
        <v>1</v>
      </c>
      <c r="I67" t="s">
        <v>137</v>
      </c>
      <c r="J67" t="s">
        <v>142</v>
      </c>
      <c r="K67" t="s">
        <v>8</v>
      </c>
      <c r="L67" t="s">
        <v>36</v>
      </c>
      <c r="M67" t="s">
        <v>143</v>
      </c>
    </row>
    <row r="68" spans="1:13" hidden="1">
      <c r="A68" s="5" t="str">
        <f>HYPERLINK("http://www.analog.com/zh/ad5398a#details", "AD5398A")</f>
        <v>AD5398A</v>
      </c>
      <c r="B68">
        <v>10</v>
      </c>
      <c r="C68">
        <v>1</v>
      </c>
      <c r="D68" t="s">
        <v>163</v>
      </c>
      <c r="E68" t="s">
        <v>126</v>
      </c>
      <c r="F68" t="s">
        <v>49</v>
      </c>
      <c r="G68" t="s">
        <v>8</v>
      </c>
      <c r="H68" t="s">
        <v>8</v>
      </c>
      <c r="I68" t="s">
        <v>152</v>
      </c>
      <c r="J68" t="s">
        <v>164</v>
      </c>
      <c r="K68" t="s">
        <v>111</v>
      </c>
      <c r="L68" t="s">
        <v>12</v>
      </c>
      <c r="M68" t="s">
        <v>165</v>
      </c>
    </row>
    <row r="69" spans="1:13" hidden="1">
      <c r="A69" s="5" t="str">
        <f>HYPERLINK("http://www.analog.com/zh/ad5065#details", "AD5065")</f>
        <v>AD5065</v>
      </c>
      <c r="B69">
        <v>16</v>
      </c>
      <c r="C69">
        <v>2</v>
      </c>
      <c r="D69" t="s">
        <v>166</v>
      </c>
      <c r="E69" t="s">
        <v>8</v>
      </c>
      <c r="F69" t="s">
        <v>66</v>
      </c>
      <c r="G69" t="s">
        <v>109</v>
      </c>
      <c r="H69">
        <v>2</v>
      </c>
      <c r="I69" t="s">
        <v>167</v>
      </c>
      <c r="J69" t="s">
        <v>168</v>
      </c>
      <c r="K69" t="s">
        <v>169</v>
      </c>
      <c r="L69" t="s">
        <v>12</v>
      </c>
      <c r="M69" t="s">
        <v>170</v>
      </c>
    </row>
    <row r="70" spans="1:13" hidden="1">
      <c r="A70" s="5" t="str">
        <f>HYPERLINK("http://www.analog.com/zh/ad5045#details", "AD5045")</f>
        <v>AD5045</v>
      </c>
      <c r="B70">
        <v>14</v>
      </c>
      <c r="C70">
        <v>2</v>
      </c>
      <c r="D70" t="s">
        <v>171</v>
      </c>
      <c r="E70" t="s">
        <v>8</v>
      </c>
      <c r="F70" t="s">
        <v>66</v>
      </c>
      <c r="G70" t="s">
        <v>109</v>
      </c>
      <c r="H70">
        <v>1</v>
      </c>
      <c r="I70" t="s">
        <v>167</v>
      </c>
      <c r="J70" t="s">
        <v>168</v>
      </c>
      <c r="K70" t="s">
        <v>169</v>
      </c>
      <c r="L70" t="s">
        <v>12</v>
      </c>
      <c r="M70" t="s">
        <v>170</v>
      </c>
    </row>
    <row r="71" spans="1:13" hidden="1">
      <c r="A71" s="5" t="str">
        <f>HYPERLINK("http://www.analog.com/zh/ad5025#details", "AD5025")</f>
        <v>AD5025</v>
      </c>
      <c r="B71">
        <v>12</v>
      </c>
      <c r="C71">
        <v>2</v>
      </c>
      <c r="D71" t="s">
        <v>172</v>
      </c>
      <c r="E71" t="s">
        <v>8</v>
      </c>
      <c r="F71" t="s">
        <v>66</v>
      </c>
      <c r="G71" t="s">
        <v>109</v>
      </c>
      <c r="H71">
        <v>0.05</v>
      </c>
      <c r="I71" t="s">
        <v>167</v>
      </c>
      <c r="J71" t="s">
        <v>168</v>
      </c>
      <c r="K71" t="s">
        <v>169</v>
      </c>
      <c r="L71" t="s">
        <v>12</v>
      </c>
      <c r="M71" t="s">
        <v>170</v>
      </c>
    </row>
    <row r="72" spans="1:13" hidden="1">
      <c r="A72" s="5" t="str">
        <f>HYPERLINK("http://www.analog.com/zh/ad5754#details", "AD5754")</f>
        <v>AD5754</v>
      </c>
      <c r="B72">
        <v>16</v>
      </c>
      <c r="C72">
        <v>4</v>
      </c>
      <c r="D72" t="s">
        <v>173</v>
      </c>
      <c r="E72" t="s">
        <v>8</v>
      </c>
      <c r="F72" t="s">
        <v>66</v>
      </c>
      <c r="G72" t="s">
        <v>141</v>
      </c>
      <c r="H72">
        <v>16</v>
      </c>
      <c r="I72" t="s">
        <v>137</v>
      </c>
      <c r="J72" t="s">
        <v>142</v>
      </c>
      <c r="K72" t="s">
        <v>145</v>
      </c>
      <c r="L72" t="s">
        <v>36</v>
      </c>
      <c r="M72" t="s">
        <v>143</v>
      </c>
    </row>
    <row r="73" spans="1:13" hidden="1">
      <c r="A73" s="5" t="str">
        <f>HYPERLINK("http://www.analog.com/zh/ad5734#details", "AD5734")</f>
        <v>AD5734</v>
      </c>
      <c r="B73">
        <v>14</v>
      </c>
      <c r="C73">
        <v>4</v>
      </c>
      <c r="D73" t="s">
        <v>174</v>
      </c>
      <c r="E73" t="s">
        <v>8</v>
      </c>
      <c r="F73" t="s">
        <v>66</v>
      </c>
      <c r="G73" t="s">
        <v>141</v>
      </c>
      <c r="H73">
        <v>4</v>
      </c>
      <c r="I73" t="s">
        <v>137</v>
      </c>
      <c r="J73" t="s">
        <v>142</v>
      </c>
      <c r="K73" t="s">
        <v>145</v>
      </c>
      <c r="L73" t="s">
        <v>36</v>
      </c>
      <c r="M73" t="s">
        <v>143</v>
      </c>
    </row>
    <row r="74" spans="1:13" hidden="1">
      <c r="A74" s="5" t="str">
        <f>HYPERLINK("http://www.analog.com/zh/ad5724#details", "AD5724")</f>
        <v>AD5724</v>
      </c>
      <c r="B74">
        <v>12</v>
      </c>
      <c r="C74">
        <v>4</v>
      </c>
      <c r="D74" t="s">
        <v>175</v>
      </c>
      <c r="E74" t="s">
        <v>8</v>
      </c>
      <c r="F74" t="s">
        <v>66</v>
      </c>
      <c r="G74" t="s">
        <v>141</v>
      </c>
      <c r="H74">
        <v>1</v>
      </c>
      <c r="I74" t="s">
        <v>137</v>
      </c>
      <c r="J74" t="s">
        <v>142</v>
      </c>
      <c r="K74" t="s">
        <v>145</v>
      </c>
      <c r="L74" t="s">
        <v>36</v>
      </c>
      <c r="M74" t="s">
        <v>143</v>
      </c>
    </row>
    <row r="75" spans="1:13" hidden="1">
      <c r="A75" s="5" t="str">
        <f>HYPERLINK("http://www.analog.com/zh/ad5064#details", "AD5064")</f>
        <v>AD5064</v>
      </c>
      <c r="B75">
        <v>16</v>
      </c>
      <c r="C75">
        <v>4</v>
      </c>
      <c r="D75" t="s">
        <v>176</v>
      </c>
      <c r="E75" t="s">
        <v>8</v>
      </c>
      <c r="F75" t="s">
        <v>66</v>
      </c>
      <c r="G75" t="s">
        <v>109</v>
      </c>
      <c r="H75">
        <v>2</v>
      </c>
      <c r="I75" t="s">
        <v>167</v>
      </c>
      <c r="J75" t="s">
        <v>177</v>
      </c>
      <c r="K75" t="s">
        <v>178</v>
      </c>
      <c r="L75" t="s">
        <v>12</v>
      </c>
      <c r="M75" t="s">
        <v>179</v>
      </c>
    </row>
    <row r="76" spans="1:13" hidden="1">
      <c r="A76" s="5" t="str">
        <f>HYPERLINK("http://www.analog.com/zh/ad5044#details", "AD5044")</f>
        <v>AD5044</v>
      </c>
      <c r="B76">
        <v>14</v>
      </c>
      <c r="C76">
        <v>4</v>
      </c>
      <c r="D76" t="s">
        <v>180</v>
      </c>
      <c r="E76" t="s">
        <v>8</v>
      </c>
      <c r="F76" t="s">
        <v>66</v>
      </c>
      <c r="G76" t="s">
        <v>109</v>
      </c>
      <c r="H76">
        <v>1</v>
      </c>
      <c r="I76" t="s">
        <v>167</v>
      </c>
      <c r="J76" t="s">
        <v>177</v>
      </c>
      <c r="K76" t="s">
        <v>181</v>
      </c>
      <c r="L76" t="s">
        <v>12</v>
      </c>
      <c r="M76" t="s">
        <v>133</v>
      </c>
    </row>
    <row r="77" spans="1:13" hidden="1">
      <c r="A77" s="5" t="str">
        <f>HYPERLINK("http://www.analog.com/zh/ad5024#details", "AD5024")</f>
        <v>AD5024</v>
      </c>
      <c r="B77">
        <v>12</v>
      </c>
      <c r="C77">
        <v>4</v>
      </c>
      <c r="D77" t="s">
        <v>182</v>
      </c>
      <c r="E77" t="s">
        <v>8</v>
      </c>
      <c r="F77" t="s">
        <v>66</v>
      </c>
      <c r="G77" t="s">
        <v>109</v>
      </c>
      <c r="H77">
        <v>0.5</v>
      </c>
      <c r="I77" t="s">
        <v>167</v>
      </c>
      <c r="J77" t="s">
        <v>177</v>
      </c>
      <c r="K77" t="s">
        <v>181</v>
      </c>
      <c r="L77" t="s">
        <v>12</v>
      </c>
      <c r="M77" t="s">
        <v>133</v>
      </c>
    </row>
    <row r="78" spans="1:13" hidden="1">
      <c r="A78" s="5" t="str">
        <f>HYPERLINK("http://www.analog.com/zh/ad5626#details", "AD5626")</f>
        <v>AD5626</v>
      </c>
      <c r="B78">
        <v>12</v>
      </c>
      <c r="C78">
        <v>1</v>
      </c>
      <c r="D78" t="s">
        <v>183</v>
      </c>
      <c r="E78" t="s">
        <v>8</v>
      </c>
      <c r="F78" t="s">
        <v>88</v>
      </c>
      <c r="G78" t="s">
        <v>184</v>
      </c>
      <c r="H78">
        <v>1</v>
      </c>
      <c r="I78" t="s">
        <v>8</v>
      </c>
      <c r="J78" t="s">
        <v>185</v>
      </c>
      <c r="K78" t="s">
        <v>139</v>
      </c>
      <c r="L78" t="s">
        <v>12</v>
      </c>
      <c r="M78" t="s">
        <v>186</v>
      </c>
    </row>
    <row r="79" spans="1:13" hidden="1">
      <c r="A79" s="5" t="str">
        <f>HYPERLINK("http://www.analog.com/zh/ad5441#details", "AD5441")</f>
        <v>AD5441</v>
      </c>
      <c r="B79">
        <v>12</v>
      </c>
      <c r="C79">
        <v>1</v>
      </c>
      <c r="D79" t="s">
        <v>187</v>
      </c>
      <c r="E79" t="s">
        <v>188</v>
      </c>
      <c r="F79" t="s">
        <v>88</v>
      </c>
      <c r="G79" t="s">
        <v>8</v>
      </c>
      <c r="H79" t="s">
        <v>8</v>
      </c>
      <c r="I79" t="s">
        <v>8</v>
      </c>
      <c r="J79" t="s">
        <v>189</v>
      </c>
      <c r="K79" t="s">
        <v>190</v>
      </c>
      <c r="L79" t="s">
        <v>36</v>
      </c>
      <c r="M79" t="s">
        <v>191</v>
      </c>
    </row>
    <row r="80" spans="1:13" hidden="1">
      <c r="A80" s="5" t="str">
        <f>HYPERLINK("http://www.analog.com/zh/ad5725#details", "AD5725")</f>
        <v>AD5725</v>
      </c>
      <c r="B80">
        <v>12</v>
      </c>
      <c r="C80">
        <v>4</v>
      </c>
      <c r="D80" t="s">
        <v>171</v>
      </c>
      <c r="E80" t="s">
        <v>154</v>
      </c>
      <c r="F80" t="s">
        <v>192</v>
      </c>
      <c r="G80" t="s">
        <v>8</v>
      </c>
      <c r="H80">
        <v>0.5</v>
      </c>
      <c r="I80" t="s">
        <v>8</v>
      </c>
      <c r="J80" t="s">
        <v>142</v>
      </c>
      <c r="K80" t="s">
        <v>193</v>
      </c>
      <c r="L80" t="s">
        <v>36</v>
      </c>
      <c r="M80" t="s">
        <v>194</v>
      </c>
    </row>
    <row r="81" spans="1:13" hidden="1">
      <c r="A81" s="5" t="str">
        <f>HYPERLINK("http://www.analog.com/zh/ad5726#details", "AD5726")</f>
        <v>AD5726</v>
      </c>
      <c r="B81">
        <v>12</v>
      </c>
      <c r="C81">
        <v>4</v>
      </c>
      <c r="D81" t="s">
        <v>195</v>
      </c>
      <c r="E81" t="s">
        <v>8</v>
      </c>
      <c r="F81" t="s">
        <v>66</v>
      </c>
      <c r="G81" t="s">
        <v>8</v>
      </c>
      <c r="H81">
        <v>0.5</v>
      </c>
      <c r="I81" t="s">
        <v>8</v>
      </c>
      <c r="J81" t="s">
        <v>196</v>
      </c>
      <c r="K81" t="s">
        <v>197</v>
      </c>
      <c r="L81" t="s">
        <v>36</v>
      </c>
      <c r="M81" t="s">
        <v>198</v>
      </c>
    </row>
    <row r="82" spans="1:13" hidden="1">
      <c r="A82" s="5" t="str">
        <f>HYPERLINK("http://www.analog.com/zh/ad5665r#details", "AD5665R")</f>
        <v>AD5665R</v>
      </c>
      <c r="B82">
        <v>16</v>
      </c>
      <c r="C82">
        <v>4</v>
      </c>
      <c r="D82" t="s">
        <v>199</v>
      </c>
      <c r="E82" t="s">
        <v>8</v>
      </c>
      <c r="F82" t="s">
        <v>49</v>
      </c>
      <c r="G82" t="s">
        <v>109</v>
      </c>
      <c r="H82">
        <v>16</v>
      </c>
      <c r="I82" t="s">
        <v>200</v>
      </c>
      <c r="J82" t="s">
        <v>8</v>
      </c>
      <c r="K82" t="s">
        <v>201</v>
      </c>
      <c r="L82" t="s">
        <v>12</v>
      </c>
      <c r="M82" t="s">
        <v>202</v>
      </c>
    </row>
    <row r="83" spans="1:13" hidden="1">
      <c r="A83" s="5" t="str">
        <f>HYPERLINK("http://www.analog.com/zh/ad5665#details", "AD5665")</f>
        <v>AD5665</v>
      </c>
      <c r="B83">
        <v>16</v>
      </c>
      <c r="C83">
        <v>4</v>
      </c>
      <c r="D83" t="s">
        <v>203</v>
      </c>
      <c r="E83" t="s">
        <v>8</v>
      </c>
      <c r="F83" t="s">
        <v>49</v>
      </c>
      <c r="G83" t="s">
        <v>109</v>
      </c>
      <c r="H83">
        <v>16</v>
      </c>
      <c r="I83" t="s">
        <v>200</v>
      </c>
      <c r="J83" t="s">
        <v>8</v>
      </c>
      <c r="K83" t="s">
        <v>204</v>
      </c>
      <c r="L83" t="s">
        <v>12</v>
      </c>
      <c r="M83" t="s">
        <v>205</v>
      </c>
    </row>
    <row r="84" spans="1:13" hidden="1">
      <c r="A84" s="5" t="str">
        <f>HYPERLINK("http://www.analog.com/zh/ad5645r#details", "AD5645R")</f>
        <v>AD5645R</v>
      </c>
      <c r="B84">
        <v>14</v>
      </c>
      <c r="C84">
        <v>4</v>
      </c>
      <c r="D84" t="s">
        <v>206</v>
      </c>
      <c r="E84" t="s">
        <v>8</v>
      </c>
      <c r="F84" t="s">
        <v>49</v>
      </c>
      <c r="G84" t="s">
        <v>109</v>
      </c>
      <c r="H84">
        <v>4</v>
      </c>
      <c r="I84" t="s">
        <v>200</v>
      </c>
      <c r="J84" t="s">
        <v>207</v>
      </c>
      <c r="K84" t="s">
        <v>201</v>
      </c>
      <c r="L84" t="s">
        <v>12</v>
      </c>
      <c r="M84" t="s">
        <v>205</v>
      </c>
    </row>
    <row r="85" spans="1:13" hidden="1">
      <c r="A85" s="5" t="str">
        <f>HYPERLINK("http://www.analog.com/zh/ad5625r#details", "AD5625R")</f>
        <v>AD5625R</v>
      </c>
      <c r="B85">
        <v>12</v>
      </c>
      <c r="C85">
        <v>4</v>
      </c>
      <c r="D85" t="s">
        <v>208</v>
      </c>
      <c r="E85" t="s">
        <v>8</v>
      </c>
      <c r="F85" t="s">
        <v>49</v>
      </c>
      <c r="G85" t="s">
        <v>109</v>
      </c>
      <c r="H85">
        <v>1</v>
      </c>
      <c r="I85" t="s">
        <v>200</v>
      </c>
      <c r="J85" t="s">
        <v>207</v>
      </c>
      <c r="K85" t="s">
        <v>201</v>
      </c>
      <c r="L85" t="s">
        <v>12</v>
      </c>
      <c r="M85" t="s">
        <v>209</v>
      </c>
    </row>
    <row r="86" spans="1:13" hidden="1">
      <c r="A86" s="5" t="str">
        <f>HYPERLINK("http://www.analog.com/zh/ad5625#details", "AD5625")</f>
        <v>AD5625</v>
      </c>
      <c r="B86">
        <v>12</v>
      </c>
      <c r="C86">
        <v>4</v>
      </c>
      <c r="D86" t="s">
        <v>210</v>
      </c>
      <c r="E86" t="s">
        <v>8</v>
      </c>
      <c r="F86" t="s">
        <v>49</v>
      </c>
      <c r="G86" t="s">
        <v>109</v>
      </c>
      <c r="H86">
        <v>1</v>
      </c>
      <c r="I86" t="s">
        <v>200</v>
      </c>
      <c r="J86" t="s">
        <v>207</v>
      </c>
      <c r="K86" t="s">
        <v>211</v>
      </c>
      <c r="L86" t="s">
        <v>12</v>
      </c>
      <c r="M86" t="s">
        <v>205</v>
      </c>
    </row>
    <row r="87" spans="1:13" hidden="1">
      <c r="A87" s="5" t="str">
        <f>HYPERLINK("http://www.analog.com/zh/ad5821#details", "AD5821")</f>
        <v>AD5821</v>
      </c>
      <c r="B87">
        <v>10</v>
      </c>
      <c r="C87">
        <v>1</v>
      </c>
      <c r="D87" t="s">
        <v>8</v>
      </c>
      <c r="E87" t="s">
        <v>126</v>
      </c>
      <c r="F87" t="s">
        <v>49</v>
      </c>
      <c r="G87" t="s">
        <v>8</v>
      </c>
      <c r="H87" t="s">
        <v>8</v>
      </c>
      <c r="I87" t="s">
        <v>152</v>
      </c>
      <c r="J87" t="s">
        <v>153</v>
      </c>
      <c r="K87" t="s">
        <v>181</v>
      </c>
      <c r="L87" t="s">
        <v>36</v>
      </c>
      <c r="M87" t="s">
        <v>212</v>
      </c>
    </row>
    <row r="88" spans="1:13" hidden="1">
      <c r="A88" s="5" t="str">
        <f>HYPERLINK("http://www.analog.com/zh/ad5667r#details", "AD5667R")</f>
        <v>AD5667R</v>
      </c>
      <c r="B88">
        <v>16</v>
      </c>
      <c r="C88">
        <v>2</v>
      </c>
      <c r="D88" t="s">
        <v>213</v>
      </c>
      <c r="E88" t="s">
        <v>8</v>
      </c>
      <c r="F88" t="s">
        <v>49</v>
      </c>
      <c r="G88" t="s">
        <v>109</v>
      </c>
      <c r="H88">
        <v>12</v>
      </c>
      <c r="I88" t="s">
        <v>214</v>
      </c>
      <c r="J88" t="s">
        <v>215</v>
      </c>
      <c r="K88" t="s">
        <v>216</v>
      </c>
      <c r="L88" t="s">
        <v>12</v>
      </c>
      <c r="M88" t="s">
        <v>217</v>
      </c>
    </row>
    <row r="89" spans="1:13" hidden="1">
      <c r="A89" s="5" t="str">
        <f>HYPERLINK("http://www.analog.com/zh/ad5667#details", "AD5667")</f>
        <v>AD5667</v>
      </c>
      <c r="B89">
        <v>16</v>
      </c>
      <c r="C89">
        <v>2</v>
      </c>
      <c r="D89" t="s">
        <v>218</v>
      </c>
      <c r="E89" t="s">
        <v>8</v>
      </c>
      <c r="F89" t="s">
        <v>49</v>
      </c>
      <c r="G89" t="s">
        <v>109</v>
      </c>
      <c r="H89">
        <v>12</v>
      </c>
      <c r="I89" t="s">
        <v>214</v>
      </c>
      <c r="J89" t="s">
        <v>215</v>
      </c>
      <c r="K89" t="s">
        <v>216</v>
      </c>
      <c r="L89" t="s">
        <v>12</v>
      </c>
      <c r="M89" t="s">
        <v>217</v>
      </c>
    </row>
    <row r="90" spans="1:13" hidden="1">
      <c r="A90" s="5" t="str">
        <f>HYPERLINK("http://www.analog.com/zh/ad5647r#details", "AD5647R")</f>
        <v>AD5647R</v>
      </c>
      <c r="B90">
        <v>14</v>
      </c>
      <c r="C90">
        <v>2</v>
      </c>
      <c r="D90" t="s">
        <v>219</v>
      </c>
      <c r="E90" t="s">
        <v>8</v>
      </c>
      <c r="F90" t="s">
        <v>49</v>
      </c>
      <c r="G90" t="s">
        <v>109</v>
      </c>
      <c r="H90">
        <v>4</v>
      </c>
      <c r="I90" t="s">
        <v>220</v>
      </c>
      <c r="J90" t="s">
        <v>221</v>
      </c>
      <c r="K90" t="s">
        <v>216</v>
      </c>
      <c r="L90" t="s">
        <v>12</v>
      </c>
      <c r="M90" t="s">
        <v>222</v>
      </c>
    </row>
    <row r="91" spans="1:13" hidden="1">
      <c r="A91" s="5" t="str">
        <f>HYPERLINK("http://www.analog.com/zh/ad5627r#details", "AD5627R")</f>
        <v>AD5627R</v>
      </c>
      <c r="B91">
        <v>12</v>
      </c>
      <c r="C91">
        <v>2</v>
      </c>
      <c r="D91" t="s">
        <v>223</v>
      </c>
      <c r="E91" t="s">
        <v>8</v>
      </c>
      <c r="F91" t="s">
        <v>49</v>
      </c>
      <c r="G91" t="s">
        <v>109</v>
      </c>
      <c r="H91">
        <v>1</v>
      </c>
      <c r="I91" t="s">
        <v>200</v>
      </c>
      <c r="J91" t="s">
        <v>207</v>
      </c>
      <c r="K91" t="s">
        <v>216</v>
      </c>
      <c r="L91" t="s">
        <v>12</v>
      </c>
      <c r="M91" t="s">
        <v>217</v>
      </c>
    </row>
    <row r="92" spans="1:13" hidden="1">
      <c r="A92" s="5" t="str">
        <f>HYPERLINK("http://www.analog.com/zh/ad5627#details", "AD5627")</f>
        <v>AD5627</v>
      </c>
      <c r="B92">
        <v>12</v>
      </c>
      <c r="C92">
        <v>2</v>
      </c>
      <c r="D92" t="s">
        <v>224</v>
      </c>
      <c r="E92" t="s">
        <v>8</v>
      </c>
      <c r="F92" t="s">
        <v>49</v>
      </c>
      <c r="G92" t="s">
        <v>109</v>
      </c>
      <c r="H92">
        <v>1</v>
      </c>
      <c r="I92" t="s">
        <v>200</v>
      </c>
      <c r="J92" t="s">
        <v>207</v>
      </c>
      <c r="K92" t="s">
        <v>216</v>
      </c>
      <c r="L92" t="s">
        <v>12</v>
      </c>
      <c r="M92" t="s">
        <v>217</v>
      </c>
    </row>
    <row r="93" spans="1:13">
      <c r="A93" s="5" t="str">
        <f>HYPERLINK("http://www.analog.com/zh/ad5680#details", "AD5680")</f>
        <v>AD5680</v>
      </c>
      <c r="B93">
        <v>18</v>
      </c>
      <c r="C93">
        <v>1</v>
      </c>
      <c r="D93" t="s">
        <v>225</v>
      </c>
      <c r="E93" t="s">
        <v>8</v>
      </c>
      <c r="F93" t="s">
        <v>66</v>
      </c>
      <c r="G93" t="s">
        <v>109</v>
      </c>
      <c r="H93">
        <v>64.06</v>
      </c>
      <c r="I93" t="s">
        <v>226</v>
      </c>
      <c r="J93" t="s">
        <v>227</v>
      </c>
      <c r="K93" t="s">
        <v>228</v>
      </c>
      <c r="L93" t="s">
        <v>12</v>
      </c>
      <c r="M93" t="s">
        <v>229</v>
      </c>
    </row>
    <row r="94" spans="1:13" hidden="1">
      <c r="A94" s="5" t="str">
        <f>HYPERLINK("http://www.analog.com/zh/ad5664#details", "AD5664")</f>
        <v>AD5664</v>
      </c>
      <c r="B94">
        <v>16</v>
      </c>
      <c r="C94">
        <v>4</v>
      </c>
      <c r="D94" t="s">
        <v>230</v>
      </c>
      <c r="E94" t="s">
        <v>8</v>
      </c>
      <c r="F94" t="s">
        <v>66</v>
      </c>
      <c r="G94" t="s">
        <v>109</v>
      </c>
      <c r="H94">
        <v>12</v>
      </c>
      <c r="I94" t="s">
        <v>214</v>
      </c>
      <c r="J94" t="s">
        <v>231</v>
      </c>
      <c r="K94" t="s">
        <v>232</v>
      </c>
      <c r="L94" t="s">
        <v>12</v>
      </c>
      <c r="M94" t="s">
        <v>222</v>
      </c>
    </row>
    <row r="95" spans="1:13" hidden="1">
      <c r="A95" s="5" t="str">
        <f>HYPERLINK("http://www.analog.com/zh/ad5624#details", "AD5624")</f>
        <v>AD5624</v>
      </c>
      <c r="B95">
        <v>12</v>
      </c>
      <c r="C95">
        <v>4</v>
      </c>
      <c r="D95" t="s">
        <v>233</v>
      </c>
      <c r="E95" t="s">
        <v>8</v>
      </c>
      <c r="F95" t="s">
        <v>66</v>
      </c>
      <c r="G95" t="s">
        <v>109</v>
      </c>
      <c r="H95">
        <v>1</v>
      </c>
      <c r="I95" t="s">
        <v>200</v>
      </c>
      <c r="J95" t="s">
        <v>234</v>
      </c>
      <c r="K95" t="s">
        <v>232</v>
      </c>
      <c r="L95" t="s">
        <v>12</v>
      </c>
      <c r="M95" t="s">
        <v>217</v>
      </c>
    </row>
    <row r="96" spans="1:13" hidden="1">
      <c r="A96" s="5" t="str">
        <f>HYPERLINK("http://www.analog.com/zh/ad5623r#details", "AD5623R")</f>
        <v>AD5623R</v>
      </c>
      <c r="B96">
        <v>12</v>
      </c>
      <c r="C96">
        <v>2</v>
      </c>
      <c r="D96" t="s">
        <v>235</v>
      </c>
      <c r="E96" t="s">
        <v>8</v>
      </c>
      <c r="F96" t="s">
        <v>66</v>
      </c>
      <c r="G96" t="s">
        <v>109</v>
      </c>
      <c r="H96" t="s">
        <v>8</v>
      </c>
      <c r="I96" t="s">
        <v>8</v>
      </c>
      <c r="J96" t="s">
        <v>234</v>
      </c>
      <c r="K96" t="s">
        <v>236</v>
      </c>
      <c r="L96" t="s">
        <v>12</v>
      </c>
      <c r="M96" t="s">
        <v>222</v>
      </c>
    </row>
    <row r="97" spans="1:13" hidden="1">
      <c r="A97" s="5" t="str">
        <f>HYPERLINK("http://www.analog.com/zh/ad5663#details", "AD5663")</f>
        <v>AD5663</v>
      </c>
      <c r="B97">
        <v>16</v>
      </c>
      <c r="C97">
        <v>2</v>
      </c>
      <c r="D97" t="s">
        <v>237</v>
      </c>
      <c r="E97" t="s">
        <v>8</v>
      </c>
      <c r="F97" t="s">
        <v>66</v>
      </c>
      <c r="G97" t="s">
        <v>109</v>
      </c>
      <c r="H97">
        <v>12</v>
      </c>
      <c r="I97" t="s">
        <v>214</v>
      </c>
      <c r="J97" t="s">
        <v>238</v>
      </c>
      <c r="K97" t="s">
        <v>236</v>
      </c>
      <c r="L97" t="s">
        <v>12</v>
      </c>
      <c r="M97" t="s">
        <v>217</v>
      </c>
    </row>
    <row r="98" spans="1:13" hidden="1">
      <c r="A98" s="5" t="str">
        <f>HYPERLINK("http://www.analog.com/zh/ad5624r#details", "AD5624R")</f>
        <v>AD5624R</v>
      </c>
      <c r="B98">
        <v>12</v>
      </c>
      <c r="C98">
        <v>4</v>
      </c>
      <c r="D98" t="s">
        <v>239</v>
      </c>
      <c r="E98" t="s">
        <v>8</v>
      </c>
      <c r="F98" t="s">
        <v>66</v>
      </c>
      <c r="G98" t="s">
        <v>109</v>
      </c>
      <c r="H98">
        <v>1</v>
      </c>
      <c r="I98" t="s">
        <v>200</v>
      </c>
      <c r="J98" t="s">
        <v>234</v>
      </c>
      <c r="K98" t="s">
        <v>240</v>
      </c>
      <c r="L98" t="s">
        <v>12</v>
      </c>
      <c r="M98" t="s">
        <v>222</v>
      </c>
    </row>
    <row r="99" spans="1:13" hidden="1">
      <c r="A99" s="5" t="str">
        <f>HYPERLINK("http://www.analog.com/zh/ad5453#details", "AD5453")</f>
        <v>AD5453</v>
      </c>
      <c r="B99">
        <v>14</v>
      </c>
      <c r="C99">
        <v>1</v>
      </c>
      <c r="D99" t="s">
        <v>241</v>
      </c>
      <c r="E99" t="s">
        <v>8</v>
      </c>
      <c r="F99" t="s">
        <v>66</v>
      </c>
      <c r="G99" t="s">
        <v>8</v>
      </c>
      <c r="H99" t="s">
        <v>8</v>
      </c>
      <c r="I99" t="s">
        <v>8</v>
      </c>
      <c r="J99" t="s">
        <v>242</v>
      </c>
      <c r="K99" t="s">
        <v>243</v>
      </c>
      <c r="L99" t="s">
        <v>36</v>
      </c>
      <c r="M99" t="s">
        <v>244</v>
      </c>
    </row>
    <row r="100" spans="1:13" hidden="1">
      <c r="A100" s="5" t="str">
        <f>HYPERLINK("http://www.analog.com/zh/ad5446#details", "AD5446")</f>
        <v>AD5446</v>
      </c>
      <c r="B100">
        <v>14</v>
      </c>
      <c r="C100">
        <v>1</v>
      </c>
      <c r="D100" t="s">
        <v>245</v>
      </c>
      <c r="E100" t="s">
        <v>8</v>
      </c>
      <c r="F100" t="s">
        <v>66</v>
      </c>
      <c r="G100" t="s">
        <v>8</v>
      </c>
      <c r="H100" t="s">
        <v>8</v>
      </c>
      <c r="I100" t="s">
        <v>8</v>
      </c>
      <c r="J100" t="s">
        <v>242</v>
      </c>
      <c r="K100" t="s">
        <v>243</v>
      </c>
      <c r="L100" t="s">
        <v>36</v>
      </c>
      <c r="M100" t="s">
        <v>75</v>
      </c>
    </row>
    <row r="101" spans="1:13" hidden="1">
      <c r="A101" s="5" t="str">
        <f>HYPERLINK("http://www.analog.com/zh/ad5678#details", "AD5678")</f>
        <v>AD5678</v>
      </c>
      <c r="B101">
        <v>16</v>
      </c>
      <c r="C101">
        <v>8</v>
      </c>
      <c r="D101" t="s">
        <v>246</v>
      </c>
      <c r="E101" t="s">
        <v>8</v>
      </c>
      <c r="F101" t="s">
        <v>66</v>
      </c>
      <c r="G101" t="s">
        <v>109</v>
      </c>
      <c r="H101">
        <v>1</v>
      </c>
      <c r="I101" t="s">
        <v>247</v>
      </c>
      <c r="J101" t="s">
        <v>248</v>
      </c>
      <c r="K101" t="s">
        <v>139</v>
      </c>
      <c r="L101" t="s">
        <v>12</v>
      </c>
      <c r="M101" t="s">
        <v>179</v>
      </c>
    </row>
    <row r="102" spans="1:13" hidden="1">
      <c r="A102" s="5" t="str">
        <f>HYPERLINK("http://www.analog.com/zh/ad5668#details", "AD5668")</f>
        <v>AD5668</v>
      </c>
      <c r="B102">
        <v>16</v>
      </c>
      <c r="C102">
        <v>8</v>
      </c>
      <c r="D102" t="s">
        <v>249</v>
      </c>
      <c r="E102" t="s">
        <v>8</v>
      </c>
      <c r="F102" t="s">
        <v>66</v>
      </c>
      <c r="G102" t="s">
        <v>109</v>
      </c>
      <c r="H102">
        <v>16</v>
      </c>
      <c r="I102" t="s">
        <v>104</v>
      </c>
      <c r="J102" t="s">
        <v>248</v>
      </c>
      <c r="K102" t="s">
        <v>250</v>
      </c>
      <c r="L102" t="s">
        <v>12</v>
      </c>
      <c r="M102" t="s">
        <v>251</v>
      </c>
    </row>
    <row r="103" spans="1:13" hidden="1">
      <c r="A103" s="5" t="str">
        <f>HYPERLINK("http://www.analog.com/zh/ad5666#details", "AD5666")</f>
        <v>AD5666</v>
      </c>
      <c r="B103">
        <v>16</v>
      </c>
      <c r="C103">
        <v>4</v>
      </c>
      <c r="D103" t="s">
        <v>252</v>
      </c>
      <c r="E103" t="s">
        <v>8</v>
      </c>
      <c r="F103" t="s">
        <v>66</v>
      </c>
      <c r="G103" t="s">
        <v>109</v>
      </c>
      <c r="H103">
        <v>16</v>
      </c>
      <c r="I103" t="s">
        <v>247</v>
      </c>
      <c r="J103" t="s">
        <v>248</v>
      </c>
      <c r="K103" t="s">
        <v>139</v>
      </c>
      <c r="L103" t="s">
        <v>12</v>
      </c>
      <c r="M103" t="s">
        <v>170</v>
      </c>
    </row>
    <row r="104" spans="1:13" hidden="1">
      <c r="A104" s="5" t="str">
        <f>HYPERLINK("http://www.analog.com/zh/ad5648#details", "AD5648")</f>
        <v>AD5648</v>
      </c>
      <c r="B104">
        <v>14</v>
      </c>
      <c r="C104">
        <v>8</v>
      </c>
      <c r="D104" t="s">
        <v>253</v>
      </c>
      <c r="E104" t="s">
        <v>8</v>
      </c>
      <c r="F104" t="s">
        <v>66</v>
      </c>
      <c r="G104" t="s">
        <v>109</v>
      </c>
      <c r="H104">
        <v>4</v>
      </c>
      <c r="I104" t="s">
        <v>104</v>
      </c>
      <c r="J104" t="s">
        <v>248</v>
      </c>
      <c r="K104" t="s">
        <v>250</v>
      </c>
      <c r="L104" t="s">
        <v>12</v>
      </c>
      <c r="M104" t="s">
        <v>254</v>
      </c>
    </row>
    <row r="105" spans="1:13" hidden="1">
      <c r="A105" s="5" t="str">
        <f>HYPERLINK("http://www.analog.com/zh/ad5628#details", "AD5628")</f>
        <v>AD5628</v>
      </c>
      <c r="B105">
        <v>12</v>
      </c>
      <c r="C105">
        <v>8</v>
      </c>
      <c r="D105" t="s">
        <v>255</v>
      </c>
      <c r="E105" t="s">
        <v>8</v>
      </c>
      <c r="F105" t="s">
        <v>66</v>
      </c>
      <c r="G105" t="s">
        <v>109</v>
      </c>
      <c r="H105">
        <v>1</v>
      </c>
      <c r="I105" t="s">
        <v>104</v>
      </c>
      <c r="J105" t="s">
        <v>248</v>
      </c>
      <c r="K105" t="s">
        <v>139</v>
      </c>
      <c r="L105" t="s">
        <v>12</v>
      </c>
      <c r="M105" t="s">
        <v>256</v>
      </c>
    </row>
    <row r="106" spans="1:13" hidden="1">
      <c r="A106" s="5" t="str">
        <f>HYPERLINK("http://www.analog.com/zh/ad5060#details", "AD5060")</f>
        <v>AD5060</v>
      </c>
      <c r="B106">
        <v>16</v>
      </c>
      <c r="C106">
        <v>1</v>
      </c>
      <c r="D106" t="s">
        <v>257</v>
      </c>
      <c r="E106" t="s">
        <v>8</v>
      </c>
      <c r="F106" t="s">
        <v>66</v>
      </c>
      <c r="G106" t="s">
        <v>95</v>
      </c>
      <c r="H106">
        <v>1</v>
      </c>
      <c r="I106" t="s">
        <v>214</v>
      </c>
      <c r="J106" t="s">
        <v>215</v>
      </c>
      <c r="K106" t="s">
        <v>154</v>
      </c>
      <c r="L106" t="s">
        <v>12</v>
      </c>
      <c r="M106" t="s">
        <v>258</v>
      </c>
    </row>
    <row r="107" spans="1:13" hidden="1">
      <c r="A107" s="5" t="str">
        <f>HYPERLINK("http://www.analog.com/zh/ad5040#details", "AD5040")</f>
        <v>AD5040</v>
      </c>
      <c r="B107">
        <v>14</v>
      </c>
      <c r="C107">
        <v>1</v>
      </c>
      <c r="D107" t="s">
        <v>259</v>
      </c>
      <c r="E107" t="s">
        <v>8</v>
      </c>
      <c r="F107" t="s">
        <v>66</v>
      </c>
      <c r="G107" t="s">
        <v>95</v>
      </c>
      <c r="H107">
        <v>1</v>
      </c>
      <c r="I107" t="s">
        <v>214</v>
      </c>
      <c r="J107" t="s">
        <v>215</v>
      </c>
      <c r="K107" t="s">
        <v>154</v>
      </c>
      <c r="L107" t="s">
        <v>12</v>
      </c>
      <c r="M107" t="s">
        <v>258</v>
      </c>
    </row>
    <row r="108" spans="1:13" hidden="1">
      <c r="A108" s="5" t="str">
        <f>HYPERLINK("http://www.analog.com/zh/ad5660#details", "AD5660")</f>
        <v>AD5660</v>
      </c>
      <c r="B108">
        <v>16</v>
      </c>
      <c r="C108">
        <v>1</v>
      </c>
      <c r="D108" t="s">
        <v>225</v>
      </c>
      <c r="E108" t="s">
        <v>8</v>
      </c>
      <c r="F108" t="s">
        <v>66</v>
      </c>
      <c r="G108" t="s">
        <v>109</v>
      </c>
      <c r="H108">
        <v>16</v>
      </c>
      <c r="I108" t="s">
        <v>260</v>
      </c>
      <c r="J108" t="s">
        <v>177</v>
      </c>
      <c r="K108" t="s">
        <v>154</v>
      </c>
      <c r="L108" t="s">
        <v>12</v>
      </c>
      <c r="M108" t="s">
        <v>261</v>
      </c>
    </row>
    <row r="109" spans="1:13" hidden="1">
      <c r="A109" s="5" t="str">
        <f>HYPERLINK("http://www.analog.com/zh/ad5640#details", "AD5640")</f>
        <v>AD5640</v>
      </c>
      <c r="B109">
        <v>14</v>
      </c>
      <c r="C109">
        <v>1</v>
      </c>
      <c r="D109" t="s">
        <v>262</v>
      </c>
      <c r="E109" t="s">
        <v>8</v>
      </c>
      <c r="F109" t="s">
        <v>66</v>
      </c>
      <c r="G109" t="s">
        <v>109</v>
      </c>
      <c r="H109">
        <v>4</v>
      </c>
      <c r="I109" t="s">
        <v>260</v>
      </c>
      <c r="J109" t="s">
        <v>177</v>
      </c>
      <c r="K109" t="s">
        <v>154</v>
      </c>
      <c r="L109" t="s">
        <v>12</v>
      </c>
      <c r="M109" t="s">
        <v>263</v>
      </c>
    </row>
    <row r="110" spans="1:13" hidden="1">
      <c r="A110" s="5" t="str">
        <f>HYPERLINK("http://www.analog.com/zh/ad5622#details", "AD5622")</f>
        <v>AD5622</v>
      </c>
      <c r="B110">
        <v>12</v>
      </c>
      <c r="C110">
        <v>1</v>
      </c>
      <c r="D110" t="s">
        <v>264</v>
      </c>
      <c r="E110" t="s">
        <v>8</v>
      </c>
      <c r="F110" t="s">
        <v>49</v>
      </c>
      <c r="G110" t="s">
        <v>109</v>
      </c>
      <c r="H110">
        <v>2</v>
      </c>
      <c r="I110" t="s">
        <v>247</v>
      </c>
      <c r="J110" t="s">
        <v>265</v>
      </c>
      <c r="K110" t="s">
        <v>266</v>
      </c>
      <c r="L110" t="s">
        <v>12</v>
      </c>
      <c r="M110" t="s">
        <v>267</v>
      </c>
    </row>
    <row r="111" spans="1:13" hidden="1">
      <c r="A111" s="5" t="str">
        <f>HYPERLINK("http://www.analog.com/zh/ad5620#details", "AD5620")</f>
        <v>AD5620</v>
      </c>
      <c r="B111">
        <v>12</v>
      </c>
      <c r="C111">
        <v>1</v>
      </c>
      <c r="D111" t="s">
        <v>268</v>
      </c>
      <c r="E111" t="s">
        <v>8</v>
      </c>
      <c r="F111" t="s">
        <v>66</v>
      </c>
      <c r="G111" t="s">
        <v>109</v>
      </c>
      <c r="H111">
        <v>1</v>
      </c>
      <c r="I111" t="s">
        <v>260</v>
      </c>
      <c r="J111" t="s">
        <v>177</v>
      </c>
      <c r="K111" t="s">
        <v>154</v>
      </c>
      <c r="L111" t="s">
        <v>12</v>
      </c>
      <c r="M111" t="s">
        <v>269</v>
      </c>
    </row>
    <row r="112" spans="1:13" hidden="1">
      <c r="A112" s="5" t="str">
        <f>HYPERLINK("http://www.analog.com/zh/ad5612#details", "AD5612")</f>
        <v>AD5612</v>
      </c>
      <c r="B112">
        <v>10</v>
      </c>
      <c r="C112">
        <v>1</v>
      </c>
      <c r="D112" t="s">
        <v>270</v>
      </c>
      <c r="E112" t="s">
        <v>8</v>
      </c>
      <c r="F112" t="s">
        <v>49</v>
      </c>
      <c r="G112" t="s">
        <v>109</v>
      </c>
      <c r="H112">
        <v>0.5</v>
      </c>
      <c r="I112" t="s">
        <v>247</v>
      </c>
      <c r="J112" t="s">
        <v>265</v>
      </c>
      <c r="K112" t="s">
        <v>266</v>
      </c>
      <c r="L112" t="s">
        <v>12</v>
      </c>
      <c r="M112" t="s">
        <v>267</v>
      </c>
    </row>
    <row r="113" spans="1:13" hidden="1">
      <c r="A113" s="5" t="str">
        <f>HYPERLINK("http://www.analog.com/zh/ad5602#details", "AD5602")</f>
        <v>AD5602</v>
      </c>
      <c r="B113">
        <v>8</v>
      </c>
      <c r="C113">
        <v>1</v>
      </c>
      <c r="D113" t="s">
        <v>271</v>
      </c>
      <c r="E113" t="s">
        <v>8</v>
      </c>
      <c r="F113" t="s">
        <v>49</v>
      </c>
      <c r="G113" t="s">
        <v>109</v>
      </c>
      <c r="H113">
        <v>0.5</v>
      </c>
      <c r="I113" t="s">
        <v>247</v>
      </c>
      <c r="J113" t="s">
        <v>265</v>
      </c>
      <c r="K113" t="s">
        <v>266</v>
      </c>
      <c r="L113" t="s">
        <v>12</v>
      </c>
      <c r="M113" t="s">
        <v>267</v>
      </c>
    </row>
    <row r="114" spans="1:13" hidden="1">
      <c r="A114" s="5" t="str">
        <f>HYPERLINK("http://www.analog.com/zh/ad5062#details", "AD5062")</f>
        <v>AD5062</v>
      </c>
      <c r="B114">
        <v>16</v>
      </c>
      <c r="C114">
        <v>1</v>
      </c>
      <c r="D114" t="s">
        <v>272</v>
      </c>
      <c r="E114" t="s">
        <v>8</v>
      </c>
      <c r="F114" t="s">
        <v>66</v>
      </c>
      <c r="G114" t="s">
        <v>95</v>
      </c>
      <c r="H114">
        <v>1</v>
      </c>
      <c r="I114" t="s">
        <v>214</v>
      </c>
      <c r="J114" t="s">
        <v>273</v>
      </c>
      <c r="K114" t="s">
        <v>274</v>
      </c>
      <c r="L114" t="s">
        <v>12</v>
      </c>
      <c r="M114" t="s">
        <v>258</v>
      </c>
    </row>
    <row r="115" spans="1:13" hidden="1">
      <c r="A115" s="5" t="str">
        <f>HYPERLINK("http://www.analog.com/zh/ad5061#details", "AD5061")</f>
        <v>AD5061</v>
      </c>
      <c r="B115">
        <v>16</v>
      </c>
      <c r="C115">
        <v>1</v>
      </c>
      <c r="D115" t="s">
        <v>275</v>
      </c>
      <c r="E115" t="s">
        <v>8</v>
      </c>
      <c r="F115" t="s">
        <v>66</v>
      </c>
      <c r="G115" t="s">
        <v>95</v>
      </c>
      <c r="H115">
        <v>4</v>
      </c>
      <c r="I115" t="s">
        <v>214</v>
      </c>
      <c r="J115" t="s">
        <v>273</v>
      </c>
      <c r="K115" t="s">
        <v>154</v>
      </c>
      <c r="L115" t="s">
        <v>12</v>
      </c>
      <c r="M115" t="s">
        <v>258</v>
      </c>
    </row>
    <row r="116" spans="1:13" hidden="1">
      <c r="A116" s="5" t="str">
        <f>HYPERLINK("http://www.analog.com/zh/ad5535#details", "AD5535")</f>
        <v>AD5535</v>
      </c>
      <c r="B116">
        <v>14</v>
      </c>
      <c r="C116">
        <v>32</v>
      </c>
      <c r="D116" t="s">
        <v>8</v>
      </c>
      <c r="E116" t="s">
        <v>8</v>
      </c>
      <c r="F116" t="s">
        <v>88</v>
      </c>
      <c r="G116" t="s">
        <v>276</v>
      </c>
      <c r="H116" t="s">
        <v>8</v>
      </c>
      <c r="I116" t="s">
        <v>8</v>
      </c>
      <c r="J116" t="s">
        <v>277</v>
      </c>
      <c r="K116" t="s">
        <v>278</v>
      </c>
      <c r="L116" t="s">
        <v>12</v>
      </c>
      <c r="M116" t="s">
        <v>8</v>
      </c>
    </row>
    <row r="117" spans="1:13" hidden="1">
      <c r="A117" s="5" t="str">
        <f>HYPERLINK("http://www.analog.com/zh/ad5063#details", "AD5063")</f>
        <v>AD5063</v>
      </c>
      <c r="B117">
        <v>16</v>
      </c>
      <c r="C117">
        <v>1</v>
      </c>
      <c r="D117" t="s">
        <v>279</v>
      </c>
      <c r="E117" t="s">
        <v>8</v>
      </c>
      <c r="F117" t="s">
        <v>66</v>
      </c>
      <c r="G117" t="s">
        <v>103</v>
      </c>
      <c r="H117">
        <v>1</v>
      </c>
      <c r="I117" t="s">
        <v>214</v>
      </c>
      <c r="J117" t="s">
        <v>207</v>
      </c>
      <c r="K117" t="s">
        <v>178</v>
      </c>
      <c r="L117" t="s">
        <v>12</v>
      </c>
      <c r="M117" t="s">
        <v>75</v>
      </c>
    </row>
    <row r="118" spans="1:13" hidden="1">
      <c r="A118" s="5" t="str">
        <f>HYPERLINK("http://www.analog.com/zh/ad5662#details", "AD5662")</f>
        <v>AD5662</v>
      </c>
      <c r="B118">
        <v>16</v>
      </c>
      <c r="C118">
        <v>1</v>
      </c>
      <c r="D118" t="s">
        <v>280</v>
      </c>
      <c r="E118" t="s">
        <v>281</v>
      </c>
      <c r="F118" t="s">
        <v>66</v>
      </c>
      <c r="G118" t="s">
        <v>109</v>
      </c>
      <c r="H118">
        <v>16</v>
      </c>
      <c r="I118" t="s">
        <v>260</v>
      </c>
      <c r="J118" t="s">
        <v>177</v>
      </c>
      <c r="K118" t="s">
        <v>281</v>
      </c>
      <c r="L118" t="s">
        <v>12</v>
      </c>
      <c r="M118" t="s">
        <v>261</v>
      </c>
    </row>
    <row r="119" spans="1:13" hidden="1">
      <c r="A119" s="5" t="str">
        <f>HYPERLINK("http://www.analog.com/zh/ad5641#details", "AD5641")</f>
        <v>AD5641</v>
      </c>
      <c r="B119">
        <v>14</v>
      </c>
      <c r="C119">
        <v>1</v>
      </c>
      <c r="D119" t="s">
        <v>282</v>
      </c>
      <c r="E119" t="s">
        <v>236</v>
      </c>
      <c r="F119" t="s">
        <v>66</v>
      </c>
      <c r="G119" t="s">
        <v>109</v>
      </c>
      <c r="H119">
        <v>4</v>
      </c>
      <c r="I119" t="s">
        <v>247</v>
      </c>
      <c r="J119" t="s">
        <v>265</v>
      </c>
      <c r="K119" t="s">
        <v>283</v>
      </c>
      <c r="L119" t="s">
        <v>12</v>
      </c>
      <c r="M119" t="s">
        <v>267</v>
      </c>
    </row>
    <row r="120" spans="1:13" hidden="1">
      <c r="A120" s="5" t="str">
        <f>HYPERLINK("http://www.analog.com/zh/ad5621#details", "AD5621")</f>
        <v>AD5621</v>
      </c>
      <c r="B120">
        <v>12</v>
      </c>
      <c r="C120">
        <v>1</v>
      </c>
      <c r="D120" t="s">
        <v>284</v>
      </c>
      <c r="E120" t="s">
        <v>236</v>
      </c>
      <c r="F120" t="s">
        <v>66</v>
      </c>
      <c r="G120" t="s">
        <v>109</v>
      </c>
      <c r="H120">
        <v>1</v>
      </c>
      <c r="I120" t="s">
        <v>247</v>
      </c>
      <c r="J120" t="s">
        <v>265</v>
      </c>
      <c r="K120" t="s">
        <v>283</v>
      </c>
      <c r="L120" t="s">
        <v>12</v>
      </c>
      <c r="M120" t="s">
        <v>267</v>
      </c>
    </row>
    <row r="121" spans="1:13" hidden="1">
      <c r="A121" s="5" t="str">
        <f>HYPERLINK("http://www.analog.com/zh/ad5611#details", "AD5611")</f>
        <v>AD5611</v>
      </c>
      <c r="B121">
        <v>10</v>
      </c>
      <c r="C121">
        <v>1</v>
      </c>
      <c r="D121" t="s">
        <v>285</v>
      </c>
      <c r="E121" t="s">
        <v>236</v>
      </c>
      <c r="F121" t="s">
        <v>66</v>
      </c>
      <c r="G121" t="s">
        <v>109</v>
      </c>
      <c r="H121">
        <v>0.5</v>
      </c>
      <c r="I121" t="s">
        <v>247</v>
      </c>
      <c r="J121" t="s">
        <v>265</v>
      </c>
      <c r="K121" t="s">
        <v>283</v>
      </c>
      <c r="L121" t="s">
        <v>12</v>
      </c>
      <c r="M121" t="s">
        <v>286</v>
      </c>
    </row>
    <row r="122" spans="1:13" hidden="1">
      <c r="A122" s="5" t="str">
        <f>HYPERLINK("http://www.analog.com/zh/ad5601#details", "AD5601")</f>
        <v>AD5601</v>
      </c>
      <c r="B122">
        <v>8</v>
      </c>
      <c r="C122">
        <v>1</v>
      </c>
      <c r="D122" t="s">
        <v>287</v>
      </c>
      <c r="E122" t="s">
        <v>236</v>
      </c>
      <c r="F122" t="s">
        <v>66</v>
      </c>
      <c r="G122" t="s">
        <v>109</v>
      </c>
      <c r="H122">
        <v>0.5</v>
      </c>
      <c r="I122" t="s">
        <v>247</v>
      </c>
      <c r="J122" t="s">
        <v>265</v>
      </c>
      <c r="K122" t="s">
        <v>283</v>
      </c>
      <c r="L122" t="s">
        <v>12</v>
      </c>
      <c r="M122" t="s">
        <v>267</v>
      </c>
    </row>
    <row r="123" spans="1:13" hidden="1">
      <c r="A123" s="5" t="str">
        <f>HYPERLINK("http://www.analog.com/zh/ad5452#details", "AD5452")</f>
        <v>AD5452</v>
      </c>
      <c r="B123">
        <v>12</v>
      </c>
      <c r="C123">
        <v>1</v>
      </c>
      <c r="D123" t="s">
        <v>288</v>
      </c>
      <c r="E123" t="s">
        <v>188</v>
      </c>
      <c r="F123" t="s">
        <v>66</v>
      </c>
      <c r="G123" t="s">
        <v>8</v>
      </c>
      <c r="H123" t="s">
        <v>8</v>
      </c>
      <c r="I123" t="s">
        <v>8</v>
      </c>
      <c r="J123" t="s">
        <v>242</v>
      </c>
      <c r="K123" t="s">
        <v>243</v>
      </c>
      <c r="L123" t="s">
        <v>36</v>
      </c>
      <c r="M123" t="s">
        <v>289</v>
      </c>
    </row>
    <row r="124" spans="1:13" hidden="1">
      <c r="A124" s="5" t="str">
        <f>HYPERLINK("http://www.analog.com/zh/ad5451#details", "AD5451")</f>
        <v>AD5451</v>
      </c>
      <c r="B124">
        <v>10</v>
      </c>
      <c r="C124">
        <v>1</v>
      </c>
      <c r="D124" t="s">
        <v>290</v>
      </c>
      <c r="E124" t="s">
        <v>188</v>
      </c>
      <c r="F124" t="s">
        <v>66</v>
      </c>
      <c r="G124" t="s">
        <v>8</v>
      </c>
      <c r="H124" t="s">
        <v>8</v>
      </c>
      <c r="I124" t="s">
        <v>8</v>
      </c>
      <c r="J124" t="s">
        <v>242</v>
      </c>
      <c r="K124" t="s">
        <v>243</v>
      </c>
      <c r="L124" t="s">
        <v>36</v>
      </c>
      <c r="M124" t="s">
        <v>291</v>
      </c>
    </row>
    <row r="125" spans="1:13" hidden="1">
      <c r="A125" s="5" t="str">
        <f>HYPERLINK("http://www.analog.com/zh/ad5450#details", "AD5450")</f>
        <v>AD5450</v>
      </c>
      <c r="B125">
        <v>8</v>
      </c>
      <c r="C125">
        <v>1</v>
      </c>
      <c r="D125" t="s">
        <v>292</v>
      </c>
      <c r="E125" t="s">
        <v>188</v>
      </c>
      <c r="F125" t="s">
        <v>66</v>
      </c>
      <c r="G125" t="s">
        <v>8</v>
      </c>
      <c r="H125" t="s">
        <v>8</v>
      </c>
      <c r="I125" t="s">
        <v>8</v>
      </c>
      <c r="J125" t="s">
        <v>242</v>
      </c>
      <c r="K125" t="s">
        <v>243</v>
      </c>
      <c r="L125" t="s">
        <v>36</v>
      </c>
      <c r="M125" t="s">
        <v>291</v>
      </c>
    </row>
    <row r="126" spans="1:13" hidden="1">
      <c r="A126" s="5" t="str">
        <f>HYPERLINK("http://www.analog.com/zh/ad5444#details", "AD5444")</f>
        <v>AD5444</v>
      </c>
      <c r="B126">
        <v>12</v>
      </c>
      <c r="C126">
        <v>1</v>
      </c>
      <c r="D126" t="s">
        <v>262</v>
      </c>
      <c r="E126" t="s">
        <v>188</v>
      </c>
      <c r="F126" t="s">
        <v>192</v>
      </c>
      <c r="G126" t="s">
        <v>8</v>
      </c>
      <c r="H126" t="s">
        <v>8</v>
      </c>
      <c r="I126" t="s">
        <v>8</v>
      </c>
      <c r="J126" t="s">
        <v>242</v>
      </c>
      <c r="K126" t="s">
        <v>243</v>
      </c>
      <c r="L126" t="s">
        <v>36</v>
      </c>
      <c r="M126" t="s">
        <v>75</v>
      </c>
    </row>
    <row r="127" spans="1:13" hidden="1">
      <c r="A127" s="5" t="str">
        <f>HYPERLINK("http://www.analog.com/zh/ad5398#details", "AD5398")</f>
        <v>AD5398</v>
      </c>
      <c r="B127">
        <v>10</v>
      </c>
      <c r="C127">
        <v>1</v>
      </c>
      <c r="D127" t="s">
        <v>293</v>
      </c>
      <c r="E127" t="s">
        <v>126</v>
      </c>
      <c r="F127" t="s">
        <v>49</v>
      </c>
      <c r="G127" t="s">
        <v>8</v>
      </c>
      <c r="H127" t="s">
        <v>8</v>
      </c>
      <c r="I127" t="s">
        <v>152</v>
      </c>
      <c r="J127" t="s">
        <v>164</v>
      </c>
      <c r="K127" t="s">
        <v>111</v>
      </c>
      <c r="L127" t="s">
        <v>12</v>
      </c>
      <c r="M127" t="s">
        <v>294</v>
      </c>
    </row>
    <row r="128" spans="1:13" hidden="1">
      <c r="A128" s="5" t="str">
        <f>HYPERLINK("http://www.analog.com/zh/ad5447#details", "AD5447")</f>
        <v>AD5447</v>
      </c>
      <c r="B128">
        <v>12</v>
      </c>
      <c r="C128">
        <v>2</v>
      </c>
      <c r="D128" t="s">
        <v>245</v>
      </c>
      <c r="E128" t="s">
        <v>188</v>
      </c>
      <c r="F128" t="s">
        <v>192</v>
      </c>
      <c r="G128" t="s">
        <v>8</v>
      </c>
      <c r="H128" t="s">
        <v>8</v>
      </c>
      <c r="I128" t="s">
        <v>8</v>
      </c>
      <c r="J128" t="s">
        <v>295</v>
      </c>
      <c r="K128" t="s">
        <v>296</v>
      </c>
      <c r="L128" t="s">
        <v>36</v>
      </c>
      <c r="M128" t="s">
        <v>297</v>
      </c>
    </row>
    <row r="129" spans="1:13" hidden="1">
      <c r="A129" s="5" t="str">
        <f>HYPERLINK("http://www.analog.com/zh/ad5440#details", "AD5440")</f>
        <v>AD5440</v>
      </c>
      <c r="B129">
        <v>10</v>
      </c>
      <c r="C129">
        <v>2</v>
      </c>
      <c r="D129" t="s">
        <v>298</v>
      </c>
      <c r="E129" t="s">
        <v>188</v>
      </c>
      <c r="F129" t="s">
        <v>192</v>
      </c>
      <c r="G129" t="s">
        <v>8</v>
      </c>
      <c r="H129" t="s">
        <v>8</v>
      </c>
      <c r="I129" t="s">
        <v>8</v>
      </c>
      <c r="J129" t="s">
        <v>295</v>
      </c>
      <c r="K129" t="s">
        <v>296</v>
      </c>
      <c r="L129" t="s">
        <v>36</v>
      </c>
      <c r="M129" t="s">
        <v>297</v>
      </c>
    </row>
    <row r="130" spans="1:13" hidden="1">
      <c r="A130" s="5" t="str">
        <f>HYPERLINK("http://www.analog.com/zh/ad5428#details", "AD5428")</f>
        <v>AD5428</v>
      </c>
      <c r="B130">
        <v>8</v>
      </c>
      <c r="C130">
        <v>2</v>
      </c>
      <c r="D130" t="s">
        <v>290</v>
      </c>
      <c r="E130" t="s">
        <v>188</v>
      </c>
      <c r="F130" t="s">
        <v>192</v>
      </c>
      <c r="G130" t="s">
        <v>8</v>
      </c>
      <c r="H130" t="s">
        <v>8</v>
      </c>
      <c r="I130" t="s">
        <v>8</v>
      </c>
      <c r="J130" t="s">
        <v>295</v>
      </c>
      <c r="K130" t="s">
        <v>296</v>
      </c>
      <c r="L130" t="s">
        <v>36</v>
      </c>
      <c r="M130" t="s">
        <v>124</v>
      </c>
    </row>
    <row r="131" spans="1:13" hidden="1">
      <c r="A131" s="5" t="str">
        <f>HYPERLINK("http://www.analog.com/zh/ad5384#details", "AD5384")</f>
        <v>AD5384</v>
      </c>
      <c r="B131">
        <v>14</v>
      </c>
      <c r="C131">
        <v>40</v>
      </c>
      <c r="D131" t="s">
        <v>299</v>
      </c>
      <c r="E131" t="s">
        <v>8</v>
      </c>
      <c r="F131" t="s">
        <v>49</v>
      </c>
      <c r="G131" t="s">
        <v>109</v>
      </c>
      <c r="H131">
        <v>4</v>
      </c>
      <c r="I131" t="s">
        <v>260</v>
      </c>
      <c r="J131" t="s">
        <v>177</v>
      </c>
      <c r="K131" t="s">
        <v>300</v>
      </c>
      <c r="L131" t="s">
        <v>12</v>
      </c>
      <c r="M131" t="s">
        <v>301</v>
      </c>
    </row>
    <row r="132" spans="1:13" hidden="1">
      <c r="A132" s="5" t="str">
        <f>HYPERLINK("http://www.analog.com/zh/ad5449#details", "AD5449")</f>
        <v>AD5449</v>
      </c>
      <c r="B132">
        <v>12</v>
      </c>
      <c r="C132">
        <v>2</v>
      </c>
      <c r="D132" t="s">
        <v>302</v>
      </c>
      <c r="E132" t="s">
        <v>188</v>
      </c>
      <c r="F132" t="s">
        <v>88</v>
      </c>
      <c r="G132" t="s">
        <v>8</v>
      </c>
      <c r="H132" t="s">
        <v>8</v>
      </c>
      <c r="I132" t="s">
        <v>8</v>
      </c>
      <c r="J132" t="s">
        <v>303</v>
      </c>
      <c r="K132" t="s">
        <v>296</v>
      </c>
      <c r="L132" t="s">
        <v>36</v>
      </c>
      <c r="M132" t="s">
        <v>133</v>
      </c>
    </row>
    <row r="133" spans="1:13" hidden="1">
      <c r="A133" s="5" t="str">
        <f>HYPERLINK("http://www.analog.com/zh/ad5439#details", "AD5439")</f>
        <v>AD5439</v>
      </c>
      <c r="B133">
        <v>10</v>
      </c>
      <c r="C133">
        <v>2</v>
      </c>
      <c r="D133" t="s">
        <v>304</v>
      </c>
      <c r="E133" t="s">
        <v>188</v>
      </c>
      <c r="F133" t="s">
        <v>66</v>
      </c>
      <c r="G133" t="s">
        <v>8</v>
      </c>
      <c r="H133" t="s">
        <v>8</v>
      </c>
      <c r="I133" t="s">
        <v>8</v>
      </c>
      <c r="J133" t="s">
        <v>303</v>
      </c>
      <c r="K133" t="s">
        <v>296</v>
      </c>
      <c r="L133" t="s">
        <v>36</v>
      </c>
      <c r="M133" t="s">
        <v>133</v>
      </c>
    </row>
    <row r="134" spans="1:13" hidden="1">
      <c r="A134" s="5" t="str">
        <f>HYPERLINK("http://www.analog.com/zh/ad5429#details", "AD5429")</f>
        <v>AD5429</v>
      </c>
      <c r="B134">
        <v>8</v>
      </c>
      <c r="C134">
        <v>2</v>
      </c>
      <c r="D134" t="s">
        <v>290</v>
      </c>
      <c r="E134" t="s">
        <v>188</v>
      </c>
      <c r="F134" t="s">
        <v>66</v>
      </c>
      <c r="G134" t="s">
        <v>8</v>
      </c>
      <c r="H134" t="s">
        <v>8</v>
      </c>
      <c r="I134" t="s">
        <v>8</v>
      </c>
      <c r="J134" t="s">
        <v>303</v>
      </c>
      <c r="K134" t="s">
        <v>296</v>
      </c>
      <c r="L134" t="s">
        <v>36</v>
      </c>
      <c r="M134" t="s">
        <v>133</v>
      </c>
    </row>
    <row r="135" spans="1:13" hidden="1">
      <c r="A135" s="5" t="str">
        <f>HYPERLINK("http://www.analog.com/zh/ad5415#details", "AD5415")</f>
        <v>AD5415</v>
      </c>
      <c r="B135">
        <v>12</v>
      </c>
      <c r="C135">
        <v>2</v>
      </c>
      <c r="D135" t="s">
        <v>305</v>
      </c>
      <c r="E135" t="s">
        <v>266</v>
      </c>
      <c r="F135" t="s">
        <v>306</v>
      </c>
      <c r="G135" t="s">
        <v>8</v>
      </c>
      <c r="H135" t="s">
        <v>8</v>
      </c>
      <c r="I135" t="s">
        <v>8</v>
      </c>
      <c r="J135" t="s">
        <v>303</v>
      </c>
      <c r="K135" t="s">
        <v>296</v>
      </c>
      <c r="L135" t="s">
        <v>36</v>
      </c>
      <c r="M135" t="s">
        <v>297</v>
      </c>
    </row>
    <row r="136" spans="1:13" hidden="1">
      <c r="A136" s="5" t="str">
        <f>HYPERLINK("http://www.analog.com/zh/ad5405#details", "AD5405")</f>
        <v>AD5405</v>
      </c>
      <c r="B136">
        <v>12</v>
      </c>
      <c r="C136">
        <v>2</v>
      </c>
      <c r="D136" t="s">
        <v>307</v>
      </c>
      <c r="E136" t="s">
        <v>188</v>
      </c>
      <c r="F136" t="s">
        <v>192</v>
      </c>
      <c r="G136" t="s">
        <v>8</v>
      </c>
      <c r="H136" t="s">
        <v>8</v>
      </c>
      <c r="I136" t="s">
        <v>8</v>
      </c>
      <c r="J136" t="s">
        <v>295</v>
      </c>
      <c r="K136" t="s">
        <v>296</v>
      </c>
      <c r="L136" t="s">
        <v>36</v>
      </c>
      <c r="M136" t="s">
        <v>308</v>
      </c>
    </row>
    <row r="137" spans="1:13" hidden="1">
      <c r="A137" s="5" t="str">
        <f>HYPERLINK("http://www.analog.com/zh/ad5382#details", "AD5382")</f>
        <v>AD5382</v>
      </c>
      <c r="B137">
        <v>14</v>
      </c>
      <c r="C137">
        <v>32</v>
      </c>
      <c r="D137" t="s">
        <v>309</v>
      </c>
      <c r="E137" t="s">
        <v>8</v>
      </c>
      <c r="F137" t="s">
        <v>310</v>
      </c>
      <c r="G137" t="s">
        <v>109</v>
      </c>
      <c r="H137">
        <v>4</v>
      </c>
      <c r="I137" t="s">
        <v>200</v>
      </c>
      <c r="J137" t="s">
        <v>177</v>
      </c>
      <c r="K137" t="s">
        <v>311</v>
      </c>
      <c r="L137" t="s">
        <v>12</v>
      </c>
      <c r="M137" t="s">
        <v>312</v>
      </c>
    </row>
    <row r="138" spans="1:13" hidden="1">
      <c r="A138" s="5" t="str">
        <f>HYPERLINK("http://www.analog.com/zh/ad5557#details", "AD5557")</f>
        <v>AD5557</v>
      </c>
      <c r="B138">
        <v>14</v>
      </c>
      <c r="C138">
        <v>2</v>
      </c>
      <c r="D138" t="s">
        <v>313</v>
      </c>
      <c r="E138" t="s">
        <v>314</v>
      </c>
      <c r="F138" t="s">
        <v>192</v>
      </c>
      <c r="G138" t="s">
        <v>8</v>
      </c>
      <c r="H138" t="s">
        <v>8</v>
      </c>
      <c r="I138" t="s">
        <v>315</v>
      </c>
      <c r="J138" t="s">
        <v>8</v>
      </c>
      <c r="K138" t="s">
        <v>316</v>
      </c>
      <c r="L138" t="s">
        <v>36</v>
      </c>
      <c r="M138" t="s">
        <v>317</v>
      </c>
    </row>
    <row r="139" spans="1:13" hidden="1">
      <c r="A139" s="5" t="str">
        <f>HYPERLINK("http://www.analog.com/zh/ad5547#details", "AD5547")</f>
        <v>AD5547</v>
      </c>
      <c r="B139">
        <v>16</v>
      </c>
      <c r="C139">
        <v>2</v>
      </c>
      <c r="D139" t="s">
        <v>318</v>
      </c>
      <c r="E139" t="s">
        <v>314</v>
      </c>
      <c r="F139" t="s">
        <v>192</v>
      </c>
      <c r="G139" t="s">
        <v>8</v>
      </c>
      <c r="H139" t="s">
        <v>8</v>
      </c>
      <c r="I139" t="s">
        <v>315</v>
      </c>
      <c r="J139" t="s">
        <v>8</v>
      </c>
      <c r="K139" t="s">
        <v>316</v>
      </c>
      <c r="L139" t="s">
        <v>36</v>
      </c>
      <c r="M139" t="s">
        <v>317</v>
      </c>
    </row>
    <row r="140" spans="1:13" hidden="1">
      <c r="A140" s="5" t="str">
        <f>HYPERLINK("http://www.analog.com/zh/ad5392#details", "AD5392")</f>
        <v>AD5392</v>
      </c>
      <c r="B140">
        <v>14</v>
      </c>
      <c r="C140">
        <v>8</v>
      </c>
      <c r="D140" t="s">
        <v>319</v>
      </c>
      <c r="E140" t="s">
        <v>8</v>
      </c>
      <c r="F140" t="s">
        <v>320</v>
      </c>
      <c r="G140" t="s">
        <v>109</v>
      </c>
      <c r="H140">
        <v>3</v>
      </c>
      <c r="I140" t="s">
        <v>200</v>
      </c>
      <c r="J140" t="s">
        <v>177</v>
      </c>
      <c r="K140" t="s">
        <v>181</v>
      </c>
      <c r="L140" t="s">
        <v>12</v>
      </c>
      <c r="M140" t="s">
        <v>321</v>
      </c>
    </row>
    <row r="141" spans="1:13" hidden="1">
      <c r="A141" s="5" t="str">
        <f>HYPERLINK("http://www.analog.com/zh/ad5391#details", "AD5391")</f>
        <v>AD5391</v>
      </c>
      <c r="B141">
        <v>12</v>
      </c>
      <c r="C141">
        <v>16</v>
      </c>
      <c r="D141" t="s">
        <v>322</v>
      </c>
      <c r="E141" t="s">
        <v>8</v>
      </c>
      <c r="F141" t="s">
        <v>320</v>
      </c>
      <c r="G141" t="s">
        <v>109</v>
      </c>
      <c r="H141">
        <v>1</v>
      </c>
      <c r="I141" t="s">
        <v>200</v>
      </c>
      <c r="J141" t="s">
        <v>323</v>
      </c>
      <c r="K141" t="s">
        <v>324</v>
      </c>
      <c r="L141" t="s">
        <v>12</v>
      </c>
      <c r="M141" t="s">
        <v>321</v>
      </c>
    </row>
    <row r="142" spans="1:13" hidden="1">
      <c r="A142" s="5" t="str">
        <f>HYPERLINK("http://www.analog.com/zh/ad5390#details", "AD5390")</f>
        <v>AD5390</v>
      </c>
      <c r="B142">
        <v>14</v>
      </c>
      <c r="C142">
        <v>16</v>
      </c>
      <c r="D142" t="s">
        <v>325</v>
      </c>
      <c r="E142" t="s">
        <v>8</v>
      </c>
      <c r="F142" t="s">
        <v>320</v>
      </c>
      <c r="G142" t="s">
        <v>109</v>
      </c>
      <c r="H142">
        <v>3</v>
      </c>
      <c r="I142" t="s">
        <v>200</v>
      </c>
      <c r="J142" t="s">
        <v>177</v>
      </c>
      <c r="K142" t="s">
        <v>324</v>
      </c>
      <c r="L142" t="s">
        <v>12</v>
      </c>
      <c r="M142" t="s">
        <v>326</v>
      </c>
    </row>
    <row r="143" spans="1:13" hidden="1">
      <c r="A143" s="5" t="str">
        <f>HYPERLINK("http://www.analog.com/zh/ad5383#details", "AD5383")</f>
        <v>AD5383</v>
      </c>
      <c r="B143">
        <v>12</v>
      </c>
      <c r="C143">
        <v>32</v>
      </c>
      <c r="D143" t="s">
        <v>327</v>
      </c>
      <c r="E143" t="s">
        <v>8</v>
      </c>
      <c r="F143" t="s">
        <v>328</v>
      </c>
      <c r="G143" t="s">
        <v>109</v>
      </c>
      <c r="H143">
        <v>1</v>
      </c>
      <c r="I143" t="s">
        <v>200</v>
      </c>
      <c r="J143" t="s">
        <v>323</v>
      </c>
      <c r="K143" t="s">
        <v>329</v>
      </c>
      <c r="L143" t="s">
        <v>12</v>
      </c>
      <c r="M143" t="s">
        <v>312</v>
      </c>
    </row>
    <row r="144" spans="1:13" hidden="1">
      <c r="A144" s="5" t="str">
        <f>HYPERLINK("http://www.analog.com/zh/ad5381#details", "AD5381")</f>
        <v>AD5381</v>
      </c>
      <c r="B144">
        <v>12</v>
      </c>
      <c r="C144">
        <v>40</v>
      </c>
      <c r="D144" t="s">
        <v>330</v>
      </c>
      <c r="E144" t="s">
        <v>8</v>
      </c>
      <c r="F144" t="s">
        <v>328</v>
      </c>
      <c r="G144" t="s">
        <v>109</v>
      </c>
      <c r="H144">
        <v>1</v>
      </c>
      <c r="I144" t="s">
        <v>200</v>
      </c>
      <c r="J144" t="s">
        <v>323</v>
      </c>
      <c r="K144" t="s">
        <v>300</v>
      </c>
      <c r="L144" t="s">
        <v>12</v>
      </c>
      <c r="M144" t="s">
        <v>312</v>
      </c>
    </row>
    <row r="145" spans="1:13" hidden="1">
      <c r="A145" s="5" t="str">
        <f>HYPERLINK("http://www.analog.com/zh/ad5380#details", "AD5380")</f>
        <v>AD5380</v>
      </c>
      <c r="B145">
        <v>14</v>
      </c>
      <c r="C145">
        <v>40</v>
      </c>
      <c r="D145" t="s">
        <v>331</v>
      </c>
      <c r="E145" t="s">
        <v>8</v>
      </c>
      <c r="F145" t="s">
        <v>332</v>
      </c>
      <c r="G145" t="s">
        <v>109</v>
      </c>
      <c r="H145">
        <v>4</v>
      </c>
      <c r="I145" t="s">
        <v>200</v>
      </c>
      <c r="J145" t="s">
        <v>177</v>
      </c>
      <c r="K145" t="s">
        <v>333</v>
      </c>
      <c r="L145" t="s">
        <v>12</v>
      </c>
      <c r="M145" t="s">
        <v>312</v>
      </c>
    </row>
    <row r="146" spans="1:13" hidden="1">
      <c r="A146" s="5" t="str">
        <f>HYPERLINK("http://www.analog.com/zh/ad5556#details", "AD5556")</f>
        <v>AD5556</v>
      </c>
      <c r="B146">
        <v>14</v>
      </c>
      <c r="C146">
        <v>1</v>
      </c>
      <c r="D146" t="s">
        <v>334</v>
      </c>
      <c r="E146" t="s">
        <v>314</v>
      </c>
      <c r="F146" t="s">
        <v>192</v>
      </c>
      <c r="G146" t="s">
        <v>8</v>
      </c>
      <c r="H146" t="s">
        <v>8</v>
      </c>
      <c r="I146" t="s">
        <v>315</v>
      </c>
      <c r="J146" t="s">
        <v>8</v>
      </c>
      <c r="K146" t="s">
        <v>316</v>
      </c>
      <c r="L146" t="s">
        <v>36</v>
      </c>
      <c r="M146" t="s">
        <v>335</v>
      </c>
    </row>
    <row r="147" spans="1:13" hidden="1">
      <c r="A147" s="5" t="str">
        <f>HYPERLINK("http://www.analog.com/zh/ad5546#details", "AD5546")</f>
        <v>AD5546</v>
      </c>
      <c r="B147">
        <v>16</v>
      </c>
      <c r="C147">
        <v>1</v>
      </c>
      <c r="D147" t="s">
        <v>336</v>
      </c>
      <c r="E147" t="s">
        <v>314</v>
      </c>
      <c r="F147" t="s">
        <v>192</v>
      </c>
      <c r="G147" t="s">
        <v>8</v>
      </c>
      <c r="H147" t="s">
        <v>8</v>
      </c>
      <c r="I147" t="s">
        <v>315</v>
      </c>
      <c r="J147" t="s">
        <v>8</v>
      </c>
      <c r="K147" t="s">
        <v>316</v>
      </c>
      <c r="L147" t="s">
        <v>36</v>
      </c>
      <c r="M147" t="s">
        <v>335</v>
      </c>
    </row>
    <row r="148" spans="1:13" hidden="1">
      <c r="A148" s="5" t="str">
        <f>HYPERLINK("http://www.analog.com/zh/ad5443#details", "AD5443")</f>
        <v>AD5443</v>
      </c>
      <c r="B148">
        <v>12</v>
      </c>
      <c r="C148">
        <v>1</v>
      </c>
      <c r="D148" t="s">
        <v>288</v>
      </c>
      <c r="E148" t="s">
        <v>188</v>
      </c>
      <c r="F148" t="s">
        <v>66</v>
      </c>
      <c r="G148" t="s">
        <v>8</v>
      </c>
      <c r="H148" t="s">
        <v>8</v>
      </c>
      <c r="I148" t="s">
        <v>8</v>
      </c>
      <c r="J148" t="s">
        <v>97</v>
      </c>
      <c r="K148" t="s">
        <v>200</v>
      </c>
      <c r="L148" t="s">
        <v>36</v>
      </c>
      <c r="M148" t="s">
        <v>75</v>
      </c>
    </row>
    <row r="149" spans="1:13" hidden="1">
      <c r="A149" s="5" t="str">
        <f>HYPERLINK("http://www.analog.com/zh/ad5432#details", "AD5432")</f>
        <v>AD5432</v>
      </c>
      <c r="B149">
        <v>10</v>
      </c>
      <c r="C149">
        <v>1</v>
      </c>
      <c r="D149" t="s">
        <v>337</v>
      </c>
      <c r="E149" t="s">
        <v>188</v>
      </c>
      <c r="F149" t="s">
        <v>66</v>
      </c>
      <c r="G149" t="s">
        <v>8</v>
      </c>
      <c r="H149" t="s">
        <v>8</v>
      </c>
      <c r="I149" t="s">
        <v>8</v>
      </c>
      <c r="J149" t="s">
        <v>97</v>
      </c>
      <c r="K149" t="s">
        <v>338</v>
      </c>
      <c r="L149" t="s">
        <v>36</v>
      </c>
      <c r="M149" t="s">
        <v>75</v>
      </c>
    </row>
    <row r="150" spans="1:13" hidden="1">
      <c r="A150" s="5" t="str">
        <f>HYPERLINK("http://www.analog.com/zh/ad5426#details", "AD5426")</f>
        <v>AD5426</v>
      </c>
      <c r="B150">
        <v>8</v>
      </c>
      <c r="C150">
        <v>1</v>
      </c>
      <c r="D150" t="s">
        <v>282</v>
      </c>
      <c r="E150" t="s">
        <v>188</v>
      </c>
      <c r="F150" t="s">
        <v>66</v>
      </c>
      <c r="G150" t="s">
        <v>8</v>
      </c>
      <c r="H150" t="s">
        <v>8</v>
      </c>
      <c r="I150" t="s">
        <v>8</v>
      </c>
      <c r="J150" t="s">
        <v>97</v>
      </c>
      <c r="K150" t="s">
        <v>339</v>
      </c>
      <c r="L150" t="s">
        <v>36</v>
      </c>
      <c r="M150" t="s">
        <v>75</v>
      </c>
    </row>
    <row r="151" spans="1:13" hidden="1">
      <c r="A151" s="5" t="str">
        <f>HYPERLINK("http://www.analog.com/zh/ad5425#details", "AD5425")</f>
        <v>AD5425</v>
      </c>
      <c r="B151">
        <v>8</v>
      </c>
      <c r="C151">
        <v>1</v>
      </c>
      <c r="D151" t="s">
        <v>282</v>
      </c>
      <c r="E151" t="s">
        <v>188</v>
      </c>
      <c r="F151" t="s">
        <v>39</v>
      </c>
      <c r="G151" t="s">
        <v>8</v>
      </c>
      <c r="H151" t="s">
        <v>8</v>
      </c>
      <c r="I151" t="s">
        <v>8</v>
      </c>
      <c r="J151" t="s">
        <v>303</v>
      </c>
      <c r="K151" t="s">
        <v>243</v>
      </c>
      <c r="L151" t="s">
        <v>36</v>
      </c>
      <c r="M151" t="s">
        <v>75</v>
      </c>
    </row>
    <row r="152" spans="1:13" hidden="1">
      <c r="A152" s="5" t="str">
        <f>HYPERLINK("http://www.analog.com/zh/ad5445#details", "AD5445")</f>
        <v>AD5445</v>
      </c>
      <c r="B152">
        <v>12</v>
      </c>
      <c r="C152">
        <v>2</v>
      </c>
      <c r="D152" t="s">
        <v>340</v>
      </c>
      <c r="E152" t="s">
        <v>188</v>
      </c>
      <c r="F152" t="s">
        <v>192</v>
      </c>
      <c r="G152" t="s">
        <v>8</v>
      </c>
      <c r="H152" t="s">
        <v>8</v>
      </c>
      <c r="I152" t="s">
        <v>8</v>
      </c>
      <c r="J152" t="s">
        <v>341</v>
      </c>
      <c r="K152" t="s">
        <v>243</v>
      </c>
      <c r="L152" t="s">
        <v>36</v>
      </c>
      <c r="M152" t="s">
        <v>342</v>
      </c>
    </row>
    <row r="153" spans="1:13" hidden="1">
      <c r="A153" s="5" t="str">
        <f>HYPERLINK("http://www.analog.com/zh/ad5433#details", "AD5433")</f>
        <v>AD5433</v>
      </c>
      <c r="B153">
        <v>10</v>
      </c>
      <c r="C153">
        <v>1</v>
      </c>
      <c r="D153" t="s">
        <v>343</v>
      </c>
      <c r="E153" t="s">
        <v>188</v>
      </c>
      <c r="F153" t="s">
        <v>192</v>
      </c>
      <c r="G153" t="s">
        <v>8</v>
      </c>
      <c r="H153" t="s">
        <v>8</v>
      </c>
      <c r="I153" t="s">
        <v>8</v>
      </c>
      <c r="J153" t="s">
        <v>341</v>
      </c>
      <c r="K153" t="s">
        <v>243</v>
      </c>
      <c r="L153" t="s">
        <v>36</v>
      </c>
      <c r="M153" t="s">
        <v>342</v>
      </c>
    </row>
    <row r="154" spans="1:13" hidden="1">
      <c r="A154" s="5" t="str">
        <f>HYPERLINK("http://www.analog.com/zh/ad5424#details", "AD5424")</f>
        <v>AD5424</v>
      </c>
      <c r="B154">
        <v>8</v>
      </c>
      <c r="C154">
        <v>1</v>
      </c>
      <c r="D154" t="s">
        <v>344</v>
      </c>
      <c r="E154" t="s">
        <v>188</v>
      </c>
      <c r="F154" t="s">
        <v>192</v>
      </c>
      <c r="G154" t="s">
        <v>8</v>
      </c>
      <c r="H154" t="s">
        <v>8</v>
      </c>
      <c r="I154" t="s">
        <v>8</v>
      </c>
      <c r="J154" t="s">
        <v>341</v>
      </c>
      <c r="K154" t="s">
        <v>243</v>
      </c>
      <c r="L154" t="s">
        <v>36</v>
      </c>
      <c r="M154" t="s">
        <v>345</v>
      </c>
    </row>
    <row r="155" spans="1:13" hidden="1">
      <c r="A155" s="5" t="str">
        <f>HYPERLINK("http://www.analog.com/zh/ad5348#details", "AD5348")</f>
        <v>AD5348</v>
      </c>
      <c r="B155">
        <v>12</v>
      </c>
      <c r="C155">
        <v>8</v>
      </c>
      <c r="D155" t="s">
        <v>346</v>
      </c>
      <c r="E155" t="s">
        <v>8</v>
      </c>
      <c r="F155" t="s">
        <v>192</v>
      </c>
      <c r="G155" t="s">
        <v>72</v>
      </c>
      <c r="H155">
        <v>16</v>
      </c>
      <c r="I155" t="s">
        <v>260</v>
      </c>
      <c r="J155" t="s">
        <v>177</v>
      </c>
      <c r="K155" t="s">
        <v>347</v>
      </c>
      <c r="L155" t="s">
        <v>12</v>
      </c>
      <c r="M155" t="s">
        <v>348</v>
      </c>
    </row>
    <row r="156" spans="1:13" hidden="1">
      <c r="A156" s="5" t="str">
        <f>HYPERLINK("http://www.analog.com/zh/ad5347#details", "AD5347")</f>
        <v>AD5347</v>
      </c>
      <c r="B156">
        <v>10</v>
      </c>
      <c r="C156">
        <v>8</v>
      </c>
      <c r="D156" t="s">
        <v>349</v>
      </c>
      <c r="E156" t="s">
        <v>8</v>
      </c>
      <c r="F156" t="s">
        <v>192</v>
      </c>
      <c r="G156" t="s">
        <v>72</v>
      </c>
      <c r="H156">
        <v>4</v>
      </c>
      <c r="I156" t="s">
        <v>73</v>
      </c>
      <c r="J156" t="s">
        <v>85</v>
      </c>
      <c r="K156" t="s">
        <v>347</v>
      </c>
      <c r="L156" t="s">
        <v>12</v>
      </c>
      <c r="M156" t="s">
        <v>348</v>
      </c>
    </row>
    <row r="157" spans="1:13" hidden="1">
      <c r="A157" s="5" t="str">
        <f>HYPERLINK("http://www.analog.com/zh/ad5346#details", "AD5346")</f>
        <v>AD5346</v>
      </c>
      <c r="B157">
        <v>8</v>
      </c>
      <c r="C157">
        <v>8</v>
      </c>
      <c r="D157" t="s">
        <v>161</v>
      </c>
      <c r="E157" t="s">
        <v>8</v>
      </c>
      <c r="F157" t="s">
        <v>192</v>
      </c>
      <c r="G157" t="s">
        <v>72</v>
      </c>
      <c r="H157">
        <v>1</v>
      </c>
      <c r="I157" t="s">
        <v>247</v>
      </c>
      <c r="J157" t="s">
        <v>323</v>
      </c>
      <c r="K157" t="s">
        <v>347</v>
      </c>
      <c r="L157" t="s">
        <v>12</v>
      </c>
      <c r="M157" t="s">
        <v>350</v>
      </c>
    </row>
    <row r="158" spans="1:13" hidden="1">
      <c r="A158" s="5" t="str">
        <f>HYPERLINK("http://www.analog.com/zh/ad5339#details", "AD5339")</f>
        <v>AD5339</v>
      </c>
      <c r="B158">
        <v>12</v>
      </c>
      <c r="C158">
        <v>2</v>
      </c>
      <c r="D158" t="s">
        <v>351</v>
      </c>
      <c r="E158" t="s">
        <v>8</v>
      </c>
      <c r="F158" t="s">
        <v>49</v>
      </c>
      <c r="G158" t="s">
        <v>72</v>
      </c>
      <c r="H158">
        <v>8</v>
      </c>
      <c r="I158" t="s">
        <v>260</v>
      </c>
      <c r="J158" t="s">
        <v>83</v>
      </c>
      <c r="K158" t="s">
        <v>84</v>
      </c>
      <c r="L158" t="s">
        <v>12</v>
      </c>
      <c r="M158" t="s">
        <v>352</v>
      </c>
    </row>
    <row r="159" spans="1:13" hidden="1">
      <c r="A159" s="5" t="str">
        <f>HYPERLINK("http://www.analog.com/zh/ad5338#details", "AD5338")</f>
        <v>AD5338</v>
      </c>
      <c r="B159">
        <v>10</v>
      </c>
      <c r="C159">
        <v>2</v>
      </c>
      <c r="D159" t="s">
        <v>353</v>
      </c>
      <c r="E159" t="s">
        <v>8</v>
      </c>
      <c r="F159" t="s">
        <v>49</v>
      </c>
      <c r="G159" t="s">
        <v>72</v>
      </c>
      <c r="H159">
        <v>2</v>
      </c>
      <c r="I159" t="s">
        <v>73</v>
      </c>
      <c r="J159" t="s">
        <v>83</v>
      </c>
      <c r="K159" t="s">
        <v>84</v>
      </c>
      <c r="L159" t="s">
        <v>12</v>
      </c>
      <c r="M159" t="s">
        <v>352</v>
      </c>
    </row>
    <row r="160" spans="1:13" hidden="1">
      <c r="A160" s="5" t="str">
        <f>HYPERLINK("http://www.analog.com/zh/ad5337#details", "AD5337")</f>
        <v>AD5337</v>
      </c>
      <c r="B160">
        <v>8</v>
      </c>
      <c r="C160">
        <v>2</v>
      </c>
      <c r="D160" t="s">
        <v>354</v>
      </c>
      <c r="E160" t="s">
        <v>8</v>
      </c>
      <c r="F160" t="s">
        <v>49</v>
      </c>
      <c r="G160" t="s">
        <v>72</v>
      </c>
      <c r="H160">
        <v>0.5</v>
      </c>
      <c r="I160" t="s">
        <v>247</v>
      </c>
      <c r="J160" t="s">
        <v>83</v>
      </c>
      <c r="K160" t="s">
        <v>84</v>
      </c>
      <c r="L160" t="s">
        <v>12</v>
      </c>
      <c r="M160" t="s">
        <v>352</v>
      </c>
    </row>
    <row r="161" spans="1:13" hidden="1">
      <c r="A161" s="5" t="str">
        <f>HYPERLINK("http://www.analog.com/zh/ad5555#details", "AD5555")</f>
        <v>AD5555</v>
      </c>
      <c r="B161">
        <v>14</v>
      </c>
      <c r="C161">
        <v>2</v>
      </c>
      <c r="D161" t="s">
        <v>355</v>
      </c>
      <c r="E161" t="s">
        <v>314</v>
      </c>
      <c r="F161" t="s">
        <v>55</v>
      </c>
      <c r="G161" t="s">
        <v>8</v>
      </c>
      <c r="H161" t="s">
        <v>8</v>
      </c>
      <c r="I161" t="s">
        <v>315</v>
      </c>
      <c r="J161" t="s">
        <v>8</v>
      </c>
      <c r="K161" t="s">
        <v>316</v>
      </c>
      <c r="L161" t="s">
        <v>36</v>
      </c>
      <c r="M161" t="s">
        <v>133</v>
      </c>
    </row>
    <row r="162" spans="1:13" hidden="1">
      <c r="A162" s="5" t="str">
        <f>HYPERLINK("http://www.analog.com/zh/ad5545#details", "AD5545")</f>
        <v>AD5545</v>
      </c>
      <c r="B162">
        <v>16</v>
      </c>
      <c r="C162">
        <v>2</v>
      </c>
      <c r="D162" t="s">
        <v>356</v>
      </c>
      <c r="E162" t="s">
        <v>314</v>
      </c>
      <c r="F162" t="s">
        <v>55</v>
      </c>
      <c r="G162" t="s">
        <v>8</v>
      </c>
      <c r="H162" t="s">
        <v>8</v>
      </c>
      <c r="I162" t="s">
        <v>315</v>
      </c>
      <c r="J162" t="s">
        <v>8</v>
      </c>
      <c r="K162" t="s">
        <v>316</v>
      </c>
      <c r="L162" t="s">
        <v>36</v>
      </c>
      <c r="M162" t="s">
        <v>133</v>
      </c>
    </row>
    <row r="163" spans="1:13" hidden="1">
      <c r="A163" s="5" t="str">
        <f>HYPERLINK("http://www.analog.com/zh/ad5553#details", "AD5553")</f>
        <v>AD5553</v>
      </c>
      <c r="B163">
        <v>14</v>
      </c>
      <c r="C163">
        <v>1</v>
      </c>
      <c r="D163" t="s">
        <v>357</v>
      </c>
      <c r="E163" t="s">
        <v>314</v>
      </c>
      <c r="F163" t="s">
        <v>88</v>
      </c>
      <c r="G163" t="s">
        <v>8</v>
      </c>
      <c r="H163" t="s">
        <v>8</v>
      </c>
      <c r="I163" t="s">
        <v>315</v>
      </c>
      <c r="J163" t="s">
        <v>8</v>
      </c>
      <c r="K163" t="s">
        <v>316</v>
      </c>
      <c r="L163" t="s">
        <v>36</v>
      </c>
      <c r="M163" t="s">
        <v>352</v>
      </c>
    </row>
    <row r="164" spans="1:13" hidden="1">
      <c r="A164" s="5" t="str">
        <f>HYPERLINK("http://www.analog.com/zh/ad5543#details", "AD5543")</f>
        <v>AD5543</v>
      </c>
      <c r="B164">
        <v>16</v>
      </c>
      <c r="C164">
        <v>1</v>
      </c>
      <c r="D164" t="s">
        <v>358</v>
      </c>
      <c r="E164" t="s">
        <v>314</v>
      </c>
      <c r="F164" t="s">
        <v>88</v>
      </c>
      <c r="G164" t="s">
        <v>8</v>
      </c>
      <c r="H164" t="s">
        <v>8</v>
      </c>
      <c r="I164" t="s">
        <v>315</v>
      </c>
      <c r="J164" t="s">
        <v>8</v>
      </c>
      <c r="K164" t="s">
        <v>316</v>
      </c>
      <c r="L164" t="s">
        <v>36</v>
      </c>
      <c r="M164" t="s">
        <v>359</v>
      </c>
    </row>
    <row r="165" spans="1:13" hidden="1">
      <c r="A165" s="5" t="str">
        <f>HYPERLINK("http://www.analog.com/zh/ad5583#details", "AD5583")</f>
        <v>AD5583</v>
      </c>
      <c r="B165">
        <v>10</v>
      </c>
      <c r="C165">
        <v>4</v>
      </c>
      <c r="D165" t="s">
        <v>360</v>
      </c>
      <c r="E165" t="s">
        <v>314</v>
      </c>
      <c r="F165" t="s">
        <v>192</v>
      </c>
      <c r="G165" t="s">
        <v>361</v>
      </c>
      <c r="H165">
        <v>1</v>
      </c>
      <c r="I165" t="s">
        <v>8</v>
      </c>
      <c r="J165" t="s">
        <v>362</v>
      </c>
      <c r="K165" t="s">
        <v>363</v>
      </c>
      <c r="L165" t="s">
        <v>36</v>
      </c>
      <c r="M165" t="s">
        <v>364</v>
      </c>
    </row>
    <row r="166" spans="1:13" hidden="1">
      <c r="A166" s="5" t="str">
        <f>HYPERLINK("http://www.analog.com/zh/ad5582#details", "AD5582")</f>
        <v>AD5582</v>
      </c>
      <c r="B166">
        <v>12</v>
      </c>
      <c r="C166">
        <v>4</v>
      </c>
      <c r="D166" t="s">
        <v>365</v>
      </c>
      <c r="E166" t="s">
        <v>314</v>
      </c>
      <c r="F166" t="s">
        <v>192</v>
      </c>
      <c r="G166" t="s">
        <v>361</v>
      </c>
      <c r="H166">
        <v>1</v>
      </c>
      <c r="I166" t="s">
        <v>8</v>
      </c>
      <c r="J166" t="s">
        <v>362</v>
      </c>
      <c r="K166" t="s">
        <v>363</v>
      </c>
      <c r="L166" t="s">
        <v>36</v>
      </c>
      <c r="M166" t="s">
        <v>364</v>
      </c>
    </row>
    <row r="167" spans="1:13" hidden="1">
      <c r="A167" s="5" t="str">
        <f>HYPERLINK("http://www.analog.com/zh/ad5328#details", "AD5328")</f>
        <v>AD5328</v>
      </c>
      <c r="B167">
        <v>12</v>
      </c>
      <c r="C167">
        <v>8</v>
      </c>
      <c r="D167" t="s">
        <v>171</v>
      </c>
      <c r="E167" t="s">
        <v>154</v>
      </c>
      <c r="F167" t="s">
        <v>66</v>
      </c>
      <c r="G167" t="s">
        <v>72</v>
      </c>
      <c r="H167">
        <v>12</v>
      </c>
      <c r="I167" t="s">
        <v>260</v>
      </c>
      <c r="J167" t="s">
        <v>323</v>
      </c>
      <c r="K167" t="s">
        <v>347</v>
      </c>
      <c r="L167" t="s">
        <v>12</v>
      </c>
      <c r="M167" t="s">
        <v>133</v>
      </c>
    </row>
    <row r="168" spans="1:13" hidden="1">
      <c r="A168" s="5" t="str">
        <f>HYPERLINK("http://www.analog.com/zh/ad5318#details", "AD5318")</f>
        <v>AD5318</v>
      </c>
      <c r="B168">
        <v>10</v>
      </c>
      <c r="C168">
        <v>8</v>
      </c>
      <c r="D168" t="s">
        <v>351</v>
      </c>
      <c r="E168" t="s">
        <v>154</v>
      </c>
      <c r="F168" t="s">
        <v>66</v>
      </c>
      <c r="G168" t="s">
        <v>72</v>
      </c>
      <c r="H168">
        <v>3</v>
      </c>
      <c r="I168" t="s">
        <v>73</v>
      </c>
      <c r="J168" t="s">
        <v>323</v>
      </c>
      <c r="K168" t="s">
        <v>347</v>
      </c>
      <c r="L168" t="s">
        <v>12</v>
      </c>
      <c r="M168" t="s">
        <v>133</v>
      </c>
    </row>
    <row r="169" spans="1:13" hidden="1">
      <c r="A169" s="5" t="str">
        <f>HYPERLINK("http://www.analog.com/zh/ad5308#details", "AD5308")</f>
        <v>AD5308</v>
      </c>
      <c r="B169">
        <v>8</v>
      </c>
      <c r="C169">
        <v>8</v>
      </c>
      <c r="D169" t="s">
        <v>366</v>
      </c>
      <c r="E169" t="s">
        <v>154</v>
      </c>
      <c r="F169" t="s">
        <v>66</v>
      </c>
      <c r="G169" t="s">
        <v>72</v>
      </c>
      <c r="H169">
        <v>0.75</v>
      </c>
      <c r="I169" t="s">
        <v>247</v>
      </c>
      <c r="J169" t="s">
        <v>323</v>
      </c>
      <c r="K169" t="s">
        <v>347</v>
      </c>
      <c r="L169" t="s">
        <v>12</v>
      </c>
      <c r="M169" t="s">
        <v>133</v>
      </c>
    </row>
    <row r="170" spans="1:13" hidden="1">
      <c r="A170" s="5" t="str">
        <f>HYPERLINK("http://www.analog.com/zh/ad5516#details", "AD5516")</f>
        <v>AD5516</v>
      </c>
      <c r="B170">
        <v>14</v>
      </c>
      <c r="C170">
        <v>16</v>
      </c>
      <c r="D170" t="s">
        <v>367</v>
      </c>
      <c r="E170" t="s">
        <v>154</v>
      </c>
      <c r="F170" t="s">
        <v>66</v>
      </c>
      <c r="G170" t="s">
        <v>368</v>
      </c>
      <c r="H170">
        <v>2</v>
      </c>
      <c r="I170" t="s">
        <v>8</v>
      </c>
      <c r="J170" t="s">
        <v>369</v>
      </c>
      <c r="K170" t="s">
        <v>370</v>
      </c>
      <c r="L170" t="s">
        <v>12</v>
      </c>
      <c r="M170" t="s">
        <v>371</v>
      </c>
    </row>
    <row r="171" spans="1:13" hidden="1">
      <c r="A171" s="5" t="str">
        <f>HYPERLINK("http://www.analog.com/zh/ad5532b#details", "AD5532B")</f>
        <v>AD5532B</v>
      </c>
      <c r="B171">
        <v>14</v>
      </c>
      <c r="C171">
        <v>32</v>
      </c>
      <c r="D171" t="s">
        <v>372</v>
      </c>
      <c r="E171" t="s">
        <v>154</v>
      </c>
      <c r="F171" t="s">
        <v>310</v>
      </c>
      <c r="G171" t="s">
        <v>373</v>
      </c>
      <c r="H171" t="s">
        <v>8</v>
      </c>
      <c r="I171" t="s">
        <v>8</v>
      </c>
      <c r="J171" t="s">
        <v>374</v>
      </c>
      <c r="K171" t="s">
        <v>375</v>
      </c>
      <c r="L171" t="s">
        <v>12</v>
      </c>
      <c r="M171" t="s">
        <v>371</v>
      </c>
    </row>
    <row r="172" spans="1:13" hidden="1">
      <c r="A172" s="5" t="str">
        <f>HYPERLINK("http://www.analog.com/zh/ad5532hs#details", "AD5532HS")</f>
        <v>AD5532HS</v>
      </c>
      <c r="B172">
        <v>14</v>
      </c>
      <c r="C172">
        <v>32</v>
      </c>
      <c r="D172" t="s">
        <v>376</v>
      </c>
      <c r="E172" t="s">
        <v>154</v>
      </c>
      <c r="F172" t="s">
        <v>88</v>
      </c>
      <c r="G172" t="s">
        <v>373</v>
      </c>
      <c r="H172" t="s">
        <v>8</v>
      </c>
      <c r="I172" t="s">
        <v>8</v>
      </c>
      <c r="J172" t="s">
        <v>377</v>
      </c>
      <c r="K172" t="s">
        <v>378</v>
      </c>
      <c r="L172" t="s">
        <v>12</v>
      </c>
      <c r="M172" t="s">
        <v>371</v>
      </c>
    </row>
    <row r="173" spans="1:13" hidden="1">
      <c r="A173" s="5" t="str">
        <f>HYPERLINK("http://www.analog.com/zh/ad7399#details", "AD7399")</f>
        <v>AD7399</v>
      </c>
      <c r="B173">
        <v>10</v>
      </c>
      <c r="C173">
        <v>4</v>
      </c>
      <c r="D173" t="s">
        <v>379</v>
      </c>
      <c r="E173" t="s">
        <v>154</v>
      </c>
      <c r="F173" t="s">
        <v>55</v>
      </c>
      <c r="G173" t="s">
        <v>95</v>
      </c>
      <c r="H173">
        <v>1</v>
      </c>
      <c r="I173" t="s">
        <v>8</v>
      </c>
      <c r="J173" t="s">
        <v>323</v>
      </c>
      <c r="K173" t="s">
        <v>380</v>
      </c>
      <c r="L173" t="s">
        <v>12</v>
      </c>
      <c r="M173" t="s">
        <v>381</v>
      </c>
    </row>
    <row r="174" spans="1:13" hidden="1">
      <c r="A174" s="5" t="str">
        <f>HYPERLINK("http://www.analog.com/zh/ad7398#details", "AD7398")</f>
        <v>AD7398</v>
      </c>
      <c r="B174">
        <v>12</v>
      </c>
      <c r="C174">
        <v>4</v>
      </c>
      <c r="D174" t="s">
        <v>382</v>
      </c>
      <c r="E174" t="s">
        <v>154</v>
      </c>
      <c r="F174" t="s">
        <v>55</v>
      </c>
      <c r="G174" t="s">
        <v>95</v>
      </c>
      <c r="H174">
        <v>1.5</v>
      </c>
      <c r="I174" t="s">
        <v>8</v>
      </c>
      <c r="J174" t="s">
        <v>323</v>
      </c>
      <c r="K174" t="s">
        <v>380</v>
      </c>
      <c r="L174" t="s">
        <v>12</v>
      </c>
      <c r="M174" t="s">
        <v>381</v>
      </c>
    </row>
    <row r="175" spans="1:13" hidden="1">
      <c r="A175" s="5" t="str">
        <f>HYPERLINK("http://www.analog.com/zh/ad5327#details", "AD5327")</f>
        <v>AD5327</v>
      </c>
      <c r="B175">
        <v>12</v>
      </c>
      <c r="C175">
        <v>4</v>
      </c>
      <c r="D175" t="s">
        <v>383</v>
      </c>
      <c r="E175" t="s">
        <v>154</v>
      </c>
      <c r="F175" t="s">
        <v>66</v>
      </c>
      <c r="G175" t="s">
        <v>72</v>
      </c>
      <c r="H175">
        <v>10</v>
      </c>
      <c r="I175" t="s">
        <v>260</v>
      </c>
      <c r="J175" t="s">
        <v>177</v>
      </c>
      <c r="K175" t="s">
        <v>384</v>
      </c>
      <c r="L175" t="s">
        <v>12</v>
      </c>
      <c r="M175" t="s">
        <v>133</v>
      </c>
    </row>
    <row r="176" spans="1:13" hidden="1">
      <c r="A176" s="5" t="str">
        <f>HYPERLINK("http://www.analog.com/zh/ad5326#details", "AD5326")</f>
        <v>AD5326</v>
      </c>
      <c r="B176">
        <v>12</v>
      </c>
      <c r="C176">
        <v>4</v>
      </c>
      <c r="D176" t="s">
        <v>385</v>
      </c>
      <c r="E176" t="s">
        <v>8</v>
      </c>
      <c r="F176" t="s">
        <v>49</v>
      </c>
      <c r="G176" t="s">
        <v>72</v>
      </c>
      <c r="H176">
        <v>10</v>
      </c>
      <c r="I176" t="s">
        <v>260</v>
      </c>
      <c r="J176" t="s">
        <v>177</v>
      </c>
      <c r="K176" t="s">
        <v>384</v>
      </c>
      <c r="L176" t="s">
        <v>12</v>
      </c>
      <c r="M176" t="s">
        <v>133</v>
      </c>
    </row>
    <row r="177" spans="1:13" hidden="1">
      <c r="A177" s="5" t="str">
        <f>HYPERLINK("http://www.analog.com/zh/ad5317#details", "AD5317")</f>
        <v>AD5317</v>
      </c>
      <c r="B177">
        <v>10</v>
      </c>
      <c r="C177">
        <v>4</v>
      </c>
      <c r="D177" t="s">
        <v>386</v>
      </c>
      <c r="E177" t="s">
        <v>8</v>
      </c>
      <c r="F177" t="s">
        <v>66</v>
      </c>
      <c r="G177" t="s">
        <v>72</v>
      </c>
      <c r="H177">
        <v>2.5</v>
      </c>
      <c r="I177" t="s">
        <v>73</v>
      </c>
      <c r="J177" t="s">
        <v>85</v>
      </c>
      <c r="K177" t="s">
        <v>384</v>
      </c>
      <c r="L177" t="s">
        <v>12</v>
      </c>
      <c r="M177" t="s">
        <v>133</v>
      </c>
    </row>
    <row r="178" spans="1:13" hidden="1">
      <c r="A178" s="5" t="str">
        <f>HYPERLINK("http://www.analog.com/zh/ad5316#details", "AD5316")</f>
        <v>AD5316</v>
      </c>
      <c r="B178">
        <v>10</v>
      </c>
      <c r="C178">
        <v>4</v>
      </c>
      <c r="D178" t="s">
        <v>387</v>
      </c>
      <c r="E178" t="s">
        <v>8</v>
      </c>
      <c r="F178" t="s">
        <v>49</v>
      </c>
      <c r="G178" t="s">
        <v>72</v>
      </c>
      <c r="H178">
        <v>2.5</v>
      </c>
      <c r="I178" t="s">
        <v>73</v>
      </c>
      <c r="J178" t="s">
        <v>85</v>
      </c>
      <c r="K178" t="s">
        <v>384</v>
      </c>
      <c r="L178" t="s">
        <v>12</v>
      </c>
      <c r="M178" t="s">
        <v>133</v>
      </c>
    </row>
    <row r="179" spans="1:13" hidden="1">
      <c r="A179" s="5" t="str">
        <f>HYPERLINK("http://www.analog.com/zh/ad5307#details", "AD5307")</f>
        <v>AD5307</v>
      </c>
      <c r="B179">
        <v>8</v>
      </c>
      <c r="C179">
        <v>4</v>
      </c>
      <c r="D179" t="s">
        <v>53</v>
      </c>
      <c r="E179" t="s">
        <v>8</v>
      </c>
      <c r="F179" t="s">
        <v>66</v>
      </c>
      <c r="G179" t="s">
        <v>72</v>
      </c>
      <c r="H179">
        <v>0.625</v>
      </c>
      <c r="I179" t="s">
        <v>247</v>
      </c>
      <c r="J179" t="s">
        <v>323</v>
      </c>
      <c r="K179" t="s">
        <v>384</v>
      </c>
      <c r="L179" t="s">
        <v>12</v>
      </c>
      <c r="M179" t="s">
        <v>133</v>
      </c>
    </row>
    <row r="180" spans="1:13" hidden="1">
      <c r="A180" s="5" t="str">
        <f>HYPERLINK("http://www.analog.com/zh/ad5306#details", "AD5306")</f>
        <v>AD5306</v>
      </c>
      <c r="B180">
        <v>8</v>
      </c>
      <c r="C180">
        <v>4</v>
      </c>
      <c r="D180" t="s">
        <v>388</v>
      </c>
      <c r="E180" t="s">
        <v>8</v>
      </c>
      <c r="F180" t="s">
        <v>49</v>
      </c>
      <c r="G180" t="s">
        <v>72</v>
      </c>
      <c r="H180">
        <v>0.625</v>
      </c>
      <c r="I180" t="s">
        <v>247</v>
      </c>
      <c r="J180" t="s">
        <v>323</v>
      </c>
      <c r="K180" t="s">
        <v>384</v>
      </c>
      <c r="L180" t="s">
        <v>12</v>
      </c>
      <c r="M180" t="s">
        <v>133</v>
      </c>
    </row>
    <row r="181" spans="1:13" hidden="1">
      <c r="A181" s="5" t="str">
        <f>HYPERLINK("http://www.analog.com/zh/ad5552#details", "AD5552")</f>
        <v>AD5552</v>
      </c>
      <c r="B181">
        <v>14</v>
      </c>
      <c r="C181">
        <v>1</v>
      </c>
      <c r="D181" t="s">
        <v>389</v>
      </c>
      <c r="E181" t="s">
        <v>390</v>
      </c>
      <c r="F181" t="s">
        <v>66</v>
      </c>
      <c r="G181" t="s">
        <v>103</v>
      </c>
      <c r="H181">
        <v>1</v>
      </c>
      <c r="I181" t="s">
        <v>8</v>
      </c>
      <c r="J181" t="s">
        <v>101</v>
      </c>
      <c r="K181" t="s">
        <v>391</v>
      </c>
      <c r="L181" t="s">
        <v>36</v>
      </c>
      <c r="M181" t="s">
        <v>392</v>
      </c>
    </row>
    <row r="182" spans="1:13" hidden="1">
      <c r="A182" s="5" t="str">
        <f>HYPERLINK("http://www.analog.com/zh/ad5551#details", "AD5551")</f>
        <v>AD5551</v>
      </c>
      <c r="B182">
        <v>14</v>
      </c>
      <c r="C182">
        <v>1</v>
      </c>
      <c r="D182" t="s">
        <v>389</v>
      </c>
      <c r="E182" t="s">
        <v>390</v>
      </c>
      <c r="F182" t="s">
        <v>66</v>
      </c>
      <c r="G182" t="s">
        <v>393</v>
      </c>
      <c r="H182">
        <v>1</v>
      </c>
      <c r="I182" t="s">
        <v>8</v>
      </c>
      <c r="J182" t="s">
        <v>101</v>
      </c>
      <c r="K182" t="s">
        <v>391</v>
      </c>
      <c r="L182" t="s">
        <v>12</v>
      </c>
      <c r="M182" t="s">
        <v>394</v>
      </c>
    </row>
    <row r="183" spans="1:13" hidden="1">
      <c r="A183" s="5" t="str">
        <f>HYPERLINK("http://www.analog.com/zh/ad5532#details", "AD5532")</f>
        <v>AD5532</v>
      </c>
      <c r="B183">
        <v>14</v>
      </c>
      <c r="C183">
        <v>32</v>
      </c>
      <c r="D183" t="s">
        <v>395</v>
      </c>
      <c r="E183" t="s">
        <v>154</v>
      </c>
      <c r="F183" t="s">
        <v>310</v>
      </c>
      <c r="G183" t="s">
        <v>373</v>
      </c>
      <c r="H183" t="s">
        <v>8</v>
      </c>
      <c r="I183" t="s">
        <v>8</v>
      </c>
      <c r="J183" t="s">
        <v>374</v>
      </c>
      <c r="K183" t="s">
        <v>375</v>
      </c>
      <c r="L183" t="s">
        <v>12</v>
      </c>
      <c r="M183" t="s">
        <v>371</v>
      </c>
    </row>
    <row r="184" spans="1:13" hidden="1">
      <c r="A184" s="5" t="str">
        <f>HYPERLINK("http://www.analog.com/zh/ad5335#details", "AD5335")</f>
        <v>AD5335</v>
      </c>
      <c r="B184">
        <v>10</v>
      </c>
      <c r="C184">
        <v>4</v>
      </c>
      <c r="D184" t="s">
        <v>396</v>
      </c>
      <c r="E184" t="s">
        <v>154</v>
      </c>
      <c r="F184" t="s">
        <v>397</v>
      </c>
      <c r="G184" t="s">
        <v>72</v>
      </c>
      <c r="H184">
        <v>4</v>
      </c>
      <c r="I184" t="s">
        <v>73</v>
      </c>
      <c r="J184" t="s">
        <v>85</v>
      </c>
      <c r="K184" t="s">
        <v>398</v>
      </c>
      <c r="L184" t="s">
        <v>12</v>
      </c>
      <c r="M184" t="s">
        <v>297</v>
      </c>
    </row>
    <row r="185" spans="1:13" hidden="1">
      <c r="A185" s="5" t="str">
        <f>HYPERLINK("http://www.analog.com/zh/ad5554#details", "AD5554")</f>
        <v>AD5554</v>
      </c>
      <c r="B185">
        <v>14</v>
      </c>
      <c r="C185">
        <v>4</v>
      </c>
      <c r="D185" t="s">
        <v>399</v>
      </c>
      <c r="E185" t="s">
        <v>236</v>
      </c>
      <c r="F185" t="s">
        <v>55</v>
      </c>
      <c r="G185" t="s">
        <v>8</v>
      </c>
      <c r="H185" t="s">
        <v>8</v>
      </c>
      <c r="I185" t="s">
        <v>400</v>
      </c>
      <c r="J185" t="s">
        <v>8</v>
      </c>
      <c r="K185" t="s">
        <v>281</v>
      </c>
      <c r="L185" t="s">
        <v>36</v>
      </c>
      <c r="M185" t="s">
        <v>194</v>
      </c>
    </row>
    <row r="186" spans="1:13" hidden="1">
      <c r="A186" s="5" t="str">
        <f>HYPERLINK("http://www.analog.com/zh/ad5544#details", "AD5544")</f>
        <v>AD5544</v>
      </c>
      <c r="B186">
        <v>16</v>
      </c>
      <c r="C186">
        <v>4</v>
      </c>
      <c r="D186" t="s">
        <v>401</v>
      </c>
      <c r="E186" t="s">
        <v>236</v>
      </c>
      <c r="F186" t="s">
        <v>55</v>
      </c>
      <c r="G186" t="s">
        <v>8</v>
      </c>
      <c r="H186" t="s">
        <v>8</v>
      </c>
      <c r="I186" t="s">
        <v>400</v>
      </c>
      <c r="J186" t="s">
        <v>8</v>
      </c>
      <c r="K186" t="s">
        <v>281</v>
      </c>
      <c r="L186" t="s">
        <v>36</v>
      </c>
      <c r="M186" t="s">
        <v>402</v>
      </c>
    </row>
    <row r="187" spans="1:13" hidden="1">
      <c r="A187" s="5" t="str">
        <f>HYPERLINK("http://www.analog.com/zh/ad5344#details", "AD5344")</f>
        <v>AD5344</v>
      </c>
      <c r="B187">
        <v>12</v>
      </c>
      <c r="C187">
        <v>4</v>
      </c>
      <c r="D187" t="s">
        <v>403</v>
      </c>
      <c r="E187" t="s">
        <v>154</v>
      </c>
      <c r="F187" t="s">
        <v>192</v>
      </c>
      <c r="G187" t="s">
        <v>72</v>
      </c>
      <c r="H187">
        <v>16</v>
      </c>
      <c r="I187" t="s">
        <v>260</v>
      </c>
      <c r="J187" t="s">
        <v>177</v>
      </c>
      <c r="K187" t="s">
        <v>398</v>
      </c>
      <c r="L187" t="s">
        <v>12</v>
      </c>
      <c r="M187" t="s">
        <v>335</v>
      </c>
    </row>
    <row r="188" spans="1:13" hidden="1">
      <c r="A188" s="5" t="str">
        <f>HYPERLINK("http://www.analog.com/zh/ad5343#details", "AD5343")</f>
        <v>AD5343</v>
      </c>
      <c r="B188">
        <v>12</v>
      </c>
      <c r="C188">
        <v>2</v>
      </c>
      <c r="D188" t="s">
        <v>404</v>
      </c>
      <c r="E188" t="s">
        <v>8</v>
      </c>
      <c r="F188" t="s">
        <v>397</v>
      </c>
      <c r="G188" t="s">
        <v>72</v>
      </c>
      <c r="H188">
        <v>16</v>
      </c>
      <c r="I188" t="s">
        <v>260</v>
      </c>
      <c r="J188" t="s">
        <v>177</v>
      </c>
      <c r="K188" t="s">
        <v>84</v>
      </c>
      <c r="L188" t="s">
        <v>12</v>
      </c>
      <c r="M188" t="s">
        <v>124</v>
      </c>
    </row>
    <row r="189" spans="1:13" hidden="1">
      <c r="A189" s="5" t="str">
        <f>HYPERLINK("http://www.analog.com/zh/ad5342#details", "AD5342")</f>
        <v>AD5342</v>
      </c>
      <c r="B189">
        <v>12</v>
      </c>
      <c r="C189">
        <v>2</v>
      </c>
      <c r="D189" t="s">
        <v>405</v>
      </c>
      <c r="E189" t="s">
        <v>8</v>
      </c>
      <c r="F189" t="s">
        <v>192</v>
      </c>
      <c r="G189" t="s">
        <v>72</v>
      </c>
      <c r="H189">
        <v>16</v>
      </c>
      <c r="I189" t="s">
        <v>260</v>
      </c>
      <c r="J189" t="s">
        <v>177</v>
      </c>
      <c r="K189" t="s">
        <v>84</v>
      </c>
      <c r="L189" t="s">
        <v>12</v>
      </c>
      <c r="M189" t="s">
        <v>335</v>
      </c>
    </row>
    <row r="190" spans="1:13" hidden="1">
      <c r="A190" s="5" t="str">
        <f>HYPERLINK("http://www.analog.com/zh/ad5341#details", "AD5341")</f>
        <v>AD5341</v>
      </c>
      <c r="B190">
        <v>12</v>
      </c>
      <c r="C190">
        <v>1</v>
      </c>
      <c r="D190" t="s">
        <v>406</v>
      </c>
      <c r="E190" t="s">
        <v>154</v>
      </c>
      <c r="F190" t="s">
        <v>397</v>
      </c>
      <c r="G190" t="s">
        <v>72</v>
      </c>
      <c r="H190">
        <v>16</v>
      </c>
      <c r="I190" t="s">
        <v>260</v>
      </c>
      <c r="J190" t="s">
        <v>177</v>
      </c>
      <c r="K190" t="s">
        <v>407</v>
      </c>
      <c r="L190" t="s">
        <v>12</v>
      </c>
      <c r="M190" t="s">
        <v>124</v>
      </c>
    </row>
    <row r="191" spans="1:13" hidden="1">
      <c r="A191" s="5" t="str">
        <f>HYPERLINK("http://www.analog.com/zh/ad5340#details", "AD5340")</f>
        <v>AD5340</v>
      </c>
      <c r="B191">
        <v>12</v>
      </c>
      <c r="C191">
        <v>1</v>
      </c>
      <c r="D191" t="s">
        <v>408</v>
      </c>
      <c r="E191" t="s">
        <v>8</v>
      </c>
      <c r="F191" t="s">
        <v>192</v>
      </c>
      <c r="G191" t="s">
        <v>72</v>
      </c>
      <c r="H191">
        <v>16</v>
      </c>
      <c r="I191" t="s">
        <v>260</v>
      </c>
      <c r="J191" t="s">
        <v>177</v>
      </c>
      <c r="K191" t="s">
        <v>84</v>
      </c>
      <c r="L191" t="s">
        <v>12</v>
      </c>
      <c r="M191" t="s">
        <v>297</v>
      </c>
    </row>
    <row r="192" spans="1:13" hidden="1">
      <c r="A192" s="5" t="str">
        <f>HYPERLINK("http://www.analog.com/zh/ad5336#details", "AD5336")</f>
        <v>AD5336</v>
      </c>
      <c r="B192">
        <v>10</v>
      </c>
      <c r="C192">
        <v>4</v>
      </c>
      <c r="D192" t="s">
        <v>409</v>
      </c>
      <c r="E192" t="s">
        <v>154</v>
      </c>
      <c r="F192" t="s">
        <v>192</v>
      </c>
      <c r="G192" t="s">
        <v>72</v>
      </c>
      <c r="H192">
        <v>4</v>
      </c>
      <c r="I192" t="s">
        <v>73</v>
      </c>
      <c r="J192" t="s">
        <v>85</v>
      </c>
      <c r="K192" t="s">
        <v>398</v>
      </c>
      <c r="L192" t="s">
        <v>12</v>
      </c>
      <c r="M192" t="s">
        <v>335</v>
      </c>
    </row>
    <row r="193" spans="1:13" hidden="1">
      <c r="A193" s="5" t="str">
        <f>HYPERLINK("http://www.analog.com/zh/ad5334#details", "AD5334")</f>
        <v>AD5334</v>
      </c>
      <c r="B193">
        <v>8</v>
      </c>
      <c r="C193">
        <v>4</v>
      </c>
      <c r="D193" t="s">
        <v>410</v>
      </c>
      <c r="E193" t="s">
        <v>154</v>
      </c>
      <c r="F193" t="s">
        <v>192</v>
      </c>
      <c r="G193" t="s">
        <v>72</v>
      </c>
      <c r="H193">
        <v>1</v>
      </c>
      <c r="I193" t="s">
        <v>247</v>
      </c>
      <c r="J193" t="s">
        <v>323</v>
      </c>
      <c r="K193" t="s">
        <v>398</v>
      </c>
      <c r="L193" t="s">
        <v>12</v>
      </c>
      <c r="M193" t="s">
        <v>297</v>
      </c>
    </row>
    <row r="194" spans="1:13" hidden="1">
      <c r="A194" s="5" t="str">
        <f>HYPERLINK("http://www.analog.com/zh/ad5333#details", "AD5333")</f>
        <v>AD5333</v>
      </c>
      <c r="B194">
        <v>10</v>
      </c>
      <c r="C194">
        <v>2</v>
      </c>
      <c r="D194" t="s">
        <v>406</v>
      </c>
      <c r="E194" t="s">
        <v>154</v>
      </c>
      <c r="F194" t="s">
        <v>192</v>
      </c>
      <c r="G194" t="s">
        <v>72</v>
      </c>
      <c r="H194">
        <v>4</v>
      </c>
      <c r="I194" t="s">
        <v>73</v>
      </c>
      <c r="J194" t="s">
        <v>85</v>
      </c>
      <c r="K194" t="s">
        <v>84</v>
      </c>
      <c r="L194" t="s">
        <v>12</v>
      </c>
      <c r="M194" t="s">
        <v>297</v>
      </c>
    </row>
    <row r="195" spans="1:13" hidden="1">
      <c r="A195" s="5" t="str">
        <f>HYPERLINK("http://www.analog.com/zh/ad5332#details", "AD5332")</f>
        <v>AD5332</v>
      </c>
      <c r="B195">
        <v>8</v>
      </c>
      <c r="C195">
        <v>2</v>
      </c>
      <c r="D195" t="s">
        <v>161</v>
      </c>
      <c r="E195" t="s">
        <v>154</v>
      </c>
      <c r="F195" t="s">
        <v>192</v>
      </c>
      <c r="G195" t="s">
        <v>72</v>
      </c>
      <c r="H195">
        <v>1</v>
      </c>
      <c r="I195" t="s">
        <v>247</v>
      </c>
      <c r="J195" t="s">
        <v>323</v>
      </c>
      <c r="K195" t="s">
        <v>84</v>
      </c>
      <c r="L195" t="s">
        <v>12</v>
      </c>
      <c r="M195" t="s">
        <v>124</v>
      </c>
    </row>
    <row r="196" spans="1:13" hidden="1">
      <c r="A196" s="5" t="str">
        <f>HYPERLINK("http://www.analog.com/zh/ad5331#details", "AD5331")</f>
        <v>AD5331</v>
      </c>
      <c r="B196">
        <v>10</v>
      </c>
      <c r="C196">
        <v>1</v>
      </c>
      <c r="D196" t="s">
        <v>280</v>
      </c>
      <c r="E196" t="s">
        <v>154</v>
      </c>
      <c r="F196" t="s">
        <v>192</v>
      </c>
      <c r="G196" t="s">
        <v>72</v>
      </c>
      <c r="H196">
        <v>0.5</v>
      </c>
      <c r="I196" t="s">
        <v>73</v>
      </c>
      <c r="J196" t="s">
        <v>85</v>
      </c>
      <c r="K196" t="s">
        <v>411</v>
      </c>
      <c r="L196" t="s">
        <v>12</v>
      </c>
      <c r="M196" t="s">
        <v>124</v>
      </c>
    </row>
    <row r="197" spans="1:13" hidden="1">
      <c r="A197" s="5" t="str">
        <f>HYPERLINK("http://www.analog.com/zh/ad5330#details", "AD5330")</f>
        <v>AD5330</v>
      </c>
      <c r="B197">
        <v>8</v>
      </c>
      <c r="C197">
        <v>1</v>
      </c>
      <c r="D197" t="s">
        <v>412</v>
      </c>
      <c r="E197" t="s">
        <v>154</v>
      </c>
      <c r="F197" t="s">
        <v>192</v>
      </c>
      <c r="G197" t="s">
        <v>72</v>
      </c>
      <c r="H197">
        <v>0.25</v>
      </c>
      <c r="I197" t="s">
        <v>247</v>
      </c>
      <c r="J197" t="s">
        <v>323</v>
      </c>
      <c r="K197" t="s">
        <v>411</v>
      </c>
      <c r="L197" t="s">
        <v>12</v>
      </c>
      <c r="M197" t="s">
        <v>124</v>
      </c>
    </row>
    <row r="198" spans="1:13" hidden="1">
      <c r="A198" s="5" t="str">
        <f>HYPERLINK("http://www.analog.com/zh/ad5325#details", "AD5325")</f>
        <v>AD5325</v>
      </c>
      <c r="B198">
        <v>12</v>
      </c>
      <c r="C198">
        <v>4</v>
      </c>
      <c r="D198" t="s">
        <v>383</v>
      </c>
      <c r="E198" t="s">
        <v>154</v>
      </c>
      <c r="F198" t="s">
        <v>49</v>
      </c>
      <c r="G198" t="s">
        <v>72</v>
      </c>
      <c r="H198">
        <v>10</v>
      </c>
      <c r="I198" t="s">
        <v>260</v>
      </c>
      <c r="J198" t="s">
        <v>177</v>
      </c>
      <c r="K198" t="s">
        <v>398</v>
      </c>
      <c r="L198" t="s">
        <v>12</v>
      </c>
      <c r="M198" t="s">
        <v>75</v>
      </c>
    </row>
    <row r="199" spans="1:13" hidden="1">
      <c r="A199" s="5" t="str">
        <f>HYPERLINK("http://www.analog.com/zh/ad5324#details", "AD5324")</f>
        <v>AD5324</v>
      </c>
      <c r="B199">
        <v>12</v>
      </c>
      <c r="C199">
        <v>4</v>
      </c>
      <c r="D199" t="s">
        <v>182</v>
      </c>
      <c r="E199" t="s">
        <v>154</v>
      </c>
      <c r="F199" t="s">
        <v>66</v>
      </c>
      <c r="G199" t="s">
        <v>72</v>
      </c>
      <c r="H199">
        <v>10</v>
      </c>
      <c r="I199" t="s">
        <v>260</v>
      </c>
      <c r="J199" t="s">
        <v>177</v>
      </c>
      <c r="K199" t="s">
        <v>398</v>
      </c>
      <c r="L199" t="s">
        <v>12</v>
      </c>
      <c r="M199" t="s">
        <v>217</v>
      </c>
    </row>
    <row r="200" spans="1:13" hidden="1">
      <c r="A200" s="5" t="str">
        <f>HYPERLINK("http://www.analog.com/zh/ad5315#details", "AD5315")</f>
        <v>AD5315</v>
      </c>
      <c r="B200">
        <v>10</v>
      </c>
      <c r="C200">
        <v>4</v>
      </c>
      <c r="D200" t="s">
        <v>413</v>
      </c>
      <c r="E200" t="s">
        <v>154</v>
      </c>
      <c r="F200" t="s">
        <v>49</v>
      </c>
      <c r="G200" t="s">
        <v>72</v>
      </c>
      <c r="H200">
        <v>2.5</v>
      </c>
      <c r="I200" t="s">
        <v>73</v>
      </c>
      <c r="J200" t="s">
        <v>85</v>
      </c>
      <c r="K200" t="s">
        <v>398</v>
      </c>
      <c r="L200" t="s">
        <v>12</v>
      </c>
      <c r="M200" t="s">
        <v>75</v>
      </c>
    </row>
    <row r="201" spans="1:13" hidden="1">
      <c r="A201" s="5" t="str">
        <f>HYPERLINK("http://www.analog.com/zh/ad5314#details", "AD5314")</f>
        <v>AD5314</v>
      </c>
      <c r="B201">
        <v>10</v>
      </c>
      <c r="C201">
        <v>4</v>
      </c>
      <c r="D201" t="s">
        <v>262</v>
      </c>
      <c r="E201" t="s">
        <v>154</v>
      </c>
      <c r="F201" t="s">
        <v>66</v>
      </c>
      <c r="G201" t="s">
        <v>72</v>
      </c>
      <c r="H201">
        <v>2.5</v>
      </c>
      <c r="I201" t="s">
        <v>73</v>
      </c>
      <c r="J201" t="s">
        <v>85</v>
      </c>
      <c r="K201" t="s">
        <v>398</v>
      </c>
      <c r="L201" t="s">
        <v>12</v>
      </c>
      <c r="M201" t="s">
        <v>217</v>
      </c>
    </row>
    <row r="202" spans="1:13" hidden="1">
      <c r="A202" s="5" t="str">
        <f>HYPERLINK("http://www.analog.com/zh/ad5305#details", "AD5305")</f>
        <v>AD5305</v>
      </c>
      <c r="B202">
        <v>8</v>
      </c>
      <c r="C202">
        <v>4</v>
      </c>
      <c r="D202" t="s">
        <v>414</v>
      </c>
      <c r="E202" t="s">
        <v>154</v>
      </c>
      <c r="F202" t="s">
        <v>49</v>
      </c>
      <c r="G202" t="s">
        <v>72</v>
      </c>
      <c r="H202">
        <v>0.625</v>
      </c>
      <c r="I202" t="s">
        <v>247</v>
      </c>
      <c r="J202" t="s">
        <v>323</v>
      </c>
      <c r="K202" t="s">
        <v>398</v>
      </c>
      <c r="L202" t="s">
        <v>12</v>
      </c>
      <c r="M202" t="s">
        <v>75</v>
      </c>
    </row>
    <row r="203" spans="1:13" hidden="1">
      <c r="A203" s="5" t="str">
        <f>HYPERLINK("http://www.analog.com/zh/ad5304#details", "AD5304")</f>
        <v>AD5304</v>
      </c>
      <c r="B203">
        <v>8</v>
      </c>
      <c r="C203">
        <v>4</v>
      </c>
      <c r="D203" t="s">
        <v>415</v>
      </c>
      <c r="E203" t="s">
        <v>154</v>
      </c>
      <c r="F203" t="s">
        <v>66</v>
      </c>
      <c r="G203" t="s">
        <v>8</v>
      </c>
      <c r="H203">
        <v>0.625</v>
      </c>
      <c r="I203" t="s">
        <v>247</v>
      </c>
      <c r="J203" t="s">
        <v>323</v>
      </c>
      <c r="K203" t="s">
        <v>398</v>
      </c>
      <c r="L203" t="s">
        <v>12</v>
      </c>
      <c r="M203" t="s">
        <v>217</v>
      </c>
    </row>
    <row r="204" spans="1:13" hidden="1">
      <c r="A204" s="5" t="str">
        <f>HYPERLINK("http://www.analog.com/zh/ad5542#details", "AD5542")</f>
        <v>AD5542</v>
      </c>
      <c r="B204">
        <v>16</v>
      </c>
      <c r="C204">
        <v>1</v>
      </c>
      <c r="D204" t="s">
        <v>416</v>
      </c>
      <c r="E204" t="s">
        <v>390</v>
      </c>
      <c r="F204" t="s">
        <v>66</v>
      </c>
      <c r="G204" t="s">
        <v>103</v>
      </c>
      <c r="H204">
        <v>1</v>
      </c>
      <c r="I204" t="s">
        <v>8</v>
      </c>
      <c r="J204" t="s">
        <v>168</v>
      </c>
      <c r="K204" t="s">
        <v>391</v>
      </c>
      <c r="L204" t="s">
        <v>36</v>
      </c>
      <c r="M204" t="s">
        <v>392</v>
      </c>
    </row>
    <row r="205" spans="1:13" hidden="1">
      <c r="A205" s="5" t="str">
        <f>HYPERLINK("http://www.analog.com/zh/ad5541#details", "AD5541")</f>
        <v>AD5541</v>
      </c>
      <c r="B205">
        <v>16</v>
      </c>
      <c r="C205">
        <v>1</v>
      </c>
      <c r="D205" t="s">
        <v>417</v>
      </c>
      <c r="E205" t="s">
        <v>390</v>
      </c>
      <c r="F205" t="s">
        <v>66</v>
      </c>
      <c r="G205" t="s">
        <v>127</v>
      </c>
      <c r="H205">
        <v>1</v>
      </c>
      <c r="I205" t="s">
        <v>8</v>
      </c>
      <c r="J205" t="s">
        <v>168</v>
      </c>
      <c r="K205" t="s">
        <v>391</v>
      </c>
      <c r="L205" t="s">
        <v>36</v>
      </c>
      <c r="M205" t="s">
        <v>394</v>
      </c>
    </row>
    <row r="206" spans="1:13" hidden="1">
      <c r="A206" s="5" t="str">
        <f>HYPERLINK("http://www.analog.com/zh/ad5321#details", "AD5321")</f>
        <v>AD5321</v>
      </c>
      <c r="B206">
        <v>12</v>
      </c>
      <c r="C206">
        <v>1</v>
      </c>
      <c r="D206" t="s">
        <v>418</v>
      </c>
      <c r="E206" t="s">
        <v>154</v>
      </c>
      <c r="F206" t="s">
        <v>49</v>
      </c>
      <c r="G206" t="s">
        <v>72</v>
      </c>
      <c r="H206">
        <v>16</v>
      </c>
      <c r="I206" t="s">
        <v>260</v>
      </c>
      <c r="J206" t="s">
        <v>177</v>
      </c>
      <c r="K206" t="s">
        <v>74</v>
      </c>
      <c r="L206" t="s">
        <v>12</v>
      </c>
      <c r="M206" t="s">
        <v>419</v>
      </c>
    </row>
    <row r="207" spans="1:13" hidden="1">
      <c r="A207" s="5" t="str">
        <f>HYPERLINK("http://www.analog.com/zh/ad5311#details", "AD5311")</f>
        <v>AD5311</v>
      </c>
      <c r="B207">
        <v>10</v>
      </c>
      <c r="C207">
        <v>1</v>
      </c>
      <c r="D207" t="s">
        <v>420</v>
      </c>
      <c r="E207" t="s">
        <v>154</v>
      </c>
      <c r="F207" t="s">
        <v>49</v>
      </c>
      <c r="G207" t="s">
        <v>72</v>
      </c>
      <c r="H207">
        <v>4</v>
      </c>
      <c r="I207" t="s">
        <v>73</v>
      </c>
      <c r="J207" t="s">
        <v>85</v>
      </c>
      <c r="K207" t="s">
        <v>74</v>
      </c>
      <c r="L207" t="s">
        <v>12</v>
      </c>
      <c r="M207" t="s">
        <v>419</v>
      </c>
    </row>
    <row r="208" spans="1:13" hidden="1">
      <c r="A208" s="5" t="str">
        <f>HYPERLINK("http://www.analog.com/zh/ad5301#details", "AD5301")</f>
        <v>AD5301</v>
      </c>
      <c r="B208">
        <v>8</v>
      </c>
      <c r="C208">
        <v>1</v>
      </c>
      <c r="D208" t="s">
        <v>421</v>
      </c>
      <c r="E208" t="s">
        <v>154</v>
      </c>
      <c r="F208" t="s">
        <v>49</v>
      </c>
      <c r="G208" t="s">
        <v>72</v>
      </c>
      <c r="H208">
        <v>1</v>
      </c>
      <c r="I208" t="s">
        <v>247</v>
      </c>
      <c r="J208" t="s">
        <v>323</v>
      </c>
      <c r="K208" t="s">
        <v>74</v>
      </c>
      <c r="L208" t="s">
        <v>12</v>
      </c>
      <c r="M208" t="s">
        <v>419</v>
      </c>
    </row>
    <row r="209" spans="1:13" hidden="1">
      <c r="A209" s="5" t="str">
        <f>HYPERLINK("http://www.analog.com/zh/ad5323#details", "AD5323")</f>
        <v>AD5323</v>
      </c>
      <c r="B209">
        <v>12</v>
      </c>
      <c r="C209">
        <v>2</v>
      </c>
      <c r="D209" t="s">
        <v>422</v>
      </c>
      <c r="E209" t="s">
        <v>154</v>
      </c>
      <c r="F209" t="s">
        <v>66</v>
      </c>
      <c r="G209" t="s">
        <v>72</v>
      </c>
      <c r="H209">
        <v>8</v>
      </c>
      <c r="I209" t="s">
        <v>260</v>
      </c>
      <c r="J209" t="s">
        <v>177</v>
      </c>
      <c r="K209" t="s">
        <v>86</v>
      </c>
      <c r="L209" t="s">
        <v>12</v>
      </c>
      <c r="M209" t="s">
        <v>133</v>
      </c>
    </row>
    <row r="210" spans="1:13" hidden="1">
      <c r="A210" s="5" t="str">
        <f>HYPERLINK("http://www.analog.com/zh/ad5322#details", "AD5322")</f>
        <v>AD5322</v>
      </c>
      <c r="B210">
        <v>12</v>
      </c>
      <c r="C210">
        <v>2</v>
      </c>
      <c r="D210" t="s">
        <v>237</v>
      </c>
      <c r="E210" t="s">
        <v>154</v>
      </c>
      <c r="F210" t="s">
        <v>66</v>
      </c>
      <c r="G210" t="s">
        <v>72</v>
      </c>
      <c r="H210">
        <v>8</v>
      </c>
      <c r="I210" t="s">
        <v>260</v>
      </c>
      <c r="J210" t="s">
        <v>177</v>
      </c>
      <c r="K210" t="s">
        <v>86</v>
      </c>
      <c r="L210" t="s">
        <v>12</v>
      </c>
      <c r="M210" t="s">
        <v>75</v>
      </c>
    </row>
    <row r="211" spans="1:13" hidden="1">
      <c r="A211" s="5" t="str">
        <f>HYPERLINK("http://www.analog.com/zh/ad5313#details", "AD5313")</f>
        <v>AD5313</v>
      </c>
      <c r="B211">
        <v>10</v>
      </c>
      <c r="C211">
        <v>2</v>
      </c>
      <c r="D211" t="s">
        <v>420</v>
      </c>
      <c r="E211" t="s">
        <v>154</v>
      </c>
      <c r="F211" t="s">
        <v>66</v>
      </c>
      <c r="G211" t="s">
        <v>72</v>
      </c>
      <c r="H211">
        <v>2</v>
      </c>
      <c r="I211" t="s">
        <v>73</v>
      </c>
      <c r="J211" t="s">
        <v>85</v>
      </c>
      <c r="K211" t="s">
        <v>86</v>
      </c>
      <c r="L211" t="s">
        <v>12</v>
      </c>
      <c r="M211" t="s">
        <v>133</v>
      </c>
    </row>
    <row r="212" spans="1:13" hidden="1">
      <c r="A212" s="5" t="str">
        <f>HYPERLINK("http://www.analog.com/zh/ad5312#details", "AD5312")</f>
        <v>AD5312</v>
      </c>
      <c r="B212">
        <v>10</v>
      </c>
      <c r="C212">
        <v>2</v>
      </c>
      <c r="D212" t="s">
        <v>64</v>
      </c>
      <c r="E212" t="s">
        <v>154</v>
      </c>
      <c r="F212" t="s">
        <v>66</v>
      </c>
      <c r="G212" t="s">
        <v>72</v>
      </c>
      <c r="H212">
        <v>2</v>
      </c>
      <c r="I212" t="s">
        <v>73</v>
      </c>
      <c r="J212" t="s">
        <v>85</v>
      </c>
      <c r="K212" t="s">
        <v>86</v>
      </c>
      <c r="L212" t="s">
        <v>12</v>
      </c>
      <c r="M212" t="s">
        <v>75</v>
      </c>
    </row>
    <row r="213" spans="1:13" hidden="1">
      <c r="A213" s="5" t="str">
        <f>HYPERLINK("http://www.analog.com/zh/ad5302#details", "AD5302")</f>
        <v>AD5302</v>
      </c>
      <c r="B213">
        <v>8</v>
      </c>
      <c r="C213">
        <v>2</v>
      </c>
      <c r="D213" t="s">
        <v>423</v>
      </c>
      <c r="E213" t="s">
        <v>154</v>
      </c>
      <c r="F213" t="s">
        <v>66</v>
      </c>
      <c r="G213" t="s">
        <v>72</v>
      </c>
      <c r="H213">
        <v>0.5</v>
      </c>
      <c r="I213" t="s">
        <v>247</v>
      </c>
      <c r="J213" t="s">
        <v>323</v>
      </c>
      <c r="K213" t="s">
        <v>86</v>
      </c>
      <c r="L213" t="s">
        <v>12</v>
      </c>
      <c r="M213" t="s">
        <v>75</v>
      </c>
    </row>
    <row r="214" spans="1:13" hidden="1">
      <c r="A214" s="5" t="str">
        <f>HYPERLINK("http://www.analog.com/zh/dac8043a#details", "DAC8043A")</f>
        <v>DAC8043A</v>
      </c>
      <c r="B214">
        <v>12</v>
      </c>
      <c r="C214">
        <v>1</v>
      </c>
      <c r="D214" t="s">
        <v>385</v>
      </c>
      <c r="E214" t="s">
        <v>424</v>
      </c>
      <c r="F214" t="s">
        <v>88</v>
      </c>
      <c r="G214" t="s">
        <v>8</v>
      </c>
      <c r="H214" t="s">
        <v>8</v>
      </c>
      <c r="I214" t="s">
        <v>8</v>
      </c>
      <c r="J214" t="s">
        <v>425</v>
      </c>
      <c r="K214" t="s">
        <v>426</v>
      </c>
      <c r="L214" t="s">
        <v>36</v>
      </c>
      <c r="M214" t="s">
        <v>427</v>
      </c>
    </row>
    <row r="215" spans="1:13" hidden="1">
      <c r="A215" s="5" t="str">
        <f>HYPERLINK("http://www.analog.com/zh/ad7397#details", "AD7397")</f>
        <v>AD7397</v>
      </c>
      <c r="B215">
        <v>10</v>
      </c>
      <c r="C215">
        <v>2</v>
      </c>
      <c r="D215" t="s">
        <v>428</v>
      </c>
      <c r="E215" t="s">
        <v>429</v>
      </c>
      <c r="F215" t="s">
        <v>192</v>
      </c>
      <c r="G215" t="s">
        <v>109</v>
      </c>
      <c r="H215">
        <v>1.75</v>
      </c>
      <c r="I215" t="s">
        <v>8</v>
      </c>
      <c r="J215" t="s">
        <v>430</v>
      </c>
      <c r="K215" t="s">
        <v>188</v>
      </c>
      <c r="L215" t="s">
        <v>12</v>
      </c>
      <c r="M215" t="s">
        <v>431</v>
      </c>
    </row>
    <row r="216" spans="1:13" hidden="1">
      <c r="A216" s="5" t="str">
        <f>HYPERLINK("http://www.analog.com/zh/ad7396#details", "AD7396")</f>
        <v>AD7396</v>
      </c>
      <c r="B216">
        <v>12</v>
      </c>
      <c r="C216">
        <v>2</v>
      </c>
      <c r="D216" t="s">
        <v>432</v>
      </c>
      <c r="E216" t="s">
        <v>429</v>
      </c>
      <c r="F216" t="s">
        <v>192</v>
      </c>
      <c r="G216" t="s">
        <v>109</v>
      </c>
      <c r="H216">
        <v>1.75</v>
      </c>
      <c r="I216" t="s">
        <v>8</v>
      </c>
      <c r="J216" t="s">
        <v>430</v>
      </c>
      <c r="K216" t="s">
        <v>188</v>
      </c>
      <c r="L216" t="s">
        <v>12</v>
      </c>
      <c r="M216" t="s">
        <v>433</v>
      </c>
    </row>
    <row r="217" spans="1:13" hidden="1">
      <c r="A217" s="5" t="str">
        <f>HYPERLINK("http://www.analog.com/zh/ad7394#details", "AD7394")</f>
        <v>AD7394</v>
      </c>
      <c r="B217">
        <v>12</v>
      </c>
      <c r="C217">
        <v>2</v>
      </c>
      <c r="D217" t="s">
        <v>8</v>
      </c>
      <c r="E217" t="s">
        <v>429</v>
      </c>
      <c r="F217" t="s">
        <v>88</v>
      </c>
      <c r="G217" t="s">
        <v>109</v>
      </c>
      <c r="H217">
        <v>1.5</v>
      </c>
      <c r="I217" t="s">
        <v>8</v>
      </c>
      <c r="J217" t="s">
        <v>430</v>
      </c>
      <c r="K217" t="s">
        <v>188</v>
      </c>
      <c r="L217" t="s">
        <v>12</v>
      </c>
      <c r="M217" t="s">
        <v>8</v>
      </c>
    </row>
    <row r="218" spans="1:13" hidden="1">
      <c r="A218" s="5" t="str">
        <f>HYPERLINK("http://www.analog.com/zh/ad7339#details", "AD7339")</f>
        <v>AD7339</v>
      </c>
      <c r="B218">
        <v>8</v>
      </c>
      <c r="C218">
        <v>2</v>
      </c>
      <c r="D218" t="s">
        <v>434</v>
      </c>
      <c r="E218" t="s">
        <v>8</v>
      </c>
      <c r="F218" t="s">
        <v>310</v>
      </c>
      <c r="G218" t="s">
        <v>8</v>
      </c>
      <c r="H218">
        <v>1</v>
      </c>
      <c r="I218" t="s">
        <v>8</v>
      </c>
      <c r="J218" t="s">
        <v>8</v>
      </c>
      <c r="K218" t="s">
        <v>435</v>
      </c>
      <c r="L218" t="s">
        <v>12</v>
      </c>
      <c r="M218" t="s">
        <v>436</v>
      </c>
    </row>
    <row r="219" spans="1:13" hidden="1">
      <c r="A219" s="5" t="str">
        <f>HYPERLINK("http://www.analog.com/zh/ad7305#details", "AD7305")</f>
        <v>AD7305</v>
      </c>
      <c r="B219">
        <v>8</v>
      </c>
      <c r="C219">
        <v>4</v>
      </c>
      <c r="D219" t="s">
        <v>80</v>
      </c>
      <c r="E219" t="s">
        <v>429</v>
      </c>
      <c r="F219" t="s">
        <v>192</v>
      </c>
      <c r="G219" t="s">
        <v>361</v>
      </c>
      <c r="H219">
        <v>1</v>
      </c>
      <c r="I219" t="s">
        <v>8</v>
      </c>
      <c r="J219" t="s">
        <v>101</v>
      </c>
      <c r="K219" t="s">
        <v>437</v>
      </c>
      <c r="L219" t="s">
        <v>12</v>
      </c>
      <c r="M219" t="s">
        <v>438</v>
      </c>
    </row>
    <row r="220" spans="1:13" hidden="1">
      <c r="A220" s="5" t="str">
        <f>HYPERLINK("http://www.analog.com/zh/ad7304#details", "AD7304")</f>
        <v>AD7304</v>
      </c>
      <c r="B220">
        <v>8</v>
      </c>
      <c r="C220">
        <v>4</v>
      </c>
      <c r="D220" t="s">
        <v>298</v>
      </c>
      <c r="E220" t="s">
        <v>429</v>
      </c>
      <c r="F220" t="s">
        <v>88</v>
      </c>
      <c r="G220" t="s">
        <v>361</v>
      </c>
      <c r="H220">
        <v>1</v>
      </c>
      <c r="I220" t="s">
        <v>8</v>
      </c>
      <c r="J220" t="s">
        <v>101</v>
      </c>
      <c r="K220" t="s">
        <v>437</v>
      </c>
      <c r="L220" t="s">
        <v>12</v>
      </c>
      <c r="M220" t="s">
        <v>439</v>
      </c>
    </row>
    <row r="221" spans="1:13" hidden="1">
      <c r="A221" s="5" t="str">
        <f>HYPERLINK("http://www.analog.com/zh/ad5320#details", "AD5320")</f>
        <v>AD5320</v>
      </c>
      <c r="B221">
        <v>12</v>
      </c>
      <c r="C221">
        <v>1</v>
      </c>
      <c r="D221" t="s">
        <v>440</v>
      </c>
      <c r="E221" t="s">
        <v>154</v>
      </c>
      <c r="F221" t="s">
        <v>66</v>
      </c>
      <c r="G221" t="s">
        <v>109</v>
      </c>
      <c r="H221">
        <v>16</v>
      </c>
      <c r="I221" t="s">
        <v>260</v>
      </c>
      <c r="J221" t="s">
        <v>177</v>
      </c>
      <c r="K221" t="s">
        <v>411</v>
      </c>
      <c r="L221" t="s">
        <v>12</v>
      </c>
      <c r="M221" t="s">
        <v>419</v>
      </c>
    </row>
    <row r="222" spans="1:13" hidden="1">
      <c r="A222" s="5" t="str">
        <f>HYPERLINK("http://www.analog.com/zh/ad5310#details", "AD5310")</f>
        <v>AD5310</v>
      </c>
      <c r="B222">
        <v>10</v>
      </c>
      <c r="C222">
        <v>1</v>
      </c>
      <c r="D222" t="s">
        <v>441</v>
      </c>
      <c r="E222" t="s">
        <v>154</v>
      </c>
      <c r="F222" t="s">
        <v>66</v>
      </c>
      <c r="G222" t="s">
        <v>109</v>
      </c>
      <c r="H222">
        <v>4</v>
      </c>
      <c r="I222" t="s">
        <v>247</v>
      </c>
      <c r="J222" t="s">
        <v>323</v>
      </c>
      <c r="K222" t="s">
        <v>411</v>
      </c>
      <c r="L222" t="s">
        <v>12</v>
      </c>
      <c r="M222" t="s">
        <v>442</v>
      </c>
    </row>
    <row r="223" spans="1:13" hidden="1">
      <c r="A223" s="5" t="str">
        <f>HYPERLINK("http://www.analog.com/zh/ad5300#details", "AD5300")</f>
        <v>AD5300</v>
      </c>
      <c r="B223">
        <v>8</v>
      </c>
      <c r="C223">
        <v>1</v>
      </c>
      <c r="D223" t="s">
        <v>443</v>
      </c>
      <c r="E223" t="s">
        <v>154</v>
      </c>
      <c r="F223" t="s">
        <v>66</v>
      </c>
      <c r="G223" t="s">
        <v>109</v>
      </c>
      <c r="H223">
        <v>1</v>
      </c>
      <c r="I223" t="s">
        <v>8</v>
      </c>
      <c r="J223" t="s">
        <v>215</v>
      </c>
      <c r="K223" t="s">
        <v>444</v>
      </c>
      <c r="L223" t="s">
        <v>12</v>
      </c>
      <c r="M223" t="s">
        <v>442</v>
      </c>
    </row>
    <row r="224" spans="1:13" hidden="1">
      <c r="A224" s="5" t="str">
        <f>HYPERLINK("http://www.analog.com/zh/ad7801#details", "AD7801")</f>
        <v>AD7801</v>
      </c>
      <c r="B224">
        <v>8</v>
      </c>
      <c r="C224">
        <v>1</v>
      </c>
      <c r="D224" t="s">
        <v>445</v>
      </c>
      <c r="E224" t="s">
        <v>188</v>
      </c>
      <c r="F224" t="s">
        <v>192</v>
      </c>
      <c r="G224" t="s">
        <v>109</v>
      </c>
      <c r="H224">
        <v>1</v>
      </c>
      <c r="I224" t="s">
        <v>8</v>
      </c>
      <c r="J224" t="s">
        <v>446</v>
      </c>
      <c r="K224" t="s">
        <v>447</v>
      </c>
      <c r="L224" t="s">
        <v>12</v>
      </c>
      <c r="M224" t="s">
        <v>438</v>
      </c>
    </row>
    <row r="225" spans="1:13" hidden="1">
      <c r="A225" s="5" t="str">
        <f>HYPERLINK("http://www.analog.com/zh/ad7392#details", "AD7392")</f>
        <v>AD7392</v>
      </c>
      <c r="B225">
        <v>12</v>
      </c>
      <c r="C225">
        <v>1</v>
      </c>
      <c r="D225" t="s">
        <v>448</v>
      </c>
      <c r="E225" t="s">
        <v>188</v>
      </c>
      <c r="F225" t="s">
        <v>192</v>
      </c>
      <c r="G225" t="s">
        <v>109</v>
      </c>
      <c r="H225">
        <v>1.8</v>
      </c>
      <c r="I225" t="s">
        <v>8</v>
      </c>
      <c r="J225" t="s">
        <v>430</v>
      </c>
      <c r="K225" t="s">
        <v>449</v>
      </c>
      <c r="L225" t="s">
        <v>12</v>
      </c>
      <c r="M225" t="s">
        <v>450</v>
      </c>
    </row>
    <row r="226" spans="1:13" hidden="1">
      <c r="A226" s="5" t="str">
        <f>HYPERLINK("http://www.analog.com/zh/ad7391#details", "AD7391")</f>
        <v>AD7391</v>
      </c>
      <c r="B226">
        <v>10</v>
      </c>
      <c r="C226">
        <v>1</v>
      </c>
      <c r="D226" t="s">
        <v>451</v>
      </c>
      <c r="E226" t="s">
        <v>188</v>
      </c>
      <c r="F226" t="s">
        <v>452</v>
      </c>
      <c r="G226" t="s">
        <v>8</v>
      </c>
      <c r="H226">
        <v>1.75</v>
      </c>
      <c r="I226" t="s">
        <v>8</v>
      </c>
      <c r="J226" t="s">
        <v>430</v>
      </c>
      <c r="K226" t="s">
        <v>266</v>
      </c>
      <c r="L226" t="s">
        <v>12</v>
      </c>
      <c r="M226" t="s">
        <v>453</v>
      </c>
    </row>
    <row r="227" spans="1:13" hidden="1">
      <c r="A227" s="5" t="str">
        <f>HYPERLINK("http://www.analog.com/zh/ad7390#details", "AD7390")</f>
        <v>AD7390</v>
      </c>
      <c r="B227">
        <v>12</v>
      </c>
      <c r="C227">
        <v>1</v>
      </c>
      <c r="D227" t="s">
        <v>454</v>
      </c>
      <c r="E227" t="s">
        <v>188</v>
      </c>
      <c r="F227" t="s">
        <v>452</v>
      </c>
      <c r="G227" t="s">
        <v>8</v>
      </c>
      <c r="H227">
        <v>1.6</v>
      </c>
      <c r="I227" t="s">
        <v>8</v>
      </c>
      <c r="J227" t="s">
        <v>430</v>
      </c>
      <c r="K227" t="s">
        <v>266</v>
      </c>
      <c r="L227" t="s">
        <v>12</v>
      </c>
      <c r="M227" t="s">
        <v>455</v>
      </c>
    </row>
    <row r="228" spans="1:13" hidden="1">
      <c r="A228" s="5" t="str">
        <f>HYPERLINK("http://www.analog.com/zh/ad7302#details", "AD7302")</f>
        <v>AD7302</v>
      </c>
      <c r="B228">
        <v>8</v>
      </c>
      <c r="C228">
        <v>2</v>
      </c>
      <c r="D228" t="s">
        <v>456</v>
      </c>
      <c r="E228" t="s">
        <v>266</v>
      </c>
      <c r="F228" t="s">
        <v>192</v>
      </c>
      <c r="G228" t="s">
        <v>109</v>
      </c>
      <c r="H228">
        <v>1</v>
      </c>
      <c r="I228" t="s">
        <v>8</v>
      </c>
      <c r="J228" t="s">
        <v>446</v>
      </c>
      <c r="K228" t="s">
        <v>457</v>
      </c>
      <c r="L228" t="s">
        <v>12</v>
      </c>
      <c r="M228" t="s">
        <v>458</v>
      </c>
    </row>
    <row r="229" spans="1:13" hidden="1">
      <c r="A229" s="5" t="str">
        <f>HYPERLINK("http://www.analog.com/zh/ad7303#details", "AD7303")</f>
        <v>AD7303</v>
      </c>
      <c r="B229">
        <v>8</v>
      </c>
      <c r="C229">
        <v>2</v>
      </c>
      <c r="D229" t="s">
        <v>459</v>
      </c>
      <c r="E229" t="s">
        <v>266</v>
      </c>
      <c r="F229" t="s">
        <v>460</v>
      </c>
      <c r="G229" t="s">
        <v>109</v>
      </c>
      <c r="H229">
        <v>1</v>
      </c>
      <c r="I229" t="s">
        <v>8</v>
      </c>
      <c r="J229" t="s">
        <v>446</v>
      </c>
      <c r="K229" t="s">
        <v>461</v>
      </c>
      <c r="L229" t="s">
        <v>12</v>
      </c>
      <c r="M229" t="s">
        <v>462</v>
      </c>
    </row>
    <row r="230" spans="1:13" hidden="1">
      <c r="A230" s="5" t="str">
        <f>HYPERLINK("http://www.analog.com/zh/ad7836#details", "AD7836")</f>
        <v>AD7836</v>
      </c>
      <c r="B230">
        <v>14</v>
      </c>
      <c r="C230">
        <v>4</v>
      </c>
      <c r="D230" t="s">
        <v>463</v>
      </c>
      <c r="E230" t="s">
        <v>314</v>
      </c>
      <c r="F230" t="s">
        <v>192</v>
      </c>
      <c r="G230" t="s">
        <v>368</v>
      </c>
      <c r="H230">
        <v>2</v>
      </c>
      <c r="I230" t="s">
        <v>8</v>
      </c>
      <c r="J230" t="s">
        <v>464</v>
      </c>
      <c r="K230" t="s">
        <v>465</v>
      </c>
      <c r="L230" t="s">
        <v>36</v>
      </c>
      <c r="M230" t="s">
        <v>466</v>
      </c>
    </row>
    <row r="231" spans="1:13" hidden="1">
      <c r="A231" s="5" t="str">
        <f>HYPERLINK("http://www.analog.com/zh/ad7809#details", "AD7809")</f>
        <v>AD7809</v>
      </c>
      <c r="B231">
        <v>10</v>
      </c>
      <c r="C231">
        <v>8</v>
      </c>
      <c r="D231" t="s">
        <v>467</v>
      </c>
      <c r="E231" t="s">
        <v>188</v>
      </c>
      <c r="F231" t="s">
        <v>192</v>
      </c>
      <c r="G231" t="s">
        <v>468</v>
      </c>
      <c r="H231">
        <v>4</v>
      </c>
      <c r="I231" t="s">
        <v>8</v>
      </c>
      <c r="J231" t="s">
        <v>469</v>
      </c>
      <c r="K231" t="s">
        <v>470</v>
      </c>
      <c r="L231" t="s">
        <v>12</v>
      </c>
      <c r="M231" t="s">
        <v>471</v>
      </c>
    </row>
    <row r="232" spans="1:13" hidden="1">
      <c r="A232" s="5" t="str">
        <f>HYPERLINK("http://www.analog.com/zh/ad7808#details", "AD7808")</f>
        <v>AD7808</v>
      </c>
      <c r="B232">
        <v>10</v>
      </c>
      <c r="C232">
        <v>8</v>
      </c>
      <c r="D232" t="s">
        <v>472</v>
      </c>
      <c r="E232" t="s">
        <v>188</v>
      </c>
      <c r="F232" t="s">
        <v>88</v>
      </c>
      <c r="G232" t="s">
        <v>468</v>
      </c>
      <c r="H232">
        <v>4</v>
      </c>
      <c r="I232" t="s">
        <v>8</v>
      </c>
      <c r="J232" t="s">
        <v>469</v>
      </c>
      <c r="K232" t="s">
        <v>470</v>
      </c>
      <c r="L232" t="s">
        <v>12</v>
      </c>
      <c r="M232" t="s">
        <v>433</v>
      </c>
    </row>
    <row r="233" spans="1:13" hidden="1">
      <c r="A233" s="5" t="str">
        <f>HYPERLINK("http://www.analog.com/zh/ad7835#details", "AD7835")</f>
        <v>AD7835</v>
      </c>
      <c r="B233">
        <v>14</v>
      </c>
      <c r="C233">
        <v>4</v>
      </c>
      <c r="D233" t="s">
        <v>473</v>
      </c>
      <c r="E233" t="s">
        <v>474</v>
      </c>
      <c r="F233" t="s">
        <v>475</v>
      </c>
      <c r="G233" t="s">
        <v>476</v>
      </c>
      <c r="H233">
        <v>1</v>
      </c>
      <c r="I233" t="s">
        <v>8</v>
      </c>
      <c r="J233" t="s">
        <v>142</v>
      </c>
      <c r="K233" t="s">
        <v>477</v>
      </c>
      <c r="L233" t="s">
        <v>36</v>
      </c>
      <c r="M233" t="s">
        <v>478</v>
      </c>
    </row>
    <row r="234" spans="1:13" hidden="1">
      <c r="A234" s="5" t="str">
        <f>HYPERLINK("http://www.analog.com/zh/ad7805#details", "AD7805")</f>
        <v>AD7805</v>
      </c>
      <c r="B234">
        <v>10</v>
      </c>
      <c r="C234">
        <v>4</v>
      </c>
      <c r="D234" t="s">
        <v>479</v>
      </c>
      <c r="E234" t="s">
        <v>188</v>
      </c>
      <c r="F234" t="s">
        <v>192</v>
      </c>
      <c r="G234" t="s">
        <v>468</v>
      </c>
      <c r="H234">
        <v>3</v>
      </c>
      <c r="I234" t="s">
        <v>8</v>
      </c>
      <c r="J234" t="s">
        <v>469</v>
      </c>
      <c r="K234" t="s">
        <v>480</v>
      </c>
      <c r="L234" t="s">
        <v>12</v>
      </c>
      <c r="M234" t="s">
        <v>481</v>
      </c>
    </row>
    <row r="235" spans="1:13" hidden="1">
      <c r="A235" s="5" t="str">
        <f>HYPERLINK("http://www.analog.com/zh/ad7804#details", "AD7804")</f>
        <v>AD7804</v>
      </c>
      <c r="B235">
        <v>10</v>
      </c>
      <c r="C235">
        <v>4</v>
      </c>
      <c r="D235" t="s">
        <v>482</v>
      </c>
      <c r="E235" t="s">
        <v>188</v>
      </c>
      <c r="F235" t="s">
        <v>88</v>
      </c>
      <c r="G235" t="s">
        <v>468</v>
      </c>
      <c r="H235">
        <v>3</v>
      </c>
      <c r="I235" t="s">
        <v>8</v>
      </c>
      <c r="J235" t="s">
        <v>469</v>
      </c>
      <c r="K235" t="s">
        <v>480</v>
      </c>
      <c r="L235" t="s">
        <v>12</v>
      </c>
      <c r="M235" t="s">
        <v>483</v>
      </c>
    </row>
    <row r="236" spans="1:13" hidden="1">
      <c r="A236" s="5" t="str">
        <f>HYPERLINK("http://www.analog.com/zh/ad8804#details", "AD8804")</f>
        <v>AD8804</v>
      </c>
      <c r="B236">
        <v>8</v>
      </c>
      <c r="C236">
        <v>12</v>
      </c>
      <c r="D236" t="s">
        <v>484</v>
      </c>
      <c r="E236" t="s">
        <v>8</v>
      </c>
      <c r="F236" t="s">
        <v>88</v>
      </c>
      <c r="G236" t="s">
        <v>8</v>
      </c>
      <c r="H236">
        <v>1.5</v>
      </c>
      <c r="I236" t="s">
        <v>8</v>
      </c>
      <c r="J236" t="s">
        <v>265</v>
      </c>
      <c r="K236" t="s">
        <v>181</v>
      </c>
      <c r="L236" t="s">
        <v>12</v>
      </c>
      <c r="M236" t="s">
        <v>485</v>
      </c>
    </row>
    <row r="237" spans="1:13" hidden="1">
      <c r="A237" s="5" t="str">
        <f>HYPERLINK("http://www.analog.com/zh/ad8802#details", "AD8802")</f>
        <v>AD8802</v>
      </c>
      <c r="B237">
        <v>8</v>
      </c>
      <c r="C237">
        <v>12</v>
      </c>
      <c r="D237" t="s">
        <v>484</v>
      </c>
      <c r="E237" t="s">
        <v>8</v>
      </c>
      <c r="F237" t="s">
        <v>88</v>
      </c>
      <c r="G237" t="s">
        <v>8</v>
      </c>
      <c r="H237">
        <v>1.5</v>
      </c>
      <c r="I237" t="s">
        <v>8</v>
      </c>
      <c r="J237" t="s">
        <v>265</v>
      </c>
      <c r="K237" t="s">
        <v>181</v>
      </c>
      <c r="L237" t="s">
        <v>12</v>
      </c>
      <c r="M237" t="s">
        <v>438</v>
      </c>
    </row>
    <row r="238" spans="1:13" hidden="1">
      <c r="A238" s="5" t="str">
        <f>HYPERLINK("http://www.analog.com/zh/ad8803#details", "AD8803")</f>
        <v>AD8803</v>
      </c>
      <c r="B238">
        <v>8</v>
      </c>
      <c r="C238">
        <v>8</v>
      </c>
      <c r="D238" t="s">
        <v>396</v>
      </c>
      <c r="E238" t="s">
        <v>8</v>
      </c>
      <c r="F238" t="s">
        <v>88</v>
      </c>
      <c r="G238" t="s">
        <v>8</v>
      </c>
      <c r="H238">
        <v>1.5</v>
      </c>
      <c r="I238" t="s">
        <v>8</v>
      </c>
      <c r="J238" t="s">
        <v>265</v>
      </c>
      <c r="K238" t="s">
        <v>181</v>
      </c>
      <c r="L238" t="s">
        <v>12</v>
      </c>
      <c r="M238" t="s">
        <v>486</v>
      </c>
    </row>
    <row r="239" spans="1:13" hidden="1">
      <c r="A239" s="5" t="str">
        <f>HYPERLINK("http://www.analog.com/zh/ad8801#details", "AD8801")</f>
        <v>AD8801</v>
      </c>
      <c r="B239">
        <v>8</v>
      </c>
      <c r="C239">
        <v>8</v>
      </c>
      <c r="D239" t="s">
        <v>487</v>
      </c>
      <c r="E239" t="s">
        <v>8</v>
      </c>
      <c r="F239" t="s">
        <v>88</v>
      </c>
      <c r="G239" t="s">
        <v>8</v>
      </c>
      <c r="H239">
        <v>1.5</v>
      </c>
      <c r="I239" t="s">
        <v>8</v>
      </c>
      <c r="J239" t="s">
        <v>265</v>
      </c>
      <c r="K239" t="s">
        <v>181</v>
      </c>
      <c r="L239" t="s">
        <v>12</v>
      </c>
      <c r="M239" t="s">
        <v>486</v>
      </c>
    </row>
    <row r="240" spans="1:13">
      <c r="A240" s="5" t="str">
        <f>HYPERLINK("http://www.analog.com/zh/ad760#details", "AD760")</f>
        <v>AD760</v>
      </c>
      <c r="B240">
        <v>18</v>
      </c>
      <c r="C240">
        <v>1</v>
      </c>
      <c r="D240" t="s">
        <v>488</v>
      </c>
      <c r="E240" t="s">
        <v>154</v>
      </c>
      <c r="F240" t="s">
        <v>489</v>
      </c>
      <c r="G240" t="s">
        <v>368</v>
      </c>
      <c r="H240">
        <v>0.75</v>
      </c>
      <c r="I240" t="s">
        <v>8</v>
      </c>
      <c r="J240" t="s">
        <v>323</v>
      </c>
      <c r="K240" t="s">
        <v>490</v>
      </c>
      <c r="L240" t="s">
        <v>36</v>
      </c>
      <c r="M240" t="s">
        <v>491</v>
      </c>
    </row>
    <row r="241" spans="1:13" hidden="1">
      <c r="A241" s="5" t="str">
        <f>HYPERLINK("http://www.analog.com/zh/ad8300#details", "AD8300")</f>
        <v>AD8300</v>
      </c>
      <c r="B241">
        <v>12</v>
      </c>
      <c r="C241">
        <v>1</v>
      </c>
      <c r="D241" t="s">
        <v>492</v>
      </c>
      <c r="E241" t="s">
        <v>154</v>
      </c>
      <c r="F241" t="s">
        <v>88</v>
      </c>
      <c r="G241" t="s">
        <v>8</v>
      </c>
      <c r="H241">
        <v>2</v>
      </c>
      <c r="I241" t="s">
        <v>8</v>
      </c>
      <c r="J241" t="s">
        <v>493</v>
      </c>
      <c r="K241" t="s">
        <v>494</v>
      </c>
      <c r="L241" t="s">
        <v>12</v>
      </c>
      <c r="M241" t="s">
        <v>455</v>
      </c>
    </row>
    <row r="242" spans="1:13" hidden="1">
      <c r="A242" s="5" t="str">
        <f>HYPERLINK("http://www.analog.com/zh/ad7564#details", "AD7564")</f>
        <v>AD7564</v>
      </c>
      <c r="B242">
        <v>12</v>
      </c>
      <c r="C242">
        <v>4</v>
      </c>
      <c r="D242" t="s">
        <v>495</v>
      </c>
      <c r="E242" t="s">
        <v>496</v>
      </c>
      <c r="F242" t="s">
        <v>88</v>
      </c>
      <c r="G242" t="s">
        <v>8</v>
      </c>
      <c r="H242" t="s">
        <v>8</v>
      </c>
      <c r="I242" t="s">
        <v>8</v>
      </c>
      <c r="J242" t="s">
        <v>497</v>
      </c>
      <c r="K242" t="s">
        <v>426</v>
      </c>
      <c r="L242" t="s">
        <v>36</v>
      </c>
      <c r="M242" t="s">
        <v>498</v>
      </c>
    </row>
    <row r="243" spans="1:13" hidden="1">
      <c r="A243" s="5" t="str">
        <f>HYPERLINK("http://www.analog.com/zh/ad8600#details", "AD8600")</f>
        <v>AD8600</v>
      </c>
      <c r="B243">
        <v>8</v>
      </c>
      <c r="C243">
        <v>16</v>
      </c>
      <c r="D243" t="s">
        <v>8</v>
      </c>
      <c r="E243" t="s">
        <v>314</v>
      </c>
      <c r="F243" t="s">
        <v>192</v>
      </c>
      <c r="G243" t="s">
        <v>8</v>
      </c>
      <c r="H243">
        <v>1</v>
      </c>
      <c r="I243" t="s">
        <v>8</v>
      </c>
      <c r="J243" t="s">
        <v>101</v>
      </c>
      <c r="K243" t="s">
        <v>499</v>
      </c>
      <c r="L243" t="s">
        <v>12</v>
      </c>
      <c r="M243" t="s">
        <v>8</v>
      </c>
    </row>
    <row r="244" spans="1:13" hidden="1">
      <c r="A244" s="5" t="str">
        <f>HYPERLINK("http://www.analog.com/zh/ad8522#details", "AD8522")</f>
        <v>AD8522</v>
      </c>
      <c r="B244">
        <v>12</v>
      </c>
      <c r="C244">
        <v>2</v>
      </c>
      <c r="D244" t="s">
        <v>500</v>
      </c>
      <c r="E244" t="s">
        <v>154</v>
      </c>
      <c r="F244" t="s">
        <v>88</v>
      </c>
      <c r="G244" t="s">
        <v>8</v>
      </c>
      <c r="H244">
        <v>1.5</v>
      </c>
      <c r="I244" t="s">
        <v>8</v>
      </c>
      <c r="J244" t="s">
        <v>464</v>
      </c>
      <c r="K244" t="s">
        <v>501</v>
      </c>
      <c r="L244" t="s">
        <v>12</v>
      </c>
      <c r="M244" t="s">
        <v>502</v>
      </c>
    </row>
    <row r="245" spans="1:13" hidden="1">
      <c r="A245" s="5" t="str">
        <f>HYPERLINK("http://www.analog.com/zh/ad7948#details", "AD7948")</f>
        <v>AD7948</v>
      </c>
      <c r="B245">
        <v>12</v>
      </c>
      <c r="C245">
        <v>1</v>
      </c>
      <c r="D245" t="s">
        <v>503</v>
      </c>
      <c r="E245" t="s">
        <v>86</v>
      </c>
      <c r="F245" t="s">
        <v>475</v>
      </c>
      <c r="G245" t="s">
        <v>8</v>
      </c>
      <c r="H245" t="s">
        <v>8</v>
      </c>
      <c r="I245" t="s">
        <v>8</v>
      </c>
      <c r="J245" t="s">
        <v>265</v>
      </c>
      <c r="K245" t="s">
        <v>339</v>
      </c>
      <c r="L245" t="s">
        <v>36</v>
      </c>
      <c r="M245" t="s">
        <v>504</v>
      </c>
    </row>
    <row r="246" spans="1:13" hidden="1">
      <c r="A246" s="5" t="str">
        <f>HYPERLINK("http://www.analog.com/zh/ad7945#details", "AD7945")</f>
        <v>AD7945</v>
      </c>
      <c r="B246">
        <v>12</v>
      </c>
      <c r="C246">
        <v>1</v>
      </c>
      <c r="D246" t="s">
        <v>239</v>
      </c>
      <c r="E246" t="s">
        <v>86</v>
      </c>
      <c r="F246" t="s">
        <v>192</v>
      </c>
      <c r="G246" t="s">
        <v>8</v>
      </c>
      <c r="H246" t="s">
        <v>8</v>
      </c>
      <c r="I246" t="s">
        <v>8</v>
      </c>
      <c r="J246" t="s">
        <v>265</v>
      </c>
      <c r="K246" t="s">
        <v>339</v>
      </c>
      <c r="L246" t="s">
        <v>36</v>
      </c>
      <c r="M246" t="s">
        <v>505</v>
      </c>
    </row>
    <row r="247" spans="1:13" hidden="1">
      <c r="A247" s="5" t="str">
        <f>HYPERLINK("http://www.analog.com/zh/ad7943#details", "AD7943")</f>
        <v>AD7943</v>
      </c>
      <c r="B247">
        <v>12</v>
      </c>
      <c r="C247">
        <v>1</v>
      </c>
      <c r="D247" t="s">
        <v>239</v>
      </c>
      <c r="E247" t="s">
        <v>86</v>
      </c>
      <c r="F247" t="s">
        <v>88</v>
      </c>
      <c r="G247" t="s">
        <v>8</v>
      </c>
      <c r="H247" t="s">
        <v>8</v>
      </c>
      <c r="I247" t="s">
        <v>8</v>
      </c>
      <c r="J247" t="s">
        <v>265</v>
      </c>
      <c r="K247" t="s">
        <v>339</v>
      </c>
      <c r="L247" t="s">
        <v>36</v>
      </c>
      <c r="M247" t="s">
        <v>506</v>
      </c>
    </row>
    <row r="248" spans="1:13" hidden="1">
      <c r="A248" s="5" t="str">
        <f>HYPERLINK("http://www.analog.com/zh/ad8582#details", "AD8582")</f>
        <v>AD8582</v>
      </c>
      <c r="B248">
        <v>12</v>
      </c>
      <c r="C248">
        <v>2</v>
      </c>
      <c r="D248" t="s">
        <v>507</v>
      </c>
      <c r="E248" t="s">
        <v>154</v>
      </c>
      <c r="F248" t="s">
        <v>192</v>
      </c>
      <c r="G248" t="s">
        <v>8</v>
      </c>
      <c r="H248">
        <v>2</v>
      </c>
      <c r="I248" t="s">
        <v>8</v>
      </c>
      <c r="J248" t="s">
        <v>464</v>
      </c>
      <c r="K248" t="s">
        <v>324</v>
      </c>
      <c r="L248" t="s">
        <v>12</v>
      </c>
      <c r="M248" t="s">
        <v>508</v>
      </c>
    </row>
    <row r="249" spans="1:13" hidden="1">
      <c r="A249" s="5" t="str">
        <f>HYPERLINK("http://www.analog.com/zh/dac8420#details", "DAC8420")</f>
        <v>DAC8420</v>
      </c>
      <c r="B249">
        <v>12</v>
      </c>
      <c r="C249">
        <v>4</v>
      </c>
      <c r="D249" t="s">
        <v>509</v>
      </c>
      <c r="E249" t="s">
        <v>154</v>
      </c>
      <c r="F249" t="s">
        <v>88</v>
      </c>
      <c r="G249" t="s">
        <v>8</v>
      </c>
      <c r="H249">
        <v>0.5</v>
      </c>
      <c r="I249" t="s">
        <v>8</v>
      </c>
      <c r="J249" t="s">
        <v>177</v>
      </c>
      <c r="K249" t="s">
        <v>510</v>
      </c>
      <c r="L249" t="s">
        <v>36</v>
      </c>
      <c r="M249" t="s">
        <v>511</v>
      </c>
    </row>
    <row r="250" spans="1:13" hidden="1">
      <c r="A250" s="5" t="str">
        <f>HYPERLINK("http://www.analog.com/zh/ad660#details", "AD660")</f>
        <v>AD660</v>
      </c>
      <c r="B250">
        <v>16</v>
      </c>
      <c r="C250">
        <v>1</v>
      </c>
      <c r="D250" t="s">
        <v>512</v>
      </c>
      <c r="E250" t="s">
        <v>154</v>
      </c>
      <c r="F250" t="s">
        <v>489</v>
      </c>
      <c r="G250" t="s">
        <v>109</v>
      </c>
      <c r="H250">
        <v>1</v>
      </c>
      <c r="I250" t="s">
        <v>8</v>
      </c>
      <c r="J250" t="s">
        <v>323</v>
      </c>
      <c r="K250" t="s">
        <v>513</v>
      </c>
      <c r="L250" t="s">
        <v>36</v>
      </c>
      <c r="M250" t="s">
        <v>514</v>
      </c>
    </row>
    <row r="251" spans="1:13" hidden="1">
      <c r="A251" s="5" t="str">
        <f>HYPERLINK("http://www.analog.com/zh/ad7249#details", "AD7249")</f>
        <v>AD7249</v>
      </c>
      <c r="B251">
        <v>12</v>
      </c>
      <c r="C251">
        <v>2</v>
      </c>
      <c r="D251" t="s">
        <v>515</v>
      </c>
      <c r="E251" t="s">
        <v>154</v>
      </c>
      <c r="F251" t="s">
        <v>88</v>
      </c>
      <c r="G251" t="s">
        <v>516</v>
      </c>
      <c r="H251">
        <v>0.5</v>
      </c>
      <c r="I251" t="s">
        <v>8</v>
      </c>
      <c r="J251" t="s">
        <v>177</v>
      </c>
      <c r="K251" t="s">
        <v>51</v>
      </c>
      <c r="L251" t="s">
        <v>36</v>
      </c>
      <c r="M251" t="s">
        <v>511</v>
      </c>
    </row>
    <row r="252" spans="1:13" hidden="1">
      <c r="A252" s="5" t="str">
        <f>HYPERLINK("http://www.analog.com/zh/dac8562#details", "DAC8562")</f>
        <v>DAC8562</v>
      </c>
      <c r="B252">
        <v>12</v>
      </c>
      <c r="C252">
        <v>1</v>
      </c>
      <c r="D252" t="s">
        <v>517</v>
      </c>
      <c r="E252" t="s">
        <v>518</v>
      </c>
      <c r="F252" t="s">
        <v>192</v>
      </c>
      <c r="G252" t="s">
        <v>8</v>
      </c>
      <c r="H252">
        <v>0.5</v>
      </c>
      <c r="I252" t="s">
        <v>8</v>
      </c>
      <c r="J252" t="s">
        <v>464</v>
      </c>
      <c r="K252" t="s">
        <v>519</v>
      </c>
      <c r="L252" t="s">
        <v>12</v>
      </c>
      <c r="M252" t="s">
        <v>520</v>
      </c>
    </row>
    <row r="253" spans="1:13" hidden="1">
      <c r="A253" s="5" t="str">
        <f>HYPERLINK("http://www.analog.com/zh/dac8512#details", "DAC8512")</f>
        <v>DAC8512</v>
      </c>
      <c r="B253">
        <v>12</v>
      </c>
      <c r="C253">
        <v>1</v>
      </c>
      <c r="D253" t="s">
        <v>521</v>
      </c>
      <c r="E253" t="s">
        <v>518</v>
      </c>
      <c r="F253" t="s">
        <v>88</v>
      </c>
      <c r="G253" t="s">
        <v>8</v>
      </c>
      <c r="H253">
        <v>1</v>
      </c>
      <c r="I253" t="s">
        <v>8</v>
      </c>
      <c r="J253" t="s">
        <v>464</v>
      </c>
      <c r="K253" t="s">
        <v>236</v>
      </c>
      <c r="L253" t="s">
        <v>12</v>
      </c>
      <c r="M253" t="s">
        <v>522</v>
      </c>
    </row>
    <row r="254" spans="1:13" hidden="1">
      <c r="A254" s="5" t="str">
        <f>HYPERLINK("http://www.analog.com/zh/ad7112#details", "AD7112")</f>
        <v>AD7112</v>
      </c>
      <c r="B254">
        <v>17</v>
      </c>
      <c r="C254">
        <v>2</v>
      </c>
      <c r="D254" t="s">
        <v>8</v>
      </c>
      <c r="E254" t="s">
        <v>236</v>
      </c>
      <c r="F254" t="s">
        <v>192</v>
      </c>
      <c r="G254" t="s">
        <v>8</v>
      </c>
      <c r="H254" t="s">
        <v>8</v>
      </c>
      <c r="I254" t="s">
        <v>8</v>
      </c>
      <c r="J254" t="s">
        <v>8</v>
      </c>
      <c r="K254" t="s">
        <v>523</v>
      </c>
      <c r="L254" t="s">
        <v>36</v>
      </c>
      <c r="M254" t="s">
        <v>8</v>
      </c>
    </row>
    <row r="255" spans="1:13" hidden="1">
      <c r="A255" s="5" t="str">
        <f>HYPERLINK("http://www.analog.com/zh/ad669#details", "AD669")</f>
        <v>AD669</v>
      </c>
      <c r="B255">
        <v>16</v>
      </c>
      <c r="C255">
        <v>1</v>
      </c>
      <c r="D255" t="s">
        <v>524</v>
      </c>
      <c r="E255" t="s">
        <v>154</v>
      </c>
      <c r="F255" t="s">
        <v>192</v>
      </c>
      <c r="G255" t="s">
        <v>368</v>
      </c>
      <c r="H255">
        <v>1</v>
      </c>
      <c r="I255" t="s">
        <v>8</v>
      </c>
      <c r="J255" t="s">
        <v>323</v>
      </c>
      <c r="K255" t="s">
        <v>513</v>
      </c>
      <c r="L255" t="s">
        <v>36</v>
      </c>
      <c r="M255" t="s">
        <v>525</v>
      </c>
    </row>
    <row r="256" spans="1:13" hidden="1">
      <c r="A256" s="5" t="str">
        <f>HYPERLINK("http://www.analog.com/zh/ad7568#details", "AD7568")</f>
        <v>AD7568</v>
      </c>
      <c r="B256">
        <v>12</v>
      </c>
      <c r="C256">
        <v>8</v>
      </c>
      <c r="D256" t="s">
        <v>526</v>
      </c>
      <c r="E256" t="s">
        <v>527</v>
      </c>
      <c r="F256" t="s">
        <v>88</v>
      </c>
      <c r="G256" t="s">
        <v>8</v>
      </c>
      <c r="H256" t="s">
        <v>8</v>
      </c>
      <c r="I256" t="s">
        <v>8</v>
      </c>
      <c r="J256" t="s">
        <v>185</v>
      </c>
      <c r="K256" t="s">
        <v>528</v>
      </c>
      <c r="L256" t="s">
        <v>36</v>
      </c>
      <c r="M256" t="s">
        <v>529</v>
      </c>
    </row>
    <row r="257" spans="1:13" hidden="1">
      <c r="A257" s="5" t="str">
        <f>HYPERLINK("http://www.analog.com/zh/dac8413#details", "DAC8413")</f>
        <v>DAC8413</v>
      </c>
      <c r="B257">
        <v>12</v>
      </c>
      <c r="C257">
        <v>4</v>
      </c>
      <c r="D257" t="s">
        <v>530</v>
      </c>
      <c r="E257" t="s">
        <v>154</v>
      </c>
      <c r="F257" t="s">
        <v>192</v>
      </c>
      <c r="G257" t="s">
        <v>8</v>
      </c>
      <c r="H257">
        <v>0.5</v>
      </c>
      <c r="I257" t="s">
        <v>8</v>
      </c>
      <c r="J257" t="s">
        <v>323</v>
      </c>
      <c r="K257" t="s">
        <v>531</v>
      </c>
      <c r="L257" t="s">
        <v>36</v>
      </c>
      <c r="M257" t="s">
        <v>532</v>
      </c>
    </row>
    <row r="258" spans="1:13" hidden="1">
      <c r="A258" s="5" t="str">
        <f>HYPERLINK("http://www.analog.com/zh/dac8412#details", "DAC8412")</f>
        <v>DAC8412</v>
      </c>
      <c r="B258">
        <v>12</v>
      </c>
      <c r="C258">
        <v>4</v>
      </c>
      <c r="D258" t="s">
        <v>530</v>
      </c>
      <c r="E258" t="s">
        <v>154</v>
      </c>
      <c r="F258" t="s">
        <v>192</v>
      </c>
      <c r="G258" t="s">
        <v>8</v>
      </c>
      <c r="H258">
        <v>0.5</v>
      </c>
      <c r="I258" t="s">
        <v>8</v>
      </c>
      <c r="J258" t="s">
        <v>323</v>
      </c>
      <c r="K258" t="s">
        <v>531</v>
      </c>
      <c r="L258" t="s">
        <v>36</v>
      </c>
      <c r="M258" t="s">
        <v>533</v>
      </c>
    </row>
    <row r="259" spans="1:13" hidden="1">
      <c r="A259" s="5" t="str">
        <f>HYPERLINK("http://www.analog.com/zh/ad7244#details", "AD7244")</f>
        <v>AD7244</v>
      </c>
      <c r="B259">
        <v>14</v>
      </c>
      <c r="C259">
        <v>2</v>
      </c>
      <c r="D259" t="s">
        <v>534</v>
      </c>
      <c r="E259" t="s">
        <v>86</v>
      </c>
      <c r="F259" t="s">
        <v>88</v>
      </c>
      <c r="G259" t="s">
        <v>8</v>
      </c>
      <c r="H259">
        <v>2</v>
      </c>
      <c r="I259" t="s">
        <v>8</v>
      </c>
      <c r="J259" t="s">
        <v>215</v>
      </c>
      <c r="K259" t="s">
        <v>535</v>
      </c>
      <c r="L259" t="s">
        <v>36</v>
      </c>
      <c r="M259" t="s">
        <v>536</v>
      </c>
    </row>
    <row r="260" spans="1:13" hidden="1">
      <c r="A260" s="5" t="str">
        <f>HYPERLINK("http://www.analog.com/zh/dac8426#details", "DAC8426")</f>
        <v>DAC8426</v>
      </c>
      <c r="B260">
        <v>8</v>
      </c>
      <c r="C260">
        <v>4</v>
      </c>
      <c r="D260" t="s">
        <v>537</v>
      </c>
      <c r="E260" t="s">
        <v>523</v>
      </c>
      <c r="F260" t="s">
        <v>192</v>
      </c>
      <c r="G260" t="s">
        <v>8</v>
      </c>
      <c r="H260">
        <v>0.5</v>
      </c>
      <c r="I260" t="s">
        <v>8</v>
      </c>
      <c r="J260" t="s">
        <v>207</v>
      </c>
      <c r="K260" t="s">
        <v>538</v>
      </c>
      <c r="L260" t="s">
        <v>12</v>
      </c>
      <c r="M260" t="s">
        <v>539</v>
      </c>
    </row>
    <row r="261" spans="1:13" hidden="1">
      <c r="A261" s="5" t="str">
        <f>HYPERLINK("http://www.analog.com/zh/ad7837#details", "AD7837")</f>
        <v>AD7837</v>
      </c>
      <c r="B261">
        <v>12</v>
      </c>
      <c r="C261">
        <v>2</v>
      </c>
      <c r="D261" t="s">
        <v>540</v>
      </c>
      <c r="E261" t="s">
        <v>154</v>
      </c>
      <c r="F261" t="s">
        <v>475</v>
      </c>
      <c r="G261" t="s">
        <v>8</v>
      </c>
      <c r="H261">
        <v>0.5</v>
      </c>
      <c r="I261" t="s">
        <v>8</v>
      </c>
      <c r="J261" t="s">
        <v>215</v>
      </c>
      <c r="K261" t="s">
        <v>538</v>
      </c>
      <c r="L261" t="s">
        <v>36</v>
      </c>
      <c r="M261" t="s">
        <v>541</v>
      </c>
    </row>
    <row r="262" spans="1:13" hidden="1">
      <c r="A262" s="5" t="str">
        <f>HYPERLINK("http://www.analog.com/zh/ad7247#details", "AD7247A")</f>
        <v>AD7247A</v>
      </c>
      <c r="B262">
        <v>12</v>
      </c>
      <c r="C262">
        <v>2</v>
      </c>
      <c r="D262" t="s">
        <v>8</v>
      </c>
      <c r="E262" t="s">
        <v>154</v>
      </c>
      <c r="F262" t="s">
        <v>192</v>
      </c>
      <c r="G262" t="s">
        <v>516</v>
      </c>
      <c r="H262">
        <v>0.5</v>
      </c>
      <c r="I262" t="s">
        <v>8</v>
      </c>
      <c r="J262" t="s">
        <v>177</v>
      </c>
      <c r="K262" t="s">
        <v>51</v>
      </c>
      <c r="L262" t="s">
        <v>36</v>
      </c>
      <c r="M262" t="s">
        <v>542</v>
      </c>
    </row>
    <row r="263" spans="1:13" hidden="1">
      <c r="A263" s="5" t="str">
        <f>HYPERLINK("http://www.analog.com/zh/ad7237#details", "AD7237A")</f>
        <v>AD7237A</v>
      </c>
      <c r="B263">
        <v>12</v>
      </c>
      <c r="C263">
        <v>2</v>
      </c>
      <c r="D263" t="s">
        <v>8</v>
      </c>
      <c r="E263" t="s">
        <v>154</v>
      </c>
      <c r="F263" t="s">
        <v>397</v>
      </c>
      <c r="G263" t="s">
        <v>516</v>
      </c>
      <c r="H263">
        <v>0.5</v>
      </c>
      <c r="I263" t="s">
        <v>8</v>
      </c>
      <c r="J263" t="s">
        <v>177</v>
      </c>
      <c r="K263" t="s">
        <v>51</v>
      </c>
      <c r="L263" t="s">
        <v>36</v>
      </c>
      <c r="M263" t="s">
        <v>543</v>
      </c>
    </row>
    <row r="264" spans="1:13" hidden="1">
      <c r="A264" s="5" t="str">
        <f>HYPERLINK("http://www.analog.com/zh/dac8228#details", "DAC8228")</f>
        <v>DAC8228</v>
      </c>
      <c r="B264">
        <v>8</v>
      </c>
      <c r="C264">
        <v>2</v>
      </c>
      <c r="D264" t="s">
        <v>544</v>
      </c>
      <c r="E264" t="s">
        <v>154</v>
      </c>
      <c r="F264" t="s">
        <v>192</v>
      </c>
      <c r="G264" t="s">
        <v>8</v>
      </c>
      <c r="H264">
        <v>1</v>
      </c>
      <c r="I264" t="s">
        <v>8</v>
      </c>
      <c r="J264" t="s">
        <v>138</v>
      </c>
      <c r="K264" t="s">
        <v>545</v>
      </c>
      <c r="L264" t="s">
        <v>12</v>
      </c>
      <c r="M264" t="s">
        <v>546</v>
      </c>
    </row>
    <row r="265" spans="1:13" hidden="1">
      <c r="A265" s="5" t="str">
        <f>HYPERLINK("http://www.analog.com/zh/dac8143#details", "DAC8143")</f>
        <v>DAC8143</v>
      </c>
      <c r="B265">
        <v>12</v>
      </c>
      <c r="C265">
        <v>1</v>
      </c>
      <c r="D265" t="s">
        <v>547</v>
      </c>
      <c r="E265" t="s">
        <v>188</v>
      </c>
      <c r="F265" t="s">
        <v>88</v>
      </c>
      <c r="G265" t="s">
        <v>8</v>
      </c>
      <c r="H265" t="s">
        <v>8</v>
      </c>
      <c r="I265" t="s">
        <v>8</v>
      </c>
      <c r="J265" t="s">
        <v>548</v>
      </c>
      <c r="K265" t="s">
        <v>266</v>
      </c>
      <c r="L265" t="s">
        <v>36</v>
      </c>
      <c r="M265" t="s">
        <v>549</v>
      </c>
    </row>
    <row r="266" spans="1:13" hidden="1">
      <c r="A266" s="5" t="str">
        <f>HYPERLINK("http://www.analog.com/zh/dac8229#details", "DAC8229")</f>
        <v>DAC8229</v>
      </c>
      <c r="B266">
        <v>8</v>
      </c>
      <c r="C266">
        <v>2</v>
      </c>
      <c r="D266" t="s">
        <v>550</v>
      </c>
      <c r="E266" t="s">
        <v>154</v>
      </c>
      <c r="F266" t="s">
        <v>192</v>
      </c>
      <c r="G266" t="s">
        <v>8</v>
      </c>
      <c r="H266">
        <v>0.5</v>
      </c>
      <c r="I266" t="s">
        <v>8</v>
      </c>
      <c r="J266" t="s">
        <v>138</v>
      </c>
      <c r="K266" t="s">
        <v>551</v>
      </c>
      <c r="L266" t="s">
        <v>12</v>
      </c>
      <c r="M266" t="s">
        <v>450</v>
      </c>
    </row>
    <row r="267" spans="1:13" hidden="1">
      <c r="A267" s="5" t="str">
        <f>HYPERLINK("http://www.analog.com/zh/dac8043#details", "DAC8043")</f>
        <v>DAC8043</v>
      </c>
      <c r="B267">
        <v>12</v>
      </c>
      <c r="C267">
        <v>1</v>
      </c>
      <c r="D267" t="s">
        <v>552</v>
      </c>
      <c r="E267" t="s">
        <v>188</v>
      </c>
      <c r="F267" t="s">
        <v>88</v>
      </c>
      <c r="G267" t="s">
        <v>8</v>
      </c>
      <c r="H267" t="s">
        <v>8</v>
      </c>
      <c r="I267" t="s">
        <v>8</v>
      </c>
      <c r="J267" t="s">
        <v>553</v>
      </c>
      <c r="K267" t="s">
        <v>266</v>
      </c>
      <c r="L267" t="s">
        <v>36</v>
      </c>
      <c r="M267" t="s">
        <v>554</v>
      </c>
    </row>
    <row r="268" spans="1:13" hidden="1">
      <c r="A268" s="5" t="str">
        <f>HYPERLINK("http://www.analog.com/zh/dac8221#details", "DAC8221")</f>
        <v>DAC8221</v>
      </c>
      <c r="B268">
        <v>12</v>
      </c>
      <c r="C268">
        <v>2</v>
      </c>
      <c r="D268" t="s">
        <v>555</v>
      </c>
      <c r="E268" t="s">
        <v>556</v>
      </c>
      <c r="F268" t="s">
        <v>192</v>
      </c>
      <c r="G268" t="s">
        <v>8</v>
      </c>
      <c r="H268" t="s">
        <v>8</v>
      </c>
      <c r="I268" t="s">
        <v>8</v>
      </c>
      <c r="J268" t="s">
        <v>557</v>
      </c>
      <c r="K268" t="s">
        <v>35</v>
      </c>
      <c r="L268" t="s">
        <v>36</v>
      </c>
      <c r="M268" t="s">
        <v>558</v>
      </c>
    </row>
    <row r="269" spans="1:13" hidden="1">
      <c r="A269" s="5" t="str">
        <f>HYPERLINK("http://www.analog.com/zh/ad7248a#details", "AD7248A")</f>
        <v>AD7248A</v>
      </c>
      <c r="B269">
        <v>8</v>
      </c>
      <c r="C269">
        <v>8</v>
      </c>
      <c r="D269" t="s">
        <v>559</v>
      </c>
      <c r="E269" t="s">
        <v>154</v>
      </c>
      <c r="F269" t="s">
        <v>8</v>
      </c>
      <c r="G269" t="s">
        <v>8</v>
      </c>
      <c r="H269">
        <v>0.5</v>
      </c>
      <c r="I269" t="s">
        <v>8</v>
      </c>
      <c r="J269" t="s">
        <v>362</v>
      </c>
      <c r="K269" t="s">
        <v>145</v>
      </c>
      <c r="L269" t="s">
        <v>36</v>
      </c>
      <c r="M269" t="s">
        <v>560</v>
      </c>
    </row>
    <row r="270" spans="1:13" hidden="1">
      <c r="A270" s="5" t="str">
        <f>HYPERLINK("http://www.analog.com/zh/dac8248#details", "DAC8248")</f>
        <v>DAC8248</v>
      </c>
      <c r="B270">
        <v>12</v>
      </c>
      <c r="C270">
        <v>2</v>
      </c>
      <c r="D270" t="s">
        <v>561</v>
      </c>
      <c r="E270" t="s">
        <v>556</v>
      </c>
      <c r="F270" t="s">
        <v>475</v>
      </c>
      <c r="G270" t="s">
        <v>8</v>
      </c>
      <c r="H270" t="s">
        <v>8</v>
      </c>
      <c r="I270" t="s">
        <v>8</v>
      </c>
      <c r="J270" t="s">
        <v>101</v>
      </c>
      <c r="K270" t="s">
        <v>426</v>
      </c>
      <c r="L270" t="s">
        <v>36</v>
      </c>
      <c r="M270" t="s">
        <v>508</v>
      </c>
    </row>
    <row r="271" spans="1:13" hidden="1">
      <c r="A271" s="5" t="str">
        <f>HYPERLINK("http://www.analog.com/zh/dac8222#details", "DAC8222")</f>
        <v>DAC8222</v>
      </c>
      <c r="B271">
        <v>12</v>
      </c>
      <c r="C271">
        <v>2</v>
      </c>
      <c r="D271" t="s">
        <v>562</v>
      </c>
      <c r="E271" t="s">
        <v>188</v>
      </c>
      <c r="F271" t="s">
        <v>192</v>
      </c>
      <c r="G271" t="s">
        <v>8</v>
      </c>
      <c r="H271" t="s">
        <v>8</v>
      </c>
      <c r="I271" t="s">
        <v>8</v>
      </c>
      <c r="J271" t="s">
        <v>101</v>
      </c>
      <c r="K271" t="s">
        <v>426</v>
      </c>
      <c r="L271" t="s">
        <v>36</v>
      </c>
      <c r="M271" t="s">
        <v>433</v>
      </c>
    </row>
    <row r="272" spans="1:13" hidden="1">
      <c r="A272" s="5" t="str">
        <f>HYPERLINK("http://www.analog.com/zh/ad664#details", "AD664")</f>
        <v>AD664</v>
      </c>
      <c r="B272">
        <v>12</v>
      </c>
      <c r="C272">
        <v>4</v>
      </c>
      <c r="D272" t="s">
        <v>563</v>
      </c>
      <c r="E272" t="s">
        <v>8</v>
      </c>
      <c r="F272" t="s">
        <v>564</v>
      </c>
      <c r="G272" t="s">
        <v>8</v>
      </c>
      <c r="H272">
        <v>0.75</v>
      </c>
      <c r="I272" t="s">
        <v>8</v>
      </c>
      <c r="J272" t="s">
        <v>177</v>
      </c>
      <c r="K272" t="s">
        <v>565</v>
      </c>
      <c r="L272" t="s">
        <v>36</v>
      </c>
      <c r="M272" t="s">
        <v>566</v>
      </c>
    </row>
    <row r="273" spans="1:13" hidden="1">
      <c r="A273" s="5" t="str">
        <f>HYPERLINK("http://www.analog.com/zh/ad7228#details", "AD7228")</f>
        <v>AD7228</v>
      </c>
      <c r="B273">
        <v>8</v>
      </c>
      <c r="C273">
        <v>8</v>
      </c>
      <c r="D273" t="s">
        <v>567</v>
      </c>
      <c r="E273" t="s">
        <v>154</v>
      </c>
      <c r="F273" t="s">
        <v>192</v>
      </c>
      <c r="G273" t="s">
        <v>8</v>
      </c>
      <c r="H273">
        <v>0.5</v>
      </c>
      <c r="I273" t="s">
        <v>8</v>
      </c>
      <c r="J273" t="s">
        <v>362</v>
      </c>
      <c r="K273" t="s">
        <v>145</v>
      </c>
      <c r="L273" t="s">
        <v>12</v>
      </c>
      <c r="M273" t="s">
        <v>568</v>
      </c>
    </row>
    <row r="274" spans="1:13" hidden="1">
      <c r="A274" s="5" t="str">
        <f>HYPERLINK("http://www.analog.com/zh/ad557#details", "AD557")</f>
        <v>AD557</v>
      </c>
      <c r="B274">
        <v>8</v>
      </c>
      <c r="C274">
        <v>1</v>
      </c>
      <c r="D274" t="s">
        <v>569</v>
      </c>
      <c r="E274" t="s">
        <v>154</v>
      </c>
      <c r="F274" t="s">
        <v>192</v>
      </c>
      <c r="G274" t="s">
        <v>570</v>
      </c>
      <c r="H274">
        <v>1</v>
      </c>
      <c r="I274" t="s">
        <v>8</v>
      </c>
      <c r="J274" t="s">
        <v>571</v>
      </c>
      <c r="K274" t="s">
        <v>572</v>
      </c>
      <c r="L274" t="s">
        <v>12</v>
      </c>
      <c r="M274" t="s">
        <v>573</v>
      </c>
    </row>
    <row r="275" spans="1:13" hidden="1">
      <c r="A275" s="5" t="str">
        <f>HYPERLINK("http://www.analog.com/zh/ad7538#details", "AD7538")</f>
        <v>AD7538</v>
      </c>
      <c r="B275">
        <v>14</v>
      </c>
      <c r="C275">
        <v>1</v>
      </c>
      <c r="D275" t="s">
        <v>574</v>
      </c>
      <c r="E275" t="s">
        <v>575</v>
      </c>
      <c r="F275" t="s">
        <v>192</v>
      </c>
      <c r="G275" t="s">
        <v>8</v>
      </c>
      <c r="H275" t="s">
        <v>8</v>
      </c>
      <c r="I275" t="s">
        <v>8</v>
      </c>
      <c r="J275" t="s">
        <v>469</v>
      </c>
      <c r="K275" t="s">
        <v>437</v>
      </c>
      <c r="L275" t="s">
        <v>36</v>
      </c>
      <c r="M275" t="s">
        <v>576</v>
      </c>
    </row>
    <row r="276" spans="1:13" hidden="1">
      <c r="A276" s="5" t="str">
        <f>HYPERLINK("http://www.analog.com/zh/ad7245a#details", "AD7245A")</f>
        <v>AD7245A</v>
      </c>
      <c r="B276">
        <v>12</v>
      </c>
      <c r="C276">
        <v>1</v>
      </c>
      <c r="D276" t="s">
        <v>577</v>
      </c>
      <c r="E276" t="s">
        <v>154</v>
      </c>
      <c r="F276" t="s">
        <v>8</v>
      </c>
      <c r="G276" t="s">
        <v>516</v>
      </c>
      <c r="H276">
        <v>0.5</v>
      </c>
      <c r="I276" t="s">
        <v>8</v>
      </c>
      <c r="J276" t="s">
        <v>85</v>
      </c>
      <c r="K276" t="s">
        <v>538</v>
      </c>
      <c r="L276" t="s">
        <v>36</v>
      </c>
      <c r="M276" t="s">
        <v>578</v>
      </c>
    </row>
    <row r="277" spans="1:13" hidden="1">
      <c r="A277" s="5" t="str">
        <f>HYPERLINK("http://www.analog.com/zh/ad7628#details", "AD7628")</f>
        <v>AD7628</v>
      </c>
      <c r="B277">
        <v>8</v>
      </c>
      <c r="C277">
        <v>2</v>
      </c>
      <c r="D277" t="s">
        <v>387</v>
      </c>
      <c r="E277" t="s">
        <v>228</v>
      </c>
      <c r="F277" t="s">
        <v>192</v>
      </c>
      <c r="G277" t="s">
        <v>8</v>
      </c>
      <c r="H277" t="s">
        <v>8</v>
      </c>
      <c r="I277" t="s">
        <v>8</v>
      </c>
      <c r="J277" t="s">
        <v>579</v>
      </c>
      <c r="K277" t="s">
        <v>580</v>
      </c>
      <c r="L277" t="s">
        <v>36</v>
      </c>
      <c r="M277" t="s">
        <v>581</v>
      </c>
    </row>
    <row r="278" spans="1:13" hidden="1">
      <c r="A278" s="5" t="str">
        <f>HYPERLINK("http://www.analog.com/zh/ad7547#details", "AD7547")</f>
        <v>AD7547</v>
      </c>
      <c r="B278">
        <v>12</v>
      </c>
      <c r="C278">
        <v>2</v>
      </c>
      <c r="D278" t="s">
        <v>582</v>
      </c>
      <c r="E278" t="s">
        <v>583</v>
      </c>
      <c r="F278" t="s">
        <v>192</v>
      </c>
      <c r="G278" t="s">
        <v>8</v>
      </c>
      <c r="H278" t="s">
        <v>8</v>
      </c>
      <c r="I278" t="s">
        <v>8</v>
      </c>
      <c r="J278" t="s">
        <v>469</v>
      </c>
      <c r="K278" t="s">
        <v>519</v>
      </c>
      <c r="L278" t="s">
        <v>36</v>
      </c>
      <c r="M278" t="s">
        <v>584</v>
      </c>
    </row>
    <row r="279" spans="1:13" hidden="1">
      <c r="A279" s="5" t="str">
        <f>HYPERLINK("http://www.analog.com/zh/dac8408#details", "DAC8408")</f>
        <v>DAC8408</v>
      </c>
      <c r="B279">
        <v>8</v>
      </c>
      <c r="C279">
        <v>4</v>
      </c>
      <c r="D279" t="s">
        <v>585</v>
      </c>
      <c r="E279" t="s">
        <v>314</v>
      </c>
      <c r="F279" t="s">
        <v>192</v>
      </c>
      <c r="G279" t="s">
        <v>8</v>
      </c>
      <c r="H279" t="s">
        <v>8</v>
      </c>
      <c r="I279" t="s">
        <v>8</v>
      </c>
      <c r="J279" t="s">
        <v>586</v>
      </c>
      <c r="K279" t="s">
        <v>152</v>
      </c>
      <c r="L279" t="s">
        <v>36</v>
      </c>
      <c r="M279" t="s">
        <v>587</v>
      </c>
    </row>
    <row r="280" spans="1:13" hidden="1">
      <c r="A280" s="5" t="str">
        <f>HYPERLINK("http://www.analog.com/zh/ad7549#details", "AD7549")</f>
        <v>AD7549</v>
      </c>
      <c r="B280">
        <v>12</v>
      </c>
      <c r="C280">
        <v>2</v>
      </c>
      <c r="D280" t="s">
        <v>588</v>
      </c>
      <c r="E280" t="s">
        <v>188</v>
      </c>
      <c r="F280" t="s">
        <v>589</v>
      </c>
      <c r="G280" t="s">
        <v>8</v>
      </c>
      <c r="H280" t="s">
        <v>8</v>
      </c>
      <c r="I280" t="s">
        <v>8</v>
      </c>
      <c r="J280" t="s">
        <v>469</v>
      </c>
      <c r="K280" t="s">
        <v>590</v>
      </c>
      <c r="L280" t="s">
        <v>36</v>
      </c>
      <c r="M280" t="s">
        <v>591</v>
      </c>
    </row>
    <row r="281" spans="1:13" hidden="1">
      <c r="A281" s="5" t="str">
        <f>HYPERLINK("http://www.analog.com/zh/ad7535#details", "AD7535")</f>
        <v>AD7535</v>
      </c>
      <c r="B281">
        <v>14</v>
      </c>
      <c r="C281">
        <v>1</v>
      </c>
      <c r="D281" t="s">
        <v>8</v>
      </c>
      <c r="E281" t="s">
        <v>592</v>
      </c>
      <c r="F281" t="s">
        <v>475</v>
      </c>
      <c r="G281" t="s">
        <v>8</v>
      </c>
      <c r="H281" t="s">
        <v>8</v>
      </c>
      <c r="I281" t="s">
        <v>8</v>
      </c>
      <c r="J281" t="s">
        <v>469</v>
      </c>
      <c r="K281" t="s">
        <v>437</v>
      </c>
      <c r="L281" t="s">
        <v>36</v>
      </c>
      <c r="M281" t="s">
        <v>8</v>
      </c>
    </row>
    <row r="282" spans="1:13" hidden="1">
      <c r="A282" s="5" t="str">
        <f>HYPERLINK("http://www.analog.com/zh/ad667#details", "AD667")</f>
        <v>AD667</v>
      </c>
      <c r="B282">
        <v>12</v>
      </c>
      <c r="C282">
        <v>1</v>
      </c>
      <c r="D282" t="s">
        <v>593</v>
      </c>
      <c r="E282" t="s">
        <v>154</v>
      </c>
      <c r="F282" t="s">
        <v>564</v>
      </c>
      <c r="G282" t="s">
        <v>594</v>
      </c>
      <c r="H282">
        <v>0.25</v>
      </c>
      <c r="I282" t="s">
        <v>8</v>
      </c>
      <c r="J282" t="s">
        <v>138</v>
      </c>
      <c r="K282" t="s">
        <v>595</v>
      </c>
      <c r="L282" t="s">
        <v>36</v>
      </c>
      <c r="M282" t="s">
        <v>596</v>
      </c>
    </row>
    <row r="283" spans="1:13" hidden="1">
      <c r="A283" s="5" t="str">
        <f>HYPERLINK("http://www.analog.com/zh/ad7534#details", "AD7534")</f>
        <v>AD7534</v>
      </c>
      <c r="B283">
        <v>14</v>
      </c>
      <c r="C283">
        <v>1</v>
      </c>
      <c r="D283" t="s">
        <v>597</v>
      </c>
      <c r="E283" t="s">
        <v>592</v>
      </c>
      <c r="F283" t="s">
        <v>397</v>
      </c>
      <c r="G283" t="s">
        <v>8</v>
      </c>
      <c r="H283" t="s">
        <v>8</v>
      </c>
      <c r="I283" t="s">
        <v>8</v>
      </c>
      <c r="J283" t="s">
        <v>469</v>
      </c>
      <c r="K283" t="s">
        <v>135</v>
      </c>
      <c r="L283" t="s">
        <v>36</v>
      </c>
      <c r="M283" t="s">
        <v>598</v>
      </c>
    </row>
    <row r="284" spans="1:13" hidden="1">
      <c r="A284" s="5" t="str">
        <f>HYPERLINK("http://www.analog.com/zh/ad7224#details", "AD7224")</f>
        <v>AD7224</v>
      </c>
      <c r="B284">
        <v>8</v>
      </c>
      <c r="C284">
        <v>1</v>
      </c>
      <c r="D284" t="s">
        <v>599</v>
      </c>
      <c r="E284" t="s">
        <v>154</v>
      </c>
      <c r="F284" t="s">
        <v>192</v>
      </c>
      <c r="G284" t="s">
        <v>8</v>
      </c>
      <c r="H284">
        <v>0.5</v>
      </c>
      <c r="I284" t="s">
        <v>8</v>
      </c>
      <c r="J284" t="s">
        <v>85</v>
      </c>
      <c r="K284" t="s">
        <v>590</v>
      </c>
      <c r="L284" t="s">
        <v>12</v>
      </c>
      <c r="M284" t="s">
        <v>600</v>
      </c>
    </row>
    <row r="285" spans="1:13" hidden="1">
      <c r="A285" s="5" t="str">
        <f>HYPERLINK("http://www.analog.com/zh/ad7548#details", "AD7548")</f>
        <v>AD7548</v>
      </c>
      <c r="B285">
        <v>12</v>
      </c>
      <c r="C285">
        <v>1</v>
      </c>
      <c r="D285" t="s">
        <v>601</v>
      </c>
      <c r="E285" t="s">
        <v>188</v>
      </c>
      <c r="F285" t="s">
        <v>475</v>
      </c>
      <c r="G285" t="s">
        <v>8</v>
      </c>
      <c r="H285" t="s">
        <v>8</v>
      </c>
      <c r="I285" t="s">
        <v>8</v>
      </c>
      <c r="J285" t="s">
        <v>8</v>
      </c>
      <c r="K285" t="s">
        <v>523</v>
      </c>
      <c r="L285" t="s">
        <v>36</v>
      </c>
      <c r="M285" t="s">
        <v>602</v>
      </c>
    </row>
    <row r="286" spans="1:13" hidden="1">
      <c r="A286" s="5" t="str">
        <f>HYPERLINK("http://www.analog.com/zh/ad567#details", "AD567")</f>
        <v>AD567</v>
      </c>
      <c r="B286">
        <v>12</v>
      </c>
      <c r="C286">
        <v>1</v>
      </c>
      <c r="D286" t="s">
        <v>603</v>
      </c>
      <c r="E286" t="s">
        <v>48</v>
      </c>
      <c r="F286" t="s">
        <v>564</v>
      </c>
      <c r="G286" t="s">
        <v>8</v>
      </c>
      <c r="H286" t="s">
        <v>8</v>
      </c>
      <c r="I286" t="s">
        <v>8</v>
      </c>
      <c r="J286" t="s">
        <v>8</v>
      </c>
      <c r="K286" t="s">
        <v>51</v>
      </c>
      <c r="L286" t="s">
        <v>36</v>
      </c>
      <c r="M286" t="s">
        <v>604</v>
      </c>
    </row>
    <row r="287" spans="1:13" hidden="1">
      <c r="A287" s="5" t="str">
        <f>HYPERLINK("http://www.analog.com/zh/ad7528#details", "AD7528")</f>
        <v>AD7528</v>
      </c>
      <c r="B287">
        <v>8</v>
      </c>
      <c r="C287">
        <v>2</v>
      </c>
      <c r="D287" t="s">
        <v>360</v>
      </c>
      <c r="E287" t="s">
        <v>236</v>
      </c>
      <c r="F287" t="s">
        <v>192</v>
      </c>
      <c r="G287" t="s">
        <v>8</v>
      </c>
      <c r="H287" t="s">
        <v>8</v>
      </c>
      <c r="I287" t="s">
        <v>8</v>
      </c>
      <c r="J287" t="s">
        <v>605</v>
      </c>
      <c r="K287" t="s">
        <v>519</v>
      </c>
      <c r="L287" t="s">
        <v>36</v>
      </c>
      <c r="M287" t="s">
        <v>606</v>
      </c>
    </row>
    <row r="288" spans="1:13" hidden="1">
      <c r="A288" s="5" t="str">
        <f>HYPERLINK("http://www.analog.com/zh/ad7111#details", "AD7111A")</f>
        <v>AD7111A</v>
      </c>
      <c r="B288">
        <v>17</v>
      </c>
      <c r="C288">
        <v>1</v>
      </c>
      <c r="D288" t="s">
        <v>8</v>
      </c>
      <c r="E288" t="s">
        <v>188</v>
      </c>
      <c r="F288" t="s">
        <v>397</v>
      </c>
      <c r="G288" t="s">
        <v>8</v>
      </c>
      <c r="H288" t="s">
        <v>8</v>
      </c>
      <c r="I288" t="s">
        <v>8</v>
      </c>
      <c r="J288" t="s">
        <v>607</v>
      </c>
      <c r="K288" t="s">
        <v>523</v>
      </c>
      <c r="L288" t="s">
        <v>36</v>
      </c>
      <c r="M288" t="s">
        <v>608</v>
      </c>
    </row>
    <row r="289" spans="1:13" hidden="1">
      <c r="A289" s="5" t="str">
        <f>HYPERLINK("http://www.analog.com/zh/dac312#details", "DAC312")</f>
        <v>DAC312</v>
      </c>
      <c r="B289">
        <v>12</v>
      </c>
      <c r="C289">
        <v>1</v>
      </c>
      <c r="D289" t="s">
        <v>609</v>
      </c>
      <c r="E289" t="s">
        <v>610</v>
      </c>
      <c r="F289" t="s">
        <v>192</v>
      </c>
      <c r="G289" t="s">
        <v>8</v>
      </c>
      <c r="H289" t="s">
        <v>8</v>
      </c>
      <c r="I289" t="s">
        <v>8</v>
      </c>
      <c r="J289" t="s">
        <v>8</v>
      </c>
      <c r="K289" t="s">
        <v>611</v>
      </c>
      <c r="L289" t="s">
        <v>36</v>
      </c>
      <c r="M289" t="s">
        <v>612</v>
      </c>
    </row>
    <row r="290" spans="1:13" hidden="1">
      <c r="A290" s="5" t="str">
        <f>HYPERLINK("http://www.analog.com/zh/dac10#details", "DAC10")</f>
        <v>DAC10</v>
      </c>
      <c r="B290">
        <v>10</v>
      </c>
      <c r="C290">
        <v>1</v>
      </c>
      <c r="D290" t="s">
        <v>613</v>
      </c>
      <c r="E290" t="s">
        <v>614</v>
      </c>
      <c r="F290" t="s">
        <v>192</v>
      </c>
      <c r="G290" t="s">
        <v>8</v>
      </c>
      <c r="H290" t="s">
        <v>8</v>
      </c>
      <c r="I290" t="s">
        <v>8</v>
      </c>
      <c r="J290" t="s">
        <v>8</v>
      </c>
      <c r="K290" t="s">
        <v>615</v>
      </c>
      <c r="L290" t="s">
        <v>36</v>
      </c>
      <c r="M290" t="s">
        <v>616</v>
      </c>
    </row>
    <row r="291" spans="1:13" hidden="1">
      <c r="A291" s="5" t="str">
        <f>HYPERLINK("http://www.analog.com/zh/ad7542#details", "AD7542")</f>
        <v>AD7542</v>
      </c>
      <c r="B291">
        <v>12</v>
      </c>
      <c r="C291">
        <v>1</v>
      </c>
      <c r="D291" t="s">
        <v>617</v>
      </c>
      <c r="E291" t="s">
        <v>8</v>
      </c>
      <c r="F291" t="s">
        <v>88</v>
      </c>
      <c r="G291" t="s">
        <v>8</v>
      </c>
      <c r="H291" t="s">
        <v>8</v>
      </c>
      <c r="I291" t="s">
        <v>8</v>
      </c>
      <c r="J291" t="s">
        <v>8</v>
      </c>
      <c r="K291" t="s">
        <v>8</v>
      </c>
      <c r="L291" t="s">
        <v>36</v>
      </c>
      <c r="M291" t="s">
        <v>618</v>
      </c>
    </row>
    <row r="292" spans="1:13" hidden="1">
      <c r="A292" s="5" t="str">
        <f>HYPERLINK("http://www.analog.com/zh/ad558#details", "AD558")</f>
        <v>AD558</v>
      </c>
      <c r="B292">
        <v>8</v>
      </c>
      <c r="C292">
        <v>1</v>
      </c>
      <c r="D292" t="s">
        <v>619</v>
      </c>
      <c r="E292" t="s">
        <v>154</v>
      </c>
      <c r="F292" t="s">
        <v>192</v>
      </c>
      <c r="G292" t="s">
        <v>620</v>
      </c>
      <c r="H292">
        <v>0.25</v>
      </c>
      <c r="I292" t="s">
        <v>8</v>
      </c>
      <c r="J292" t="s">
        <v>8</v>
      </c>
      <c r="K292" t="s">
        <v>621</v>
      </c>
      <c r="L292" t="s">
        <v>12</v>
      </c>
      <c r="M292" t="s">
        <v>622</v>
      </c>
    </row>
    <row r="293" spans="1:13" hidden="1">
      <c r="A293" s="5" t="str">
        <f>HYPERLINK("http://www.analog.com/zh/ad7533#details", "AD7533")</f>
        <v>AD7533</v>
      </c>
      <c r="B293">
        <v>10</v>
      </c>
      <c r="C293">
        <v>1</v>
      </c>
      <c r="D293" t="s">
        <v>357</v>
      </c>
      <c r="E293" t="s">
        <v>188</v>
      </c>
      <c r="F293" t="s">
        <v>192</v>
      </c>
      <c r="G293" t="s">
        <v>8</v>
      </c>
      <c r="H293" t="s">
        <v>8</v>
      </c>
      <c r="I293" t="s">
        <v>8</v>
      </c>
      <c r="J293" t="s">
        <v>265</v>
      </c>
      <c r="K293" t="s">
        <v>519</v>
      </c>
      <c r="L293" t="s">
        <v>36</v>
      </c>
      <c r="M293" t="s">
        <v>623</v>
      </c>
    </row>
    <row r="294" spans="1:13" hidden="1">
      <c r="A294" s="5" t="str">
        <f>HYPERLINK("http://www.analog.com/zh/ad7524#details", "AD7524")</f>
        <v>AD7524</v>
      </c>
      <c r="B294">
        <v>8</v>
      </c>
      <c r="C294">
        <v>1</v>
      </c>
      <c r="D294" t="s">
        <v>624</v>
      </c>
      <c r="E294" t="s">
        <v>236</v>
      </c>
      <c r="F294" t="s">
        <v>192</v>
      </c>
      <c r="G294" t="s">
        <v>8</v>
      </c>
      <c r="H294" t="s">
        <v>8</v>
      </c>
      <c r="I294" t="s">
        <v>8</v>
      </c>
      <c r="J294" t="s">
        <v>425</v>
      </c>
      <c r="K294" t="s">
        <v>519</v>
      </c>
      <c r="L294" t="s">
        <v>36</v>
      </c>
      <c r="M294" t="s">
        <v>625</v>
      </c>
    </row>
    <row r="295" spans="1:13" hidden="1">
      <c r="A295" s="5" t="str">
        <f>HYPERLINK("http://www.analog.com/zh/dac08#details", "DAC08")</f>
        <v>DAC08</v>
      </c>
      <c r="B295">
        <v>8</v>
      </c>
      <c r="C295">
        <v>1</v>
      </c>
      <c r="D295" t="s">
        <v>626</v>
      </c>
      <c r="E295" t="s">
        <v>314</v>
      </c>
      <c r="F295" t="s">
        <v>192</v>
      </c>
      <c r="G295" t="s">
        <v>8</v>
      </c>
      <c r="H295" t="s">
        <v>8</v>
      </c>
      <c r="I295" t="s">
        <v>8</v>
      </c>
      <c r="J295" t="s">
        <v>627</v>
      </c>
      <c r="K295" t="s">
        <v>628</v>
      </c>
      <c r="L295" t="s">
        <v>36</v>
      </c>
      <c r="M295" t="s">
        <v>629</v>
      </c>
    </row>
  </sheetData>
  <autoFilter ref="A1:M295">
    <filterColumn colId="1">
      <filters>
        <filter val="18"/>
        <filter val="20"/>
      </filters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M295"/>
  <sheetViews>
    <sheetView tabSelected="1" workbookViewId="0">
      <selection activeCell="H310" sqref="H309:H310"/>
    </sheetView>
  </sheetViews>
  <sheetFormatPr defaultRowHeight="15"/>
  <cols>
    <col min="1" max="2" width="15" customWidth="1"/>
    <col min="3" max="3" width="16" customWidth="1"/>
    <col min="4" max="4" width="25" customWidth="1"/>
    <col min="5" max="5" width="16" customWidth="1"/>
    <col min="6" max="6" width="24.85546875" customWidth="1"/>
    <col min="7" max="7" width="15" customWidth="1"/>
    <col min="8" max="8" width="16" customWidth="1"/>
    <col min="9" max="9" width="18.5703125" customWidth="1"/>
    <col min="10" max="11" width="15" customWidth="1"/>
    <col min="12" max="12" width="18" customWidth="1"/>
    <col min="13" max="13" width="15" customWidth="1"/>
  </cols>
  <sheetData>
    <row r="1" spans="1:13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11</v>
      </c>
      <c r="M1" s="6" t="s">
        <v>24</v>
      </c>
    </row>
    <row r="2" spans="1:13" hidden="1">
      <c r="A2" s="7" t="s">
        <v>8</v>
      </c>
      <c r="B2" s="7" t="s">
        <v>25</v>
      </c>
      <c r="C2" s="7" t="s">
        <v>8</v>
      </c>
      <c r="D2" s="7" t="s">
        <v>26</v>
      </c>
      <c r="E2" s="7" t="s">
        <v>27</v>
      </c>
      <c r="F2" s="7" t="s">
        <v>8</v>
      </c>
      <c r="G2" s="7" t="s">
        <v>8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8</v>
      </c>
      <c r="M2" s="7" t="s">
        <v>8</v>
      </c>
    </row>
    <row r="3" spans="1:13" hidden="1">
      <c r="A3" s="8" t="str">
        <f>HYPERLINK("http://www.analog.com/zh/ad5767#details", "AD5767")</f>
        <v>AD5767</v>
      </c>
      <c r="B3">
        <v>12</v>
      </c>
      <c r="C3">
        <v>16</v>
      </c>
      <c r="D3">
        <v>31.5</v>
      </c>
      <c r="E3" t="s">
        <v>8</v>
      </c>
      <c r="F3" t="s">
        <v>33</v>
      </c>
      <c r="G3" t="s">
        <v>630</v>
      </c>
      <c r="H3">
        <v>1</v>
      </c>
      <c r="I3">
        <v>1.0000000000000001E-5</v>
      </c>
      <c r="J3" t="s">
        <v>8</v>
      </c>
      <c r="K3" t="s">
        <v>8</v>
      </c>
      <c r="L3" t="s">
        <v>631</v>
      </c>
      <c r="M3" t="s">
        <v>37</v>
      </c>
    </row>
    <row r="4" spans="1:13" hidden="1">
      <c r="A4" s="8" t="str">
        <f>HYPERLINK("http://www.analog.com/zh/ad5761#details", "AD5761")</f>
        <v>AD5761</v>
      </c>
      <c r="B4">
        <v>16</v>
      </c>
      <c r="C4">
        <v>1</v>
      </c>
      <c r="D4">
        <v>2.8</v>
      </c>
      <c r="E4" t="s">
        <v>8</v>
      </c>
      <c r="F4" t="s">
        <v>632</v>
      </c>
      <c r="G4" t="s">
        <v>633</v>
      </c>
      <c r="H4">
        <v>2</v>
      </c>
      <c r="I4">
        <v>9.0000000000000002E-6</v>
      </c>
      <c r="J4" t="s">
        <v>8</v>
      </c>
      <c r="K4">
        <v>6.7100000000000007E-2</v>
      </c>
      <c r="L4" t="s">
        <v>631</v>
      </c>
      <c r="M4" t="s">
        <v>43</v>
      </c>
    </row>
    <row r="5" spans="1:13" hidden="1">
      <c r="A5" s="8" t="str">
        <f>HYPERLINK("http://www.analog.com/zh/ad5761r#details", "AD5761R")</f>
        <v>AD5761R</v>
      </c>
      <c r="B5">
        <v>16</v>
      </c>
      <c r="C5">
        <v>1</v>
      </c>
      <c r="D5">
        <v>3.75</v>
      </c>
      <c r="E5" t="s">
        <v>8</v>
      </c>
      <c r="F5" t="s">
        <v>632</v>
      </c>
      <c r="G5" t="s">
        <v>633</v>
      </c>
      <c r="H5">
        <v>2</v>
      </c>
      <c r="I5">
        <v>9.0000000000000002E-6</v>
      </c>
      <c r="J5" t="s">
        <v>8</v>
      </c>
      <c r="K5">
        <v>6.7100000000000007E-2</v>
      </c>
      <c r="L5" t="s">
        <v>631</v>
      </c>
      <c r="M5" t="s">
        <v>45</v>
      </c>
    </row>
    <row r="6" spans="1:13" hidden="1">
      <c r="A6" s="8" t="str">
        <f>HYPERLINK("http://www.analog.com/zh/ad5721#details", "AD5721")</f>
        <v>AD5721</v>
      </c>
      <c r="B6">
        <v>12</v>
      </c>
      <c r="C6">
        <v>1</v>
      </c>
      <c r="D6">
        <v>2.15</v>
      </c>
      <c r="E6" t="s">
        <v>8</v>
      </c>
      <c r="F6" t="s">
        <v>632</v>
      </c>
      <c r="G6" t="s">
        <v>633</v>
      </c>
      <c r="H6">
        <v>0.5</v>
      </c>
      <c r="I6">
        <v>9.0000000000000002E-6</v>
      </c>
      <c r="J6" t="s">
        <v>8</v>
      </c>
      <c r="K6">
        <v>6.7100000000000007E-2</v>
      </c>
      <c r="L6" t="s">
        <v>631</v>
      </c>
      <c r="M6" t="s">
        <v>43</v>
      </c>
    </row>
    <row r="7" spans="1:13" hidden="1">
      <c r="A7" s="8" t="str">
        <f>HYPERLINK("http://www.analog.com/zh/ad5675#details", "AD5675")</f>
        <v>AD5675</v>
      </c>
      <c r="B7">
        <v>16</v>
      </c>
      <c r="C7">
        <v>8</v>
      </c>
      <c r="D7">
        <v>7.99</v>
      </c>
      <c r="E7">
        <v>-1.6000000000000001E-3</v>
      </c>
      <c r="F7" t="s">
        <v>634</v>
      </c>
      <c r="G7" t="s">
        <v>8</v>
      </c>
      <c r="H7" t="s">
        <v>8</v>
      </c>
      <c r="I7">
        <v>5.0000000000000004E-6</v>
      </c>
      <c r="J7" t="s">
        <v>8</v>
      </c>
      <c r="K7">
        <v>0.3</v>
      </c>
      <c r="L7" t="s">
        <v>12</v>
      </c>
      <c r="M7" t="s">
        <v>52</v>
      </c>
    </row>
    <row r="8" spans="1:13" hidden="1">
      <c r="A8" s="8" t="str">
        <f>HYPERLINK("http://www.analog.com/zh/ad5721r#details", "AD5721R")</f>
        <v>AD5721R</v>
      </c>
      <c r="B8">
        <v>12</v>
      </c>
      <c r="C8">
        <v>1</v>
      </c>
      <c r="D8">
        <v>2.75</v>
      </c>
      <c r="E8" t="s">
        <v>8</v>
      </c>
      <c r="F8" t="s">
        <v>632</v>
      </c>
      <c r="G8" t="s">
        <v>633</v>
      </c>
      <c r="H8">
        <v>0.5</v>
      </c>
      <c r="I8">
        <v>9.0000000000000002E-6</v>
      </c>
      <c r="J8" t="s">
        <v>8</v>
      </c>
      <c r="K8">
        <v>6.7100000000000007E-2</v>
      </c>
      <c r="L8" t="s">
        <v>631</v>
      </c>
      <c r="M8" t="s">
        <v>43</v>
      </c>
    </row>
    <row r="9" spans="1:13" hidden="1">
      <c r="A9" s="8" t="str">
        <f>HYPERLINK("http://www.analog.com/zh/ad5676r#details", "AD5676R")</f>
        <v>AD5676R</v>
      </c>
      <c r="B9">
        <v>16</v>
      </c>
      <c r="C9">
        <v>8</v>
      </c>
      <c r="D9">
        <v>8.9</v>
      </c>
      <c r="E9">
        <v>-1.6000000000000001E-3</v>
      </c>
      <c r="F9" t="s">
        <v>635</v>
      </c>
      <c r="G9" t="s">
        <v>8</v>
      </c>
      <c r="H9" t="s">
        <v>8</v>
      </c>
      <c r="I9">
        <v>5.0000000000000004E-6</v>
      </c>
      <c r="J9" t="s">
        <v>8</v>
      </c>
      <c r="K9">
        <v>0.3</v>
      </c>
      <c r="L9" t="s">
        <v>12</v>
      </c>
      <c r="M9" t="s">
        <v>56</v>
      </c>
    </row>
    <row r="10" spans="1:13" hidden="1">
      <c r="A10" s="8" t="str">
        <f>HYPERLINK("http://www.analog.com/zh/ad5676#details", "AD5676")</f>
        <v>AD5676</v>
      </c>
      <c r="B10">
        <v>16</v>
      </c>
      <c r="C10">
        <v>8</v>
      </c>
      <c r="D10">
        <v>7.99</v>
      </c>
      <c r="E10">
        <v>-1.6000000000000001E-3</v>
      </c>
      <c r="F10" t="s">
        <v>635</v>
      </c>
      <c r="G10" t="s">
        <v>8</v>
      </c>
      <c r="H10" t="s">
        <v>8</v>
      </c>
      <c r="I10">
        <v>5.0000000000000004E-6</v>
      </c>
      <c r="J10" t="s">
        <v>8</v>
      </c>
      <c r="K10">
        <v>0.3</v>
      </c>
      <c r="L10" t="s">
        <v>12</v>
      </c>
      <c r="M10" t="s">
        <v>56</v>
      </c>
    </row>
    <row r="11" spans="1:13" hidden="1">
      <c r="A11" s="8" t="str">
        <f>HYPERLINK("http://www.analog.com/zh/ad5675r#details", "AD5675R")</f>
        <v>AD5675R</v>
      </c>
      <c r="B11">
        <v>12</v>
      </c>
      <c r="C11">
        <v>8</v>
      </c>
      <c r="D11">
        <v>8.9</v>
      </c>
      <c r="E11">
        <v>-1.6000000000000001E-3</v>
      </c>
      <c r="F11" t="s">
        <v>634</v>
      </c>
      <c r="G11" t="s">
        <v>8</v>
      </c>
      <c r="H11" t="s">
        <v>8</v>
      </c>
      <c r="I11">
        <v>5.0000000000000004E-6</v>
      </c>
      <c r="J11" t="s">
        <v>8</v>
      </c>
      <c r="K11">
        <v>0.3</v>
      </c>
      <c r="L11" t="s">
        <v>12</v>
      </c>
      <c r="M11" t="s">
        <v>56</v>
      </c>
    </row>
    <row r="12" spans="1:13" hidden="1">
      <c r="A12" s="8" t="str">
        <f>HYPERLINK("http://www.analog.com/zh/ad5672r#details", "AD5672R")</f>
        <v>AD5672R</v>
      </c>
      <c r="B12">
        <v>12</v>
      </c>
      <c r="C12">
        <v>8</v>
      </c>
      <c r="D12">
        <v>5.93</v>
      </c>
      <c r="E12">
        <v>-1.6000000000000001E-3</v>
      </c>
      <c r="F12" t="s">
        <v>635</v>
      </c>
      <c r="G12" t="s">
        <v>8</v>
      </c>
      <c r="H12" t="s">
        <v>8</v>
      </c>
      <c r="I12">
        <v>5.0000000000000004E-6</v>
      </c>
      <c r="J12" t="s">
        <v>8</v>
      </c>
      <c r="K12">
        <v>0.3</v>
      </c>
      <c r="L12" t="s">
        <v>12</v>
      </c>
      <c r="M12" t="s">
        <v>56</v>
      </c>
    </row>
    <row r="13" spans="1:13" hidden="1">
      <c r="A13" s="8" t="str">
        <f>HYPERLINK("http://www.analog.com/zh/ad5671r#details", "AD5671R")</f>
        <v>AD5671R</v>
      </c>
      <c r="B13">
        <v>12</v>
      </c>
      <c r="C13">
        <v>8</v>
      </c>
      <c r="D13">
        <v>5.93</v>
      </c>
      <c r="E13">
        <v>-1.6000000000000001E-3</v>
      </c>
      <c r="F13" t="s">
        <v>634</v>
      </c>
      <c r="G13" t="s">
        <v>8</v>
      </c>
      <c r="H13" t="s">
        <v>8</v>
      </c>
      <c r="I13">
        <v>5.0000000000000004E-6</v>
      </c>
      <c r="J13" t="s">
        <v>8</v>
      </c>
      <c r="K13">
        <v>0.3</v>
      </c>
      <c r="L13" t="s">
        <v>12</v>
      </c>
      <c r="M13" t="s">
        <v>56</v>
      </c>
    </row>
    <row r="14" spans="1:13" hidden="1">
      <c r="A14" s="8" t="str">
        <f>HYPERLINK("http://www.analog.com/zh/ad5693r#details", "AD5693R")</f>
        <v>AD5693R</v>
      </c>
      <c r="B14">
        <v>16</v>
      </c>
      <c r="C14">
        <v>1</v>
      </c>
      <c r="D14">
        <v>2.74</v>
      </c>
      <c r="E14" t="s">
        <v>8</v>
      </c>
      <c r="F14" t="s">
        <v>59</v>
      </c>
      <c r="G14" t="s">
        <v>60</v>
      </c>
      <c r="H14">
        <v>3</v>
      </c>
      <c r="I14">
        <v>5.0000000000000004E-6</v>
      </c>
      <c r="J14" t="s">
        <v>8</v>
      </c>
      <c r="K14" t="s">
        <v>8</v>
      </c>
      <c r="L14" t="s">
        <v>12</v>
      </c>
      <c r="M14" t="s">
        <v>61</v>
      </c>
    </row>
    <row r="15" spans="1:13" hidden="1">
      <c r="A15" s="8" t="str">
        <f>HYPERLINK("http://www.analog.com/zh/ad5693#details", "AD5693")</f>
        <v>AD5693</v>
      </c>
      <c r="B15">
        <v>16</v>
      </c>
      <c r="C15">
        <v>1</v>
      </c>
      <c r="D15">
        <v>2.5</v>
      </c>
      <c r="E15" t="s">
        <v>8</v>
      </c>
      <c r="F15" t="s">
        <v>59</v>
      </c>
      <c r="G15" t="s">
        <v>60</v>
      </c>
      <c r="H15">
        <v>3</v>
      </c>
      <c r="I15">
        <v>5.0000000000000004E-6</v>
      </c>
      <c r="J15" t="s">
        <v>8</v>
      </c>
      <c r="K15" t="s">
        <v>8</v>
      </c>
      <c r="L15" t="s">
        <v>12</v>
      </c>
      <c r="M15" t="s">
        <v>63</v>
      </c>
    </row>
    <row r="16" spans="1:13" hidden="1">
      <c r="A16" s="8" t="str">
        <f>HYPERLINK("http://www.analog.com/zh/ad5692r#details", "AD5692R")</f>
        <v>AD5692R</v>
      </c>
      <c r="B16">
        <v>14</v>
      </c>
      <c r="C16">
        <v>1</v>
      </c>
      <c r="D16">
        <v>2</v>
      </c>
      <c r="E16" t="s">
        <v>8</v>
      </c>
      <c r="F16" t="s">
        <v>59</v>
      </c>
      <c r="G16" t="s">
        <v>60</v>
      </c>
      <c r="H16">
        <v>4</v>
      </c>
      <c r="I16">
        <v>5.0000000000000004E-6</v>
      </c>
      <c r="J16" t="s">
        <v>8</v>
      </c>
      <c r="K16" t="s">
        <v>8</v>
      </c>
      <c r="L16" t="s">
        <v>12</v>
      </c>
      <c r="M16" t="s">
        <v>63</v>
      </c>
    </row>
    <row r="17" spans="1:13" hidden="1">
      <c r="A17" s="8" t="str">
        <f>HYPERLINK("http://www.analog.com/zh/ad5691r#details", "AD5691R")</f>
        <v>AD5691R</v>
      </c>
      <c r="B17">
        <v>12</v>
      </c>
      <c r="C17">
        <v>1</v>
      </c>
      <c r="D17">
        <v>1.74</v>
      </c>
      <c r="E17" t="s">
        <v>8</v>
      </c>
      <c r="F17" t="s">
        <v>59</v>
      </c>
      <c r="G17" t="s">
        <v>60</v>
      </c>
      <c r="H17">
        <v>1</v>
      </c>
      <c r="I17">
        <v>5.0000000000000004E-6</v>
      </c>
      <c r="J17" t="s">
        <v>8</v>
      </c>
      <c r="K17" t="s">
        <v>8</v>
      </c>
      <c r="L17" t="s">
        <v>12</v>
      </c>
      <c r="M17" t="s">
        <v>61</v>
      </c>
    </row>
    <row r="18" spans="1:13" hidden="1">
      <c r="A18" s="8" t="str">
        <f>HYPERLINK("http://www.analog.com/zh/ad5683r#details", "AD5683R")</f>
        <v>AD5683R</v>
      </c>
      <c r="B18">
        <v>16</v>
      </c>
      <c r="C18">
        <v>1</v>
      </c>
      <c r="D18">
        <v>2.74</v>
      </c>
      <c r="E18" t="s">
        <v>8</v>
      </c>
      <c r="F18" t="s">
        <v>636</v>
      </c>
      <c r="G18" t="s">
        <v>60</v>
      </c>
      <c r="H18">
        <v>2</v>
      </c>
      <c r="I18">
        <v>5.0000000000000004E-6</v>
      </c>
      <c r="J18" t="s">
        <v>8</v>
      </c>
      <c r="K18" t="s">
        <v>8</v>
      </c>
      <c r="L18" t="s">
        <v>12</v>
      </c>
      <c r="M18" t="s">
        <v>61</v>
      </c>
    </row>
    <row r="19" spans="1:13" hidden="1">
      <c r="A19" s="8" t="str">
        <f>HYPERLINK("http://www.analog.com/zh/ad5683#details", "AD5683")</f>
        <v>AD5683</v>
      </c>
      <c r="B19">
        <v>16</v>
      </c>
      <c r="C19">
        <v>1</v>
      </c>
      <c r="D19">
        <v>2.5</v>
      </c>
      <c r="E19" t="s">
        <v>8</v>
      </c>
      <c r="F19" t="s">
        <v>636</v>
      </c>
      <c r="G19" t="s">
        <v>60</v>
      </c>
      <c r="H19">
        <v>2</v>
      </c>
      <c r="I19">
        <v>5.0000000000000004E-6</v>
      </c>
      <c r="J19" t="s">
        <v>8</v>
      </c>
      <c r="K19" t="s">
        <v>8</v>
      </c>
      <c r="L19" t="s">
        <v>12</v>
      </c>
      <c r="M19" t="s">
        <v>63</v>
      </c>
    </row>
    <row r="20" spans="1:13" hidden="1">
      <c r="A20" s="8" t="str">
        <f>HYPERLINK("http://www.analog.com/zh/ad5682r#details", "AD5682R")</f>
        <v>AD5682R</v>
      </c>
      <c r="B20">
        <v>14</v>
      </c>
      <c r="C20">
        <v>1</v>
      </c>
      <c r="D20">
        <v>2.2999999999999998</v>
      </c>
      <c r="E20" t="s">
        <v>8</v>
      </c>
      <c r="F20" t="s">
        <v>636</v>
      </c>
      <c r="G20" t="s">
        <v>60</v>
      </c>
      <c r="H20">
        <v>1</v>
      </c>
      <c r="I20">
        <v>5.0000000000000004E-6</v>
      </c>
      <c r="J20" t="s">
        <v>8</v>
      </c>
      <c r="K20" t="s">
        <v>8</v>
      </c>
      <c r="L20" t="s">
        <v>12</v>
      </c>
      <c r="M20" t="s">
        <v>63</v>
      </c>
    </row>
    <row r="21" spans="1:13" hidden="1">
      <c r="A21" s="8" t="str">
        <f>HYPERLINK("http://www.analog.com/zh/ad5681r#details", "AD5681R")</f>
        <v>AD5681R</v>
      </c>
      <c r="B21">
        <v>12</v>
      </c>
      <c r="C21">
        <v>1</v>
      </c>
      <c r="D21">
        <v>1.9</v>
      </c>
      <c r="E21" t="s">
        <v>8</v>
      </c>
      <c r="F21" t="s">
        <v>636</v>
      </c>
      <c r="G21" t="s">
        <v>60</v>
      </c>
      <c r="H21">
        <v>1</v>
      </c>
      <c r="I21">
        <v>5.0000000000000004E-6</v>
      </c>
      <c r="J21" t="s">
        <v>8</v>
      </c>
      <c r="K21" t="s">
        <v>8</v>
      </c>
      <c r="L21" t="s">
        <v>12</v>
      </c>
      <c r="M21" t="s">
        <v>69</v>
      </c>
    </row>
    <row r="22" spans="1:13" hidden="1">
      <c r="A22" s="8" t="str">
        <f>HYPERLINK("http://www.analog.com/zh/ad5311r#details", "AD5311R")</f>
        <v>AD5311R</v>
      </c>
      <c r="B22">
        <v>10</v>
      </c>
      <c r="C22">
        <v>1</v>
      </c>
      <c r="D22">
        <v>1.29</v>
      </c>
      <c r="E22" t="s">
        <v>8</v>
      </c>
      <c r="F22" t="s">
        <v>637</v>
      </c>
      <c r="G22" t="s">
        <v>72</v>
      </c>
      <c r="H22">
        <v>4</v>
      </c>
      <c r="I22">
        <v>6.9999999999999999E-6</v>
      </c>
      <c r="J22" t="s">
        <v>8</v>
      </c>
      <c r="K22">
        <v>7.5000000000000002E-4</v>
      </c>
      <c r="L22" t="s">
        <v>12</v>
      </c>
      <c r="M22" t="s">
        <v>75</v>
      </c>
    </row>
    <row r="23" spans="1:13" hidden="1">
      <c r="A23" s="8" t="str">
        <f>HYPERLINK("http://www.analog.com/zh/ad5310r#details", "AD5310R")</f>
        <v>AD5310R</v>
      </c>
      <c r="B23">
        <v>10</v>
      </c>
      <c r="C23">
        <v>1</v>
      </c>
      <c r="D23">
        <v>1.29</v>
      </c>
      <c r="E23" t="s">
        <v>8</v>
      </c>
      <c r="F23" t="s">
        <v>637</v>
      </c>
      <c r="G23" t="s">
        <v>72</v>
      </c>
      <c r="H23">
        <v>4</v>
      </c>
      <c r="I23">
        <v>6.9999999999999999E-6</v>
      </c>
      <c r="J23" t="s">
        <v>8</v>
      </c>
      <c r="K23">
        <v>7.5000000000000002E-4</v>
      </c>
      <c r="L23" t="s">
        <v>12</v>
      </c>
      <c r="M23" t="s">
        <v>75</v>
      </c>
    </row>
    <row r="24" spans="1:13" hidden="1">
      <c r="A24" s="8" t="str">
        <f>HYPERLINK("http://www.analog.com/zh/ad5697r#details", "AD5697R")</f>
        <v>AD5697R</v>
      </c>
      <c r="B24">
        <v>12</v>
      </c>
      <c r="C24">
        <v>2</v>
      </c>
      <c r="D24">
        <v>2.8</v>
      </c>
      <c r="E24" t="s">
        <v>8</v>
      </c>
      <c r="F24" t="s">
        <v>634</v>
      </c>
      <c r="G24" t="s">
        <v>638</v>
      </c>
      <c r="H24">
        <v>1</v>
      </c>
      <c r="I24">
        <v>5.0000000000000004E-6</v>
      </c>
      <c r="J24">
        <v>400000</v>
      </c>
      <c r="K24">
        <v>7.1999999999999998E-3</v>
      </c>
      <c r="L24" t="s">
        <v>12</v>
      </c>
      <c r="M24" t="s">
        <v>43</v>
      </c>
    </row>
    <row r="25" spans="1:13" hidden="1">
      <c r="A25" s="8" t="str">
        <f>HYPERLINK("http://www.analog.com/zh/ad5689r#details", "AD5689R")</f>
        <v>AD5689R</v>
      </c>
      <c r="B25">
        <v>16</v>
      </c>
      <c r="C25">
        <v>2</v>
      </c>
      <c r="D25">
        <v>3.73</v>
      </c>
      <c r="E25" t="s">
        <v>8</v>
      </c>
      <c r="F25" t="s">
        <v>636</v>
      </c>
      <c r="G25" t="s">
        <v>638</v>
      </c>
      <c r="H25">
        <v>3</v>
      </c>
      <c r="I25">
        <v>5.0000000000000004E-6</v>
      </c>
      <c r="J25" t="s">
        <v>8</v>
      </c>
      <c r="K25">
        <v>7.1999999999999998E-3</v>
      </c>
      <c r="L25" t="s">
        <v>12</v>
      </c>
      <c r="M25" t="s">
        <v>43</v>
      </c>
    </row>
    <row r="26" spans="1:13" hidden="1">
      <c r="A26" s="8" t="str">
        <f>HYPERLINK("http://www.analog.com/zh/ad5689#details", "AD5689")</f>
        <v>AD5689</v>
      </c>
      <c r="B26">
        <v>16</v>
      </c>
      <c r="C26">
        <v>2</v>
      </c>
      <c r="D26">
        <v>4.18</v>
      </c>
      <c r="E26" t="s">
        <v>8</v>
      </c>
      <c r="F26" t="s">
        <v>636</v>
      </c>
      <c r="G26" t="s">
        <v>638</v>
      </c>
      <c r="H26">
        <v>3</v>
      </c>
      <c r="I26">
        <v>5.0000000000000004E-6</v>
      </c>
      <c r="J26" t="s">
        <v>8</v>
      </c>
      <c r="K26">
        <v>3.8999999999999998E-3</v>
      </c>
      <c r="L26" t="s">
        <v>12</v>
      </c>
      <c r="M26" t="s">
        <v>45</v>
      </c>
    </row>
    <row r="27" spans="1:13" hidden="1">
      <c r="A27" s="8" t="str">
        <f>HYPERLINK("http://www.analog.com/zh/ad5687r#details", "AD5687R")</f>
        <v>AD5687R</v>
      </c>
      <c r="B27">
        <v>12</v>
      </c>
      <c r="C27">
        <v>2</v>
      </c>
      <c r="D27">
        <v>2.8</v>
      </c>
      <c r="E27" t="s">
        <v>8</v>
      </c>
      <c r="F27" t="s">
        <v>636</v>
      </c>
      <c r="G27" t="s">
        <v>638</v>
      </c>
      <c r="H27">
        <v>1</v>
      </c>
      <c r="I27">
        <v>5.0000000000000004E-6</v>
      </c>
      <c r="J27" t="s">
        <v>8</v>
      </c>
      <c r="K27">
        <v>7.1999999999999998E-3</v>
      </c>
      <c r="L27" t="s">
        <v>12</v>
      </c>
      <c r="M27" t="s">
        <v>45</v>
      </c>
    </row>
    <row r="28" spans="1:13" hidden="1">
      <c r="A28" s="8" t="str">
        <f>HYPERLINK("http://www.analog.com/zh/ad5687#details", "AD5687")</f>
        <v>AD5687</v>
      </c>
      <c r="B28">
        <v>12</v>
      </c>
      <c r="C28">
        <v>2</v>
      </c>
      <c r="D28">
        <v>2.5</v>
      </c>
      <c r="E28" t="s">
        <v>8</v>
      </c>
      <c r="F28" t="s">
        <v>636</v>
      </c>
      <c r="G28" t="s">
        <v>638</v>
      </c>
      <c r="H28">
        <v>1</v>
      </c>
      <c r="I28">
        <v>5.0000000000000004E-6</v>
      </c>
      <c r="J28" t="s">
        <v>8</v>
      </c>
      <c r="K28">
        <v>3.8999999999999998E-3</v>
      </c>
      <c r="L28" t="s">
        <v>12</v>
      </c>
      <c r="M28" t="s">
        <v>43</v>
      </c>
    </row>
    <row r="29" spans="1:13" hidden="1">
      <c r="A29" s="8" t="str">
        <f>HYPERLINK("http://www.analog.com/zh/ad5338r#details", "AD5338R")</f>
        <v>AD5338R</v>
      </c>
      <c r="B29">
        <v>10</v>
      </c>
      <c r="C29">
        <v>2</v>
      </c>
      <c r="D29">
        <v>1.96</v>
      </c>
      <c r="E29" t="s">
        <v>8</v>
      </c>
      <c r="F29" t="s">
        <v>634</v>
      </c>
      <c r="G29" t="s">
        <v>638</v>
      </c>
      <c r="H29">
        <v>0.5</v>
      </c>
      <c r="I29">
        <v>5.0000000000000004E-6</v>
      </c>
      <c r="J29">
        <v>14800</v>
      </c>
      <c r="K29">
        <v>1.65E-3</v>
      </c>
      <c r="L29" t="s">
        <v>12</v>
      </c>
      <c r="M29" t="s">
        <v>45</v>
      </c>
    </row>
    <row r="30" spans="1:13" hidden="1">
      <c r="A30" s="8" t="str">
        <f>HYPERLINK("http://www.analog.com/zh/ad5313r#details", "AD5313R")</f>
        <v>AD5313R</v>
      </c>
      <c r="B30">
        <v>10</v>
      </c>
      <c r="C30">
        <v>2</v>
      </c>
      <c r="D30">
        <v>1.96</v>
      </c>
      <c r="E30" t="s">
        <v>8</v>
      </c>
      <c r="F30" t="s">
        <v>636</v>
      </c>
      <c r="G30" t="s">
        <v>638</v>
      </c>
      <c r="H30">
        <v>0.5</v>
      </c>
      <c r="I30">
        <v>5.0000000000000004E-6</v>
      </c>
      <c r="J30">
        <v>143000</v>
      </c>
      <c r="K30">
        <v>1.5E-3</v>
      </c>
      <c r="L30" t="s">
        <v>12</v>
      </c>
      <c r="M30" t="s">
        <v>43</v>
      </c>
    </row>
    <row r="31" spans="1:13" hidden="1">
      <c r="A31" s="8" t="str">
        <f>HYPERLINK("http://www.analog.com/zh/ad5535b#details", "AD5535B")</f>
        <v>AD5535B</v>
      </c>
      <c r="B31">
        <v>14</v>
      </c>
      <c r="C31">
        <v>32</v>
      </c>
      <c r="D31">
        <v>96</v>
      </c>
      <c r="E31" t="s">
        <v>8</v>
      </c>
      <c r="F31" t="s">
        <v>88</v>
      </c>
      <c r="G31" t="s">
        <v>639</v>
      </c>
      <c r="H31" t="s">
        <v>8</v>
      </c>
      <c r="I31" t="s">
        <v>8</v>
      </c>
      <c r="J31" t="s">
        <v>8</v>
      </c>
      <c r="K31" t="s">
        <v>8</v>
      </c>
      <c r="L31" t="s">
        <v>12</v>
      </c>
      <c r="M31" t="s">
        <v>90</v>
      </c>
    </row>
    <row r="32" spans="1:13" hidden="1">
      <c r="A32" s="8" t="str">
        <f>HYPERLINK("http://www.analog.com/zh/ad5696#details", "AD5696")</f>
        <v>AD5696</v>
      </c>
      <c r="B32">
        <v>16</v>
      </c>
      <c r="C32">
        <v>4</v>
      </c>
      <c r="D32">
        <v>7.86</v>
      </c>
      <c r="E32" t="s">
        <v>8</v>
      </c>
      <c r="F32" t="s">
        <v>634</v>
      </c>
      <c r="G32" t="s">
        <v>638</v>
      </c>
      <c r="H32">
        <v>1</v>
      </c>
      <c r="I32">
        <v>5.0000000000000004E-6</v>
      </c>
      <c r="J32" t="s">
        <v>8</v>
      </c>
      <c r="K32" t="s">
        <v>8</v>
      </c>
      <c r="L32" t="s">
        <v>12</v>
      </c>
      <c r="M32" t="s">
        <v>45</v>
      </c>
    </row>
    <row r="33" spans="1:13" hidden="1">
      <c r="A33" s="8" t="str">
        <f>HYPERLINK("http://www.analog.com/zh/ad5694#details", "AD5694")</f>
        <v>AD5694</v>
      </c>
      <c r="B33">
        <v>12</v>
      </c>
      <c r="C33">
        <v>4</v>
      </c>
      <c r="D33">
        <v>4.5999999999999996</v>
      </c>
      <c r="E33" t="s">
        <v>8</v>
      </c>
      <c r="F33" t="s">
        <v>634</v>
      </c>
      <c r="G33" t="s">
        <v>638</v>
      </c>
      <c r="H33">
        <v>1</v>
      </c>
      <c r="I33">
        <v>5.0000000000000004E-6</v>
      </c>
      <c r="J33" t="s">
        <v>8</v>
      </c>
      <c r="K33" t="s">
        <v>8</v>
      </c>
      <c r="L33" t="s">
        <v>12</v>
      </c>
      <c r="M33" t="s">
        <v>43</v>
      </c>
    </row>
    <row r="34" spans="1:13" hidden="1">
      <c r="A34" s="8" t="str">
        <f>HYPERLINK("http://www.analog.com/zh/ad5686#details", "AD5686")</f>
        <v>AD5686</v>
      </c>
      <c r="B34">
        <v>16</v>
      </c>
      <c r="C34">
        <v>4</v>
      </c>
      <c r="D34">
        <v>7.86</v>
      </c>
      <c r="E34" t="s">
        <v>8</v>
      </c>
      <c r="F34" t="s">
        <v>640</v>
      </c>
      <c r="G34" t="s">
        <v>638</v>
      </c>
      <c r="H34">
        <v>3</v>
      </c>
      <c r="I34">
        <v>5.0000000000000004E-6</v>
      </c>
      <c r="J34" t="s">
        <v>8</v>
      </c>
      <c r="K34" t="s">
        <v>8</v>
      </c>
      <c r="L34" t="s">
        <v>12</v>
      </c>
      <c r="M34" t="s">
        <v>45</v>
      </c>
    </row>
    <row r="35" spans="1:13" hidden="1">
      <c r="A35" s="8" t="str">
        <f>HYPERLINK("http://www.analog.com/zh/ad5684#details", "AD5684")</f>
        <v>AD5684</v>
      </c>
      <c r="B35">
        <v>12</v>
      </c>
      <c r="C35">
        <v>4</v>
      </c>
      <c r="D35">
        <v>4.5999999999999996</v>
      </c>
      <c r="E35" t="s">
        <v>8</v>
      </c>
      <c r="F35" t="s">
        <v>636</v>
      </c>
      <c r="G35" t="s">
        <v>638</v>
      </c>
      <c r="H35">
        <v>1</v>
      </c>
      <c r="I35">
        <v>5.0000000000000004E-6</v>
      </c>
      <c r="J35" t="s">
        <v>8</v>
      </c>
      <c r="K35" t="s">
        <v>8</v>
      </c>
      <c r="L35" t="s">
        <v>12</v>
      </c>
      <c r="M35" t="s">
        <v>45</v>
      </c>
    </row>
    <row r="36" spans="1:13" hidden="1">
      <c r="A36" s="8" t="str">
        <f>HYPERLINK("http://www.analog.com/zh/ad5317r#details", "AD5317R")</f>
        <v>AD5317R</v>
      </c>
      <c r="B36">
        <v>10</v>
      </c>
      <c r="C36">
        <v>4</v>
      </c>
      <c r="D36">
        <v>2.88</v>
      </c>
      <c r="E36" t="s">
        <v>8</v>
      </c>
      <c r="F36" t="s">
        <v>636</v>
      </c>
      <c r="G36" t="s">
        <v>95</v>
      </c>
      <c r="H36">
        <v>0.5</v>
      </c>
      <c r="I36">
        <v>5.0000000000000004E-6</v>
      </c>
      <c r="J36" t="s">
        <v>8</v>
      </c>
      <c r="K36" t="s">
        <v>8</v>
      </c>
      <c r="L36" t="s">
        <v>12</v>
      </c>
      <c r="M36" t="s">
        <v>45</v>
      </c>
    </row>
    <row r="37" spans="1:13" hidden="1">
      <c r="A37" s="8" t="str">
        <f>HYPERLINK("http://www.analog.com/zh/ad5316r#details", "AD5316R")</f>
        <v>AD5316R</v>
      </c>
      <c r="B37">
        <v>10</v>
      </c>
      <c r="C37">
        <v>4</v>
      </c>
      <c r="D37">
        <v>2.88</v>
      </c>
      <c r="E37" t="s">
        <v>8</v>
      </c>
      <c r="F37" t="s">
        <v>634</v>
      </c>
      <c r="G37" t="s">
        <v>95</v>
      </c>
      <c r="H37">
        <v>0.5</v>
      </c>
      <c r="I37">
        <v>5.0000000000000004E-6</v>
      </c>
      <c r="J37" t="s">
        <v>8</v>
      </c>
      <c r="K37" t="s">
        <v>8</v>
      </c>
      <c r="L37" t="s">
        <v>12</v>
      </c>
      <c r="M37" t="s">
        <v>43</v>
      </c>
    </row>
    <row r="38" spans="1:13" hidden="1">
      <c r="A38" s="8" t="str">
        <f>HYPERLINK("http://www.analog.com/zh/ad5696r#details", "AD5696R")</f>
        <v>AD5696R</v>
      </c>
      <c r="B38">
        <v>16</v>
      </c>
      <c r="C38">
        <v>4</v>
      </c>
      <c r="D38">
        <v>8.06</v>
      </c>
      <c r="E38" t="s">
        <v>8</v>
      </c>
      <c r="F38" t="s">
        <v>634</v>
      </c>
      <c r="G38" t="s">
        <v>638</v>
      </c>
      <c r="H38">
        <v>3</v>
      </c>
      <c r="I38">
        <v>5.0000000000000004E-6</v>
      </c>
      <c r="J38">
        <v>2500000</v>
      </c>
      <c r="K38">
        <v>7.1999999999999998E-3</v>
      </c>
      <c r="L38" t="s">
        <v>12</v>
      </c>
      <c r="M38" t="s">
        <v>43</v>
      </c>
    </row>
    <row r="39" spans="1:13" hidden="1">
      <c r="A39" s="8" t="str">
        <f>HYPERLINK("http://www.analog.com/zh/ad5695r#details", "AD5695R")</f>
        <v>AD5695R</v>
      </c>
      <c r="B39">
        <v>14</v>
      </c>
      <c r="C39">
        <v>4</v>
      </c>
      <c r="D39">
        <v>5.76</v>
      </c>
      <c r="E39" t="s">
        <v>8</v>
      </c>
      <c r="F39" t="s">
        <v>634</v>
      </c>
      <c r="G39" t="s">
        <v>638</v>
      </c>
      <c r="H39">
        <v>1</v>
      </c>
      <c r="I39">
        <v>5.0000000000000004E-6</v>
      </c>
      <c r="J39" t="s">
        <v>8</v>
      </c>
      <c r="K39">
        <v>7.1999999999999998E-3</v>
      </c>
      <c r="L39" t="s">
        <v>12</v>
      </c>
      <c r="M39" t="s">
        <v>43</v>
      </c>
    </row>
    <row r="40" spans="1:13" hidden="1">
      <c r="A40" s="8" t="str">
        <f>HYPERLINK("http://www.analog.com/zh/ad5694r#details", "AD5694R")</f>
        <v>AD5694R</v>
      </c>
      <c r="B40">
        <v>12</v>
      </c>
      <c r="C40">
        <v>4</v>
      </c>
      <c r="D40">
        <v>4.8</v>
      </c>
      <c r="E40" t="s">
        <v>8</v>
      </c>
      <c r="F40" t="s">
        <v>634</v>
      </c>
      <c r="G40" t="s">
        <v>638</v>
      </c>
      <c r="H40">
        <v>1</v>
      </c>
      <c r="I40">
        <v>5.0000000000000004E-6</v>
      </c>
      <c r="J40" t="s">
        <v>8</v>
      </c>
      <c r="K40">
        <v>7.1999999999999998E-3</v>
      </c>
      <c r="L40" t="s">
        <v>12</v>
      </c>
      <c r="M40" t="s">
        <v>45</v>
      </c>
    </row>
    <row r="41" spans="1:13" hidden="1">
      <c r="A41" s="8" t="str">
        <f>HYPERLINK("http://www.analog.com/zh/ad5686r#details", "AD5686R")</f>
        <v>AD5686R</v>
      </c>
      <c r="B41">
        <v>16</v>
      </c>
      <c r="C41">
        <v>4</v>
      </c>
      <c r="D41">
        <v>8.06</v>
      </c>
      <c r="E41" t="s">
        <v>8</v>
      </c>
      <c r="F41" t="s">
        <v>636</v>
      </c>
      <c r="G41" t="s">
        <v>638</v>
      </c>
      <c r="H41">
        <v>1</v>
      </c>
      <c r="I41">
        <v>5.0000000000000004E-6</v>
      </c>
      <c r="J41" t="s">
        <v>8</v>
      </c>
      <c r="K41">
        <v>7.1500000000000001E-3</v>
      </c>
      <c r="L41" t="s">
        <v>12</v>
      </c>
      <c r="M41" t="s">
        <v>45</v>
      </c>
    </row>
    <row r="42" spans="1:13" hidden="1">
      <c r="A42" s="8" t="str">
        <f>HYPERLINK("http://www.analog.com/zh/ad5685r#details", "AD5685R")</f>
        <v>AD5685R</v>
      </c>
      <c r="B42">
        <v>14</v>
      </c>
      <c r="C42">
        <v>4</v>
      </c>
      <c r="D42">
        <v>5.76</v>
      </c>
      <c r="E42" t="s">
        <v>8</v>
      </c>
      <c r="F42" t="s">
        <v>636</v>
      </c>
      <c r="G42" t="s">
        <v>638</v>
      </c>
      <c r="H42">
        <v>1</v>
      </c>
      <c r="I42">
        <v>5.0000000000000004E-6</v>
      </c>
      <c r="J42" t="s">
        <v>8</v>
      </c>
      <c r="K42">
        <v>7.1500000000000001E-3</v>
      </c>
      <c r="L42" t="s">
        <v>12</v>
      </c>
      <c r="M42" t="s">
        <v>45</v>
      </c>
    </row>
    <row r="43" spans="1:13" hidden="1">
      <c r="A43" s="8" t="str">
        <f>HYPERLINK("http://www.analog.com/zh/ad5684r#details", "AD5684R")</f>
        <v>AD5684R</v>
      </c>
      <c r="B43">
        <v>12</v>
      </c>
      <c r="C43">
        <v>4</v>
      </c>
      <c r="D43">
        <v>4.8</v>
      </c>
      <c r="E43" t="s">
        <v>8</v>
      </c>
      <c r="F43" t="s">
        <v>636</v>
      </c>
      <c r="G43" t="s">
        <v>638</v>
      </c>
      <c r="H43">
        <v>3</v>
      </c>
      <c r="I43">
        <v>5.0000000000000004E-6</v>
      </c>
      <c r="J43">
        <v>1000000</v>
      </c>
      <c r="K43">
        <v>7.1999999999999998E-3</v>
      </c>
      <c r="L43" t="s">
        <v>12</v>
      </c>
      <c r="M43" t="s">
        <v>45</v>
      </c>
    </row>
    <row r="44" spans="1:13">
      <c r="A44" s="8" t="str">
        <f>HYPERLINK("http://www.analog.com/zh/ad5790#details", "AD5790")</f>
        <v>AD5790</v>
      </c>
      <c r="B44">
        <v>20</v>
      </c>
      <c r="C44">
        <v>1</v>
      </c>
      <c r="D44">
        <v>67.5</v>
      </c>
      <c r="E44" t="s">
        <v>8</v>
      </c>
      <c r="F44" t="s">
        <v>636</v>
      </c>
      <c r="G44" t="s">
        <v>103</v>
      </c>
      <c r="H44">
        <v>3</v>
      </c>
      <c r="I44">
        <v>2.5000000000000002E-6</v>
      </c>
      <c r="J44" t="s">
        <v>8</v>
      </c>
      <c r="K44" t="s">
        <v>8</v>
      </c>
      <c r="L44" t="s">
        <v>631</v>
      </c>
      <c r="M44" t="s">
        <v>105</v>
      </c>
    </row>
    <row r="45" spans="1:13">
      <c r="A45" s="8" t="str">
        <f>HYPERLINK("http://www.analog.com/zh/ad5780#details", "AD5780")</f>
        <v>AD5780</v>
      </c>
      <c r="B45" s="10">
        <v>18</v>
      </c>
      <c r="C45" s="10">
        <v>1</v>
      </c>
      <c r="D45" s="10">
        <v>19.5</v>
      </c>
      <c r="E45" t="s">
        <v>8</v>
      </c>
      <c r="F45" t="s">
        <v>636</v>
      </c>
      <c r="G45" t="s">
        <v>103</v>
      </c>
      <c r="H45">
        <v>1</v>
      </c>
      <c r="I45">
        <v>2.5000000000000002E-6</v>
      </c>
      <c r="J45" t="s">
        <v>8</v>
      </c>
      <c r="K45" t="s">
        <v>8</v>
      </c>
      <c r="L45" t="s">
        <v>631</v>
      </c>
      <c r="M45" t="s">
        <v>105</v>
      </c>
    </row>
    <row r="46" spans="1:13" hidden="1">
      <c r="A46" s="8" t="str">
        <f>HYPERLINK("http://www.analog.com/zh/ad5760#details", "AD5760")</f>
        <v>AD5760</v>
      </c>
      <c r="B46">
        <v>16</v>
      </c>
      <c r="C46">
        <v>1</v>
      </c>
      <c r="D46">
        <v>8.9499999999999993</v>
      </c>
      <c r="E46" t="s">
        <v>8</v>
      </c>
      <c r="F46" t="s">
        <v>632</v>
      </c>
      <c r="G46" t="s">
        <v>103</v>
      </c>
      <c r="H46">
        <v>0.5</v>
      </c>
      <c r="I46">
        <v>2.5000000000000002E-6</v>
      </c>
      <c r="J46" t="s">
        <v>8</v>
      </c>
      <c r="K46" t="s">
        <v>8</v>
      </c>
      <c r="L46" t="s">
        <v>631</v>
      </c>
      <c r="M46" t="s">
        <v>105</v>
      </c>
    </row>
    <row r="47" spans="1:13" hidden="1">
      <c r="A47" s="8" t="str">
        <f>HYPERLINK("http://www.analog.com/zh/ad5669r#details", "AD5669R")</f>
        <v>AD5669R</v>
      </c>
      <c r="B47">
        <v>16</v>
      </c>
      <c r="C47">
        <v>8</v>
      </c>
      <c r="D47">
        <v>12.3</v>
      </c>
      <c r="E47" t="s">
        <v>8</v>
      </c>
      <c r="F47" t="s">
        <v>634</v>
      </c>
      <c r="G47" t="s">
        <v>109</v>
      </c>
      <c r="H47">
        <v>16</v>
      </c>
      <c r="I47">
        <v>2.5000000000000002E-6</v>
      </c>
      <c r="J47">
        <v>166000</v>
      </c>
      <c r="K47">
        <v>1.38E-2</v>
      </c>
      <c r="L47" t="s">
        <v>12</v>
      </c>
      <c r="M47" t="s">
        <v>112</v>
      </c>
    </row>
    <row r="48" spans="1:13" hidden="1">
      <c r="A48" s="8" t="str">
        <f>HYPERLINK("http://www.analog.com/zh/ad5629r#details", "AD5629R")</f>
        <v>AD5629R</v>
      </c>
      <c r="B48">
        <v>12</v>
      </c>
      <c r="C48">
        <v>8</v>
      </c>
      <c r="D48">
        <v>7.95</v>
      </c>
      <c r="E48" t="s">
        <v>8</v>
      </c>
      <c r="F48" t="s">
        <v>634</v>
      </c>
      <c r="G48" t="s">
        <v>109</v>
      </c>
      <c r="H48">
        <v>1</v>
      </c>
      <c r="I48">
        <v>2.5000000000000002E-6</v>
      </c>
      <c r="J48">
        <v>166000</v>
      </c>
      <c r="K48">
        <v>1.3899999999999999E-2</v>
      </c>
      <c r="L48" t="s">
        <v>12</v>
      </c>
      <c r="M48" t="s">
        <v>115</v>
      </c>
    </row>
    <row r="49" spans="1:13" hidden="1">
      <c r="A49" s="8" t="str">
        <f>HYPERLINK("http://www.analog.com/zh/ad5542a#details", "AD5542A")</f>
        <v>AD5542A</v>
      </c>
      <c r="B49">
        <v>16</v>
      </c>
      <c r="C49">
        <v>1</v>
      </c>
      <c r="D49">
        <v>6.25</v>
      </c>
      <c r="E49" t="s">
        <v>8</v>
      </c>
      <c r="F49" t="s">
        <v>636</v>
      </c>
      <c r="G49" t="s">
        <v>103</v>
      </c>
      <c r="H49">
        <v>1</v>
      </c>
      <c r="I49" t="s">
        <v>8</v>
      </c>
      <c r="J49">
        <v>3000000</v>
      </c>
      <c r="K49">
        <v>1.5E-3</v>
      </c>
      <c r="L49" t="s">
        <v>631</v>
      </c>
      <c r="M49" t="s">
        <v>118</v>
      </c>
    </row>
    <row r="50" spans="1:13" hidden="1">
      <c r="A50" s="8" t="str">
        <f>HYPERLINK("http://www.analog.com/zh/ad5512a#details", "AD5512A")</f>
        <v>AD5512A</v>
      </c>
      <c r="B50">
        <v>12</v>
      </c>
      <c r="C50">
        <v>1</v>
      </c>
      <c r="D50">
        <v>3.12</v>
      </c>
      <c r="E50" t="s">
        <v>8</v>
      </c>
      <c r="F50" t="s">
        <v>636</v>
      </c>
      <c r="G50" t="s">
        <v>103</v>
      </c>
      <c r="H50">
        <v>1</v>
      </c>
      <c r="I50" t="s">
        <v>8</v>
      </c>
      <c r="J50" t="s">
        <v>8</v>
      </c>
      <c r="K50">
        <v>1.5E-3</v>
      </c>
      <c r="L50" t="s">
        <v>631</v>
      </c>
      <c r="M50" t="s">
        <v>120</v>
      </c>
    </row>
    <row r="51" spans="1:13">
      <c r="A51" s="8" t="str">
        <f>HYPERLINK("http://www.analog.com/zh/ad5791#details", "AD5791")</f>
        <v>AD5791</v>
      </c>
      <c r="B51">
        <v>20</v>
      </c>
      <c r="C51">
        <v>1</v>
      </c>
      <c r="D51">
        <v>37.86</v>
      </c>
      <c r="E51" t="s">
        <v>8</v>
      </c>
      <c r="F51" t="s">
        <v>636</v>
      </c>
      <c r="G51" t="s">
        <v>103</v>
      </c>
      <c r="H51">
        <v>1.5</v>
      </c>
      <c r="I51">
        <v>9.9999999999999995E-7</v>
      </c>
      <c r="J51" t="s">
        <v>8</v>
      </c>
      <c r="K51">
        <v>0.1263</v>
      </c>
      <c r="L51" t="s">
        <v>631</v>
      </c>
      <c r="M51" t="s">
        <v>124</v>
      </c>
    </row>
    <row r="52" spans="1:13">
      <c r="A52" s="11" t="str">
        <f>HYPERLINK("http://www.analog.com/zh/ad5781#details", "AD5781")</f>
        <v>AD5781</v>
      </c>
      <c r="B52" s="9">
        <v>18</v>
      </c>
      <c r="C52" s="9">
        <v>1</v>
      </c>
      <c r="D52" s="9">
        <v>16.420000000000002</v>
      </c>
      <c r="E52" t="s">
        <v>8</v>
      </c>
      <c r="F52" t="s">
        <v>636</v>
      </c>
      <c r="G52" t="s">
        <v>103</v>
      </c>
      <c r="H52">
        <v>0.5</v>
      </c>
      <c r="I52">
        <v>9.9999999999999995E-7</v>
      </c>
      <c r="J52" t="s">
        <v>8</v>
      </c>
      <c r="K52">
        <v>0.12</v>
      </c>
      <c r="L52" t="s">
        <v>631</v>
      </c>
      <c r="M52" t="s">
        <v>124</v>
      </c>
    </row>
    <row r="53" spans="1:13" hidden="1">
      <c r="A53" s="8" t="str">
        <f>HYPERLINK("http://www.analog.com/zh/ad5541a#details", "AD5541A")</f>
        <v>AD5541A</v>
      </c>
      <c r="B53">
        <v>16</v>
      </c>
      <c r="C53">
        <v>1</v>
      </c>
      <c r="D53">
        <v>6.25</v>
      </c>
      <c r="E53" t="s">
        <v>8</v>
      </c>
      <c r="F53" t="s">
        <v>636</v>
      </c>
      <c r="G53" t="s">
        <v>127</v>
      </c>
      <c r="H53">
        <v>1</v>
      </c>
      <c r="I53" t="s">
        <v>8</v>
      </c>
      <c r="J53">
        <v>1000000</v>
      </c>
      <c r="K53">
        <v>6.2500000000000001E-4</v>
      </c>
      <c r="L53" t="s">
        <v>631</v>
      </c>
      <c r="M53" t="s">
        <v>129</v>
      </c>
    </row>
    <row r="54" spans="1:13" hidden="1">
      <c r="A54" s="8" t="str">
        <f>HYPERLINK("http://www.analog.com/zh/ad5504#details", "AD5504")</f>
        <v>AD5504</v>
      </c>
      <c r="B54">
        <v>12</v>
      </c>
      <c r="C54">
        <v>4</v>
      </c>
      <c r="D54">
        <v>10.220000000000001</v>
      </c>
      <c r="E54" t="s">
        <v>8</v>
      </c>
      <c r="F54" t="s">
        <v>636</v>
      </c>
      <c r="G54" t="s">
        <v>131</v>
      </c>
      <c r="H54">
        <v>2</v>
      </c>
      <c r="I54">
        <v>4.5000000000000003E-5</v>
      </c>
      <c r="J54" t="s">
        <v>8</v>
      </c>
      <c r="K54" t="s">
        <v>8</v>
      </c>
      <c r="L54" t="s">
        <v>12</v>
      </c>
      <c r="M54" t="s">
        <v>133</v>
      </c>
    </row>
    <row r="55" spans="1:13" hidden="1">
      <c r="A55" s="8" t="str">
        <f>HYPERLINK("http://www.analog.com/zh/ad5501#details", "AD5501")</f>
        <v>AD5501</v>
      </c>
      <c r="B55">
        <v>12</v>
      </c>
      <c r="C55">
        <v>1</v>
      </c>
      <c r="D55">
        <v>4.72</v>
      </c>
      <c r="E55" t="s">
        <v>8</v>
      </c>
      <c r="F55" t="s">
        <v>636</v>
      </c>
      <c r="G55" t="s">
        <v>131</v>
      </c>
      <c r="H55">
        <v>1</v>
      </c>
      <c r="I55">
        <v>4.5000000000000003E-5</v>
      </c>
      <c r="J55" t="s">
        <v>8</v>
      </c>
      <c r="K55">
        <v>4.4999999999999998E-2</v>
      </c>
      <c r="L55" t="s">
        <v>12</v>
      </c>
      <c r="M55" t="s">
        <v>133</v>
      </c>
    </row>
    <row r="56" spans="1:13" hidden="1">
      <c r="A56" s="8" t="str">
        <f>HYPERLINK("http://www.analog.com/zh/ad5066#details", "AD5066")</f>
        <v>AD5066</v>
      </c>
      <c r="B56">
        <v>16</v>
      </c>
      <c r="C56">
        <v>4</v>
      </c>
      <c r="D56">
        <v>11.99</v>
      </c>
      <c r="E56" t="s">
        <v>8</v>
      </c>
      <c r="F56" t="s">
        <v>636</v>
      </c>
      <c r="G56" t="s">
        <v>95</v>
      </c>
      <c r="H56">
        <v>2</v>
      </c>
      <c r="I56">
        <v>7.5000000000000002E-6</v>
      </c>
      <c r="J56">
        <v>500000</v>
      </c>
      <c r="K56">
        <v>1.2500000000000001E-2</v>
      </c>
      <c r="L56" t="s">
        <v>12</v>
      </c>
      <c r="M56" t="s">
        <v>133</v>
      </c>
    </row>
    <row r="57" spans="1:13" hidden="1">
      <c r="A57" s="8" t="str">
        <f>HYPERLINK("http://www.analog.com/zh/ad5724r#details", "AD5724R")</f>
        <v>AD5724R</v>
      </c>
      <c r="B57">
        <v>12</v>
      </c>
      <c r="C57">
        <v>4</v>
      </c>
      <c r="D57">
        <v>9.2200000000000006</v>
      </c>
      <c r="E57" t="s">
        <v>8</v>
      </c>
      <c r="F57" t="s">
        <v>636</v>
      </c>
      <c r="G57" t="s">
        <v>641</v>
      </c>
      <c r="H57">
        <v>1</v>
      </c>
      <c r="I57" t="s">
        <v>8</v>
      </c>
      <c r="J57">
        <v>100000</v>
      </c>
      <c r="K57" t="s">
        <v>8</v>
      </c>
      <c r="L57" t="s">
        <v>631</v>
      </c>
      <c r="M57" t="s">
        <v>143</v>
      </c>
    </row>
    <row r="58" spans="1:13" hidden="1">
      <c r="A58" s="8" t="str">
        <f>HYPERLINK("http://www.analog.com/zh/ad5754r#details", "AD5754R")</f>
        <v>AD5754R</v>
      </c>
      <c r="B58">
        <v>16</v>
      </c>
      <c r="C58">
        <v>4</v>
      </c>
      <c r="D58">
        <v>13.34</v>
      </c>
      <c r="E58" t="s">
        <v>8</v>
      </c>
      <c r="F58" t="s">
        <v>636</v>
      </c>
      <c r="G58" t="s">
        <v>641</v>
      </c>
      <c r="H58">
        <v>16</v>
      </c>
      <c r="I58">
        <v>7.5000000000000002E-6</v>
      </c>
      <c r="J58">
        <v>100000</v>
      </c>
      <c r="K58">
        <v>0.31</v>
      </c>
      <c r="L58" t="s">
        <v>631</v>
      </c>
      <c r="M58" t="s">
        <v>143</v>
      </c>
    </row>
    <row r="59" spans="1:13" hidden="1">
      <c r="A59" s="8" t="str">
        <f>HYPERLINK("http://www.analog.com/zh/ad5752r#details", "AD5752R")</f>
        <v>AD5752R</v>
      </c>
      <c r="B59">
        <v>16</v>
      </c>
      <c r="C59">
        <v>2</v>
      </c>
      <c r="D59">
        <v>9.2200000000000006</v>
      </c>
      <c r="E59" t="s">
        <v>8</v>
      </c>
      <c r="F59" t="s">
        <v>636</v>
      </c>
      <c r="G59" t="s">
        <v>641</v>
      </c>
      <c r="H59">
        <v>16</v>
      </c>
      <c r="I59">
        <v>7.5000000000000002E-6</v>
      </c>
      <c r="J59">
        <v>1070000</v>
      </c>
      <c r="K59">
        <v>0.19</v>
      </c>
      <c r="L59" t="s">
        <v>631</v>
      </c>
      <c r="M59" t="s">
        <v>143</v>
      </c>
    </row>
    <row r="60" spans="1:13" hidden="1">
      <c r="A60" s="8" t="str">
        <f>HYPERLINK("http://www.analog.com/zh/ad5734r#details", "AD5734R")</f>
        <v>AD5734R</v>
      </c>
      <c r="B60">
        <v>14</v>
      </c>
      <c r="C60">
        <v>4</v>
      </c>
      <c r="D60">
        <v>11.28</v>
      </c>
      <c r="E60" t="s">
        <v>8</v>
      </c>
      <c r="F60" t="s">
        <v>636</v>
      </c>
      <c r="G60" t="s">
        <v>641</v>
      </c>
      <c r="H60">
        <v>4</v>
      </c>
      <c r="I60">
        <v>7.5000000000000002E-6</v>
      </c>
      <c r="J60">
        <v>100000</v>
      </c>
      <c r="K60">
        <v>0.31</v>
      </c>
      <c r="L60" t="s">
        <v>631</v>
      </c>
      <c r="M60" t="s">
        <v>143</v>
      </c>
    </row>
    <row r="61" spans="1:13" hidden="1">
      <c r="A61" s="8" t="str">
        <f>HYPERLINK("http://www.analog.com/zh/ad5732r#details", "AD5732R")</f>
        <v>AD5732R</v>
      </c>
      <c r="B61">
        <v>14</v>
      </c>
      <c r="C61">
        <v>2</v>
      </c>
      <c r="D61">
        <v>7.73</v>
      </c>
      <c r="E61" t="s">
        <v>8</v>
      </c>
      <c r="F61" t="s">
        <v>636</v>
      </c>
      <c r="G61" t="s">
        <v>641</v>
      </c>
      <c r="H61">
        <v>4</v>
      </c>
      <c r="I61">
        <v>7.5000000000000002E-6</v>
      </c>
      <c r="J61">
        <v>1070000</v>
      </c>
      <c r="K61">
        <v>0.19</v>
      </c>
      <c r="L61" t="s">
        <v>631</v>
      </c>
      <c r="M61" t="s">
        <v>143</v>
      </c>
    </row>
    <row r="62" spans="1:13" hidden="1">
      <c r="A62" s="8" t="str">
        <f>HYPERLINK("http://www.analog.com/zh/ad5722r#details", "AD5722R")</f>
        <v>AD5722R</v>
      </c>
      <c r="B62">
        <v>12</v>
      </c>
      <c r="C62">
        <v>2</v>
      </c>
      <c r="D62">
        <v>5.67</v>
      </c>
      <c r="E62" t="s">
        <v>8</v>
      </c>
      <c r="F62" t="s">
        <v>636</v>
      </c>
      <c r="G62" t="s">
        <v>641</v>
      </c>
      <c r="H62">
        <v>1</v>
      </c>
      <c r="I62">
        <v>7.5000000000000002E-6</v>
      </c>
      <c r="J62">
        <v>100000</v>
      </c>
      <c r="K62" t="s">
        <v>8</v>
      </c>
      <c r="L62" t="s">
        <v>631</v>
      </c>
      <c r="M62" t="s">
        <v>143</v>
      </c>
    </row>
    <row r="63" spans="1:13" hidden="1">
      <c r="A63" s="8" t="str">
        <f>HYPERLINK("http://www.analog.com/zh/ad5821a#details", "AD5821A")</f>
        <v>AD5821A</v>
      </c>
      <c r="B63">
        <v>10</v>
      </c>
      <c r="C63">
        <v>1</v>
      </c>
      <c r="D63">
        <v>0.77</v>
      </c>
      <c r="E63">
        <v>0.12</v>
      </c>
      <c r="F63" t="s">
        <v>634</v>
      </c>
      <c r="G63" t="s">
        <v>8</v>
      </c>
      <c r="H63" t="s">
        <v>8</v>
      </c>
      <c r="I63">
        <v>2.5000000000000001E-4</v>
      </c>
      <c r="J63">
        <v>20000</v>
      </c>
      <c r="K63">
        <v>5.0000000000000001E-3</v>
      </c>
      <c r="L63" t="s">
        <v>631</v>
      </c>
      <c r="M63" t="s">
        <v>155</v>
      </c>
    </row>
    <row r="64" spans="1:13" hidden="1">
      <c r="A64" s="8" t="str">
        <f>HYPERLINK("http://www.analog.com/zh/ad5752#details", "AD5752")</f>
        <v>AD5752</v>
      </c>
      <c r="B64">
        <v>16</v>
      </c>
      <c r="C64">
        <v>2</v>
      </c>
      <c r="D64">
        <v>7.16</v>
      </c>
      <c r="E64" t="s">
        <v>8</v>
      </c>
      <c r="F64" t="s">
        <v>636</v>
      </c>
      <c r="G64" t="s">
        <v>641</v>
      </c>
      <c r="H64">
        <v>16</v>
      </c>
      <c r="I64">
        <v>7.5000000000000002E-6</v>
      </c>
      <c r="J64">
        <v>1000000</v>
      </c>
      <c r="K64">
        <v>0.19</v>
      </c>
      <c r="L64" t="s">
        <v>631</v>
      </c>
      <c r="M64" t="s">
        <v>143</v>
      </c>
    </row>
    <row r="65" spans="1:13" hidden="1">
      <c r="A65" s="8" t="str">
        <f>HYPERLINK("http://www.analog.com/zh/ad5744r#details", "AD5744R")</f>
        <v>AD5744R</v>
      </c>
      <c r="B65">
        <v>14</v>
      </c>
      <c r="C65">
        <v>4</v>
      </c>
      <c r="D65">
        <v>24.31</v>
      </c>
      <c r="E65" t="s">
        <v>8</v>
      </c>
      <c r="F65" t="s">
        <v>636</v>
      </c>
      <c r="G65" t="s">
        <v>158</v>
      </c>
      <c r="H65">
        <v>1</v>
      </c>
      <c r="I65" t="s">
        <v>8</v>
      </c>
      <c r="J65">
        <v>1000000</v>
      </c>
      <c r="K65">
        <v>0.38700000000000001</v>
      </c>
      <c r="L65" t="s">
        <v>631</v>
      </c>
      <c r="M65" t="s">
        <v>160</v>
      </c>
    </row>
    <row r="66" spans="1:13" hidden="1">
      <c r="A66" s="8" t="str">
        <f>HYPERLINK("http://www.analog.com/zh/ad5732#details", "AD5732")</f>
        <v>AD5732</v>
      </c>
      <c r="B66">
        <v>14</v>
      </c>
      <c r="C66">
        <v>2</v>
      </c>
      <c r="D66">
        <v>5.67</v>
      </c>
      <c r="E66" t="s">
        <v>8</v>
      </c>
      <c r="F66" t="s">
        <v>636</v>
      </c>
      <c r="G66" t="s">
        <v>641</v>
      </c>
      <c r="H66">
        <v>4</v>
      </c>
      <c r="I66">
        <v>7.5000000000000002E-6</v>
      </c>
      <c r="J66">
        <v>1000000</v>
      </c>
      <c r="K66">
        <v>0.19</v>
      </c>
      <c r="L66" t="s">
        <v>631</v>
      </c>
      <c r="M66" t="s">
        <v>143</v>
      </c>
    </row>
    <row r="67" spans="1:13" hidden="1">
      <c r="A67" s="8" t="str">
        <f>HYPERLINK("http://www.analog.com/zh/ad5722#details", "AD5722")</f>
        <v>AD5722</v>
      </c>
      <c r="B67">
        <v>12</v>
      </c>
      <c r="C67">
        <v>2</v>
      </c>
      <c r="D67">
        <v>3.61</v>
      </c>
      <c r="E67" t="s">
        <v>8</v>
      </c>
      <c r="F67" t="s">
        <v>636</v>
      </c>
      <c r="G67" t="s">
        <v>162</v>
      </c>
      <c r="H67">
        <v>1</v>
      </c>
      <c r="I67">
        <v>7.5000000000000002E-6</v>
      </c>
      <c r="J67">
        <v>100000</v>
      </c>
      <c r="K67" t="s">
        <v>8</v>
      </c>
      <c r="L67" t="s">
        <v>631</v>
      </c>
      <c r="M67" t="s">
        <v>143</v>
      </c>
    </row>
    <row r="68" spans="1:13" hidden="1">
      <c r="A68" s="8" t="str">
        <f>HYPERLINK("http://www.analog.com/zh/ad5398a#details", "AD5398A")</f>
        <v>AD5398A</v>
      </c>
      <c r="B68">
        <v>10</v>
      </c>
      <c r="C68">
        <v>1</v>
      </c>
      <c r="D68">
        <v>0.4</v>
      </c>
      <c r="E68">
        <v>0.12</v>
      </c>
      <c r="F68" t="s">
        <v>634</v>
      </c>
      <c r="G68" t="s">
        <v>8</v>
      </c>
      <c r="H68" t="s">
        <v>8</v>
      </c>
      <c r="I68">
        <v>2.5000000000000001E-4</v>
      </c>
      <c r="J68">
        <v>31000</v>
      </c>
      <c r="K68">
        <v>1.38E-2</v>
      </c>
      <c r="L68" t="s">
        <v>12</v>
      </c>
      <c r="M68" t="s">
        <v>165</v>
      </c>
    </row>
    <row r="69" spans="1:13" hidden="1">
      <c r="A69" s="8" t="str">
        <f>HYPERLINK("http://www.analog.com/zh/ad5065#details", "AD5065")</f>
        <v>AD5065</v>
      </c>
      <c r="B69">
        <v>16</v>
      </c>
      <c r="C69">
        <v>2</v>
      </c>
      <c r="D69">
        <v>8.82</v>
      </c>
      <c r="E69" t="s">
        <v>8</v>
      </c>
      <c r="F69" t="s">
        <v>636</v>
      </c>
      <c r="G69" t="s">
        <v>109</v>
      </c>
      <c r="H69">
        <v>2</v>
      </c>
      <c r="I69">
        <v>5.8000000000000004E-6</v>
      </c>
      <c r="J69">
        <v>1500000</v>
      </c>
      <c r="K69">
        <v>1.0999999999999999E-2</v>
      </c>
      <c r="L69" t="s">
        <v>12</v>
      </c>
      <c r="M69" t="s">
        <v>170</v>
      </c>
    </row>
    <row r="70" spans="1:13" hidden="1">
      <c r="A70" s="8" t="str">
        <f>HYPERLINK("http://www.analog.com/zh/ad5045#details", "AD5045")</f>
        <v>AD5045</v>
      </c>
      <c r="B70">
        <v>14</v>
      </c>
      <c r="C70">
        <v>2</v>
      </c>
      <c r="D70">
        <v>7.24</v>
      </c>
      <c r="E70" t="s">
        <v>8</v>
      </c>
      <c r="F70" t="s">
        <v>636</v>
      </c>
      <c r="G70" t="s">
        <v>109</v>
      </c>
      <c r="H70">
        <v>1</v>
      </c>
      <c r="I70">
        <v>5.8000000000000004E-6</v>
      </c>
      <c r="J70">
        <v>1500000</v>
      </c>
      <c r="K70">
        <v>1.0999999999999999E-2</v>
      </c>
      <c r="L70" t="s">
        <v>12</v>
      </c>
      <c r="M70" t="s">
        <v>170</v>
      </c>
    </row>
    <row r="71" spans="1:13" hidden="1">
      <c r="A71" s="8" t="str">
        <f>HYPERLINK("http://www.analog.com/zh/ad5025#details", "AD5025")</f>
        <v>AD5025</v>
      </c>
      <c r="B71">
        <v>12</v>
      </c>
      <c r="C71">
        <v>2</v>
      </c>
      <c r="D71">
        <v>4.53</v>
      </c>
      <c r="E71" t="s">
        <v>8</v>
      </c>
      <c r="F71" t="s">
        <v>636</v>
      </c>
      <c r="G71" t="s">
        <v>109</v>
      </c>
      <c r="H71">
        <v>0.05</v>
      </c>
      <c r="I71">
        <v>5.8000000000000004E-6</v>
      </c>
      <c r="J71">
        <v>1500000</v>
      </c>
      <c r="K71">
        <v>1.0999999999999999E-2</v>
      </c>
      <c r="L71" t="s">
        <v>12</v>
      </c>
      <c r="M71" t="s">
        <v>170</v>
      </c>
    </row>
    <row r="72" spans="1:13" hidden="1">
      <c r="A72" s="8" t="str">
        <f>HYPERLINK("http://www.analog.com/zh/ad5754#details", "AD5754")</f>
        <v>AD5754</v>
      </c>
      <c r="B72">
        <v>16</v>
      </c>
      <c r="C72">
        <v>4</v>
      </c>
      <c r="D72">
        <v>10.35</v>
      </c>
      <c r="E72" t="s">
        <v>8</v>
      </c>
      <c r="F72" t="s">
        <v>636</v>
      </c>
      <c r="G72" t="s">
        <v>641</v>
      </c>
      <c r="H72">
        <v>16</v>
      </c>
      <c r="I72">
        <v>7.5000000000000002E-6</v>
      </c>
      <c r="J72">
        <v>100000</v>
      </c>
      <c r="K72">
        <v>0.31</v>
      </c>
      <c r="L72" t="s">
        <v>631</v>
      </c>
      <c r="M72" t="s">
        <v>143</v>
      </c>
    </row>
    <row r="73" spans="1:13" hidden="1">
      <c r="A73" s="8" t="str">
        <f>HYPERLINK("http://www.analog.com/zh/ad5734#details", "AD5734")</f>
        <v>AD5734</v>
      </c>
      <c r="B73">
        <v>14</v>
      </c>
      <c r="C73">
        <v>4</v>
      </c>
      <c r="D73">
        <v>8.5</v>
      </c>
      <c r="E73" t="s">
        <v>8</v>
      </c>
      <c r="F73" t="s">
        <v>636</v>
      </c>
      <c r="G73" t="s">
        <v>641</v>
      </c>
      <c r="H73">
        <v>4</v>
      </c>
      <c r="I73">
        <v>7.5000000000000002E-6</v>
      </c>
      <c r="J73">
        <v>100000</v>
      </c>
      <c r="K73">
        <v>0.31</v>
      </c>
      <c r="L73" t="s">
        <v>631</v>
      </c>
      <c r="M73" t="s">
        <v>143</v>
      </c>
    </row>
    <row r="74" spans="1:13" hidden="1">
      <c r="A74" s="8" t="str">
        <f>HYPERLINK("http://www.analog.com/zh/ad5724#details", "AD5724")</f>
        <v>AD5724</v>
      </c>
      <c r="B74">
        <v>12</v>
      </c>
      <c r="C74">
        <v>4</v>
      </c>
      <c r="D74">
        <v>6.13</v>
      </c>
      <c r="E74" t="s">
        <v>8</v>
      </c>
      <c r="F74" t="s">
        <v>636</v>
      </c>
      <c r="G74" t="s">
        <v>641</v>
      </c>
      <c r="H74">
        <v>1</v>
      </c>
      <c r="I74">
        <v>7.5000000000000002E-6</v>
      </c>
      <c r="J74">
        <v>100000</v>
      </c>
      <c r="K74">
        <v>0.31</v>
      </c>
      <c r="L74" t="s">
        <v>631</v>
      </c>
      <c r="M74" t="s">
        <v>143</v>
      </c>
    </row>
    <row r="75" spans="1:13" hidden="1">
      <c r="A75" s="8" t="str">
        <f>HYPERLINK("http://www.analog.com/zh/ad5064#details", "AD5064")</f>
        <v>AD5064</v>
      </c>
      <c r="B75">
        <v>16</v>
      </c>
      <c r="C75">
        <v>4</v>
      </c>
      <c r="D75">
        <v>14.11</v>
      </c>
      <c r="E75" t="s">
        <v>8</v>
      </c>
      <c r="F75" t="s">
        <v>636</v>
      </c>
      <c r="G75" t="s">
        <v>109</v>
      </c>
      <c r="H75">
        <v>2</v>
      </c>
      <c r="I75">
        <v>5.8000000000000004E-6</v>
      </c>
      <c r="J75">
        <v>125000</v>
      </c>
      <c r="K75">
        <v>3.3E-4</v>
      </c>
      <c r="L75" t="s">
        <v>12</v>
      </c>
      <c r="M75" t="s">
        <v>179</v>
      </c>
    </row>
    <row r="76" spans="1:13" hidden="1">
      <c r="A76" s="8" t="str">
        <f>HYPERLINK("http://www.analog.com/zh/ad5044#details", "AD5044")</f>
        <v>AD5044</v>
      </c>
      <c r="B76">
        <v>14</v>
      </c>
      <c r="C76">
        <v>4</v>
      </c>
      <c r="D76">
        <v>11.59</v>
      </c>
      <c r="E76" t="s">
        <v>8</v>
      </c>
      <c r="F76" t="s">
        <v>636</v>
      </c>
      <c r="G76" t="s">
        <v>109</v>
      </c>
      <c r="H76">
        <v>1</v>
      </c>
      <c r="I76">
        <v>5.8000000000000004E-6</v>
      </c>
      <c r="J76">
        <v>125000</v>
      </c>
      <c r="K76">
        <v>0.02</v>
      </c>
      <c r="L76" t="s">
        <v>12</v>
      </c>
      <c r="M76" t="s">
        <v>133</v>
      </c>
    </row>
    <row r="77" spans="1:13" hidden="1">
      <c r="A77" s="8" t="str">
        <f>HYPERLINK("http://www.analog.com/zh/ad5024#details", "AD5024")</f>
        <v>AD5024</v>
      </c>
      <c r="B77">
        <v>12</v>
      </c>
      <c r="C77">
        <v>4</v>
      </c>
      <c r="D77">
        <v>5.25</v>
      </c>
      <c r="E77" t="s">
        <v>8</v>
      </c>
      <c r="F77" t="s">
        <v>636</v>
      </c>
      <c r="G77" t="s">
        <v>109</v>
      </c>
      <c r="H77">
        <v>0.5</v>
      </c>
      <c r="I77">
        <v>5.8000000000000004E-6</v>
      </c>
      <c r="J77">
        <v>125000</v>
      </c>
      <c r="K77">
        <v>0.02</v>
      </c>
      <c r="L77" t="s">
        <v>12</v>
      </c>
      <c r="M77" t="s">
        <v>133</v>
      </c>
    </row>
    <row r="78" spans="1:13" hidden="1">
      <c r="A78" s="8" t="str">
        <f>HYPERLINK("http://www.analog.com/zh/ad5626#details", "AD5626")</f>
        <v>AD5626</v>
      </c>
      <c r="B78">
        <v>12</v>
      </c>
      <c r="C78">
        <v>1</v>
      </c>
      <c r="D78">
        <v>1.66</v>
      </c>
      <c r="E78" t="s">
        <v>8</v>
      </c>
      <c r="F78" t="s">
        <v>88</v>
      </c>
      <c r="G78" t="s">
        <v>184</v>
      </c>
      <c r="H78">
        <v>1</v>
      </c>
      <c r="I78" t="s">
        <v>8</v>
      </c>
      <c r="J78">
        <v>2000000</v>
      </c>
      <c r="K78">
        <v>1.2500000000000001E-2</v>
      </c>
      <c r="L78" t="s">
        <v>12</v>
      </c>
      <c r="M78" t="s">
        <v>186</v>
      </c>
    </row>
    <row r="79" spans="1:13" hidden="1">
      <c r="A79" s="8" t="str">
        <f>HYPERLINK("http://www.analog.com/zh/ad5441#details", "AD5441")</f>
        <v>AD5441</v>
      </c>
      <c r="B79">
        <v>12</v>
      </c>
      <c r="C79">
        <v>1</v>
      </c>
      <c r="D79">
        <v>2.58</v>
      </c>
      <c r="E79">
        <v>1E-3</v>
      </c>
      <c r="F79" t="s">
        <v>88</v>
      </c>
      <c r="G79" t="s">
        <v>8</v>
      </c>
      <c r="H79" t="s">
        <v>8</v>
      </c>
      <c r="I79" t="s">
        <v>8</v>
      </c>
      <c r="J79">
        <v>5000000</v>
      </c>
      <c r="K79">
        <v>5.4999999999999999E-6</v>
      </c>
      <c r="L79" t="s">
        <v>631</v>
      </c>
      <c r="M79" t="s">
        <v>191</v>
      </c>
    </row>
    <row r="80" spans="1:13" hidden="1">
      <c r="A80" s="8" t="str">
        <f>HYPERLINK("http://www.analog.com/zh/ad5725#details", "AD5725")</f>
        <v>AD5725</v>
      </c>
      <c r="B80">
        <v>12</v>
      </c>
      <c r="C80">
        <v>4</v>
      </c>
      <c r="D80">
        <v>7.24</v>
      </c>
      <c r="E80">
        <v>5.0000000000000001E-3</v>
      </c>
      <c r="F80" t="s">
        <v>192</v>
      </c>
      <c r="G80" t="s">
        <v>8</v>
      </c>
      <c r="H80">
        <v>0.5</v>
      </c>
      <c r="I80" t="s">
        <v>8</v>
      </c>
      <c r="J80">
        <v>100000</v>
      </c>
      <c r="K80">
        <v>0.27</v>
      </c>
      <c r="L80" t="s">
        <v>631</v>
      </c>
      <c r="M80" t="s">
        <v>194</v>
      </c>
    </row>
    <row r="81" spans="1:13" hidden="1">
      <c r="A81" s="8" t="str">
        <f>HYPERLINK("http://www.analog.com/zh/ad5726#details", "AD5726")</f>
        <v>AD5726</v>
      </c>
      <c r="B81">
        <v>12</v>
      </c>
      <c r="C81">
        <v>4</v>
      </c>
      <c r="D81">
        <v>11.73</v>
      </c>
      <c r="E81" t="s">
        <v>8</v>
      </c>
      <c r="F81" t="s">
        <v>636</v>
      </c>
      <c r="G81" t="s">
        <v>8</v>
      </c>
      <c r="H81">
        <v>0.5</v>
      </c>
      <c r="I81" t="s">
        <v>8</v>
      </c>
      <c r="J81">
        <v>111000</v>
      </c>
      <c r="K81">
        <v>0.24</v>
      </c>
      <c r="L81" t="s">
        <v>631</v>
      </c>
      <c r="M81" t="s">
        <v>198</v>
      </c>
    </row>
    <row r="82" spans="1:13" hidden="1">
      <c r="A82" s="8" t="str">
        <f>HYPERLINK("http://www.analog.com/zh/ad5665r#details", "AD5665R")</f>
        <v>AD5665R</v>
      </c>
      <c r="B82">
        <v>16</v>
      </c>
      <c r="C82">
        <v>4</v>
      </c>
      <c r="D82">
        <v>8.57</v>
      </c>
      <c r="E82" t="s">
        <v>8</v>
      </c>
      <c r="F82" t="s">
        <v>634</v>
      </c>
      <c r="G82" t="s">
        <v>109</v>
      </c>
      <c r="H82">
        <v>16</v>
      </c>
      <c r="I82">
        <v>3.0000000000000001E-6</v>
      </c>
      <c r="J82" t="s">
        <v>8</v>
      </c>
      <c r="K82">
        <v>1.18E-2</v>
      </c>
      <c r="L82" t="s">
        <v>12</v>
      </c>
      <c r="M82" t="s">
        <v>202</v>
      </c>
    </row>
    <row r="83" spans="1:13" hidden="1">
      <c r="A83" s="8" t="str">
        <f>HYPERLINK("http://www.analog.com/zh/ad5665#details", "AD5665")</f>
        <v>AD5665</v>
      </c>
      <c r="B83">
        <v>16</v>
      </c>
      <c r="C83">
        <v>4</v>
      </c>
      <c r="D83">
        <v>8.14</v>
      </c>
      <c r="E83" t="s">
        <v>8</v>
      </c>
      <c r="F83" t="s">
        <v>634</v>
      </c>
      <c r="G83" t="s">
        <v>109</v>
      </c>
      <c r="H83">
        <v>16</v>
      </c>
      <c r="I83">
        <v>3.0000000000000001E-6</v>
      </c>
      <c r="J83" t="s">
        <v>8</v>
      </c>
      <c r="K83">
        <v>6.3800000000000003E-3</v>
      </c>
      <c r="L83" t="s">
        <v>12</v>
      </c>
      <c r="M83" t="s">
        <v>205</v>
      </c>
    </row>
    <row r="84" spans="1:13" hidden="1">
      <c r="A84" s="8" t="str">
        <f>HYPERLINK("http://www.analog.com/zh/ad5645r#details", "AD5645R")</f>
        <v>AD5645R</v>
      </c>
      <c r="B84">
        <v>14</v>
      </c>
      <c r="C84">
        <v>4</v>
      </c>
      <c r="D84">
        <v>6.12</v>
      </c>
      <c r="E84" t="s">
        <v>8</v>
      </c>
      <c r="F84" t="s">
        <v>634</v>
      </c>
      <c r="G84" t="s">
        <v>109</v>
      </c>
      <c r="H84">
        <v>4</v>
      </c>
      <c r="I84">
        <v>3.0000000000000001E-6</v>
      </c>
      <c r="J84">
        <v>333000</v>
      </c>
      <c r="K84">
        <v>1.18E-2</v>
      </c>
      <c r="L84" t="s">
        <v>12</v>
      </c>
      <c r="M84" t="s">
        <v>205</v>
      </c>
    </row>
    <row r="85" spans="1:13" hidden="1">
      <c r="A85" s="8" t="str">
        <f>HYPERLINK("http://www.analog.com/zh/ad5625r#details", "AD5625R")</f>
        <v>AD5625R</v>
      </c>
      <c r="B85">
        <v>12</v>
      </c>
      <c r="C85">
        <v>4</v>
      </c>
      <c r="D85">
        <v>4.6900000000000004</v>
      </c>
      <c r="E85" t="s">
        <v>8</v>
      </c>
      <c r="F85" t="s">
        <v>634</v>
      </c>
      <c r="G85" t="s">
        <v>109</v>
      </c>
      <c r="H85">
        <v>1</v>
      </c>
      <c r="I85">
        <v>3.0000000000000001E-6</v>
      </c>
      <c r="J85">
        <v>333000</v>
      </c>
      <c r="K85">
        <v>1.18E-2</v>
      </c>
      <c r="L85" t="s">
        <v>12</v>
      </c>
      <c r="M85" t="s">
        <v>209</v>
      </c>
    </row>
    <row r="86" spans="1:13" hidden="1">
      <c r="A86" s="8" t="str">
        <f>HYPERLINK("http://www.analog.com/zh/ad5625#details", "AD5625")</f>
        <v>AD5625</v>
      </c>
      <c r="B86">
        <v>12</v>
      </c>
      <c r="C86">
        <v>4</v>
      </c>
      <c r="D86">
        <v>4.84</v>
      </c>
      <c r="E86" t="s">
        <v>8</v>
      </c>
      <c r="F86" t="s">
        <v>634</v>
      </c>
      <c r="G86" t="s">
        <v>109</v>
      </c>
      <c r="H86">
        <v>1</v>
      </c>
      <c r="I86">
        <v>3.0000000000000001E-6</v>
      </c>
      <c r="J86">
        <v>333000</v>
      </c>
      <c r="K86">
        <v>6.4000000000000003E-3</v>
      </c>
      <c r="L86" t="s">
        <v>12</v>
      </c>
      <c r="M86" t="s">
        <v>205</v>
      </c>
    </row>
    <row r="87" spans="1:13" hidden="1">
      <c r="A87" s="8" t="str">
        <f>HYPERLINK("http://www.analog.com/zh/ad5821#details", "AD5821")</f>
        <v>AD5821</v>
      </c>
      <c r="B87">
        <v>10</v>
      </c>
      <c r="C87">
        <v>1</v>
      </c>
      <c r="D87" t="s">
        <v>8</v>
      </c>
      <c r="E87">
        <v>0.12</v>
      </c>
      <c r="F87" t="s">
        <v>634</v>
      </c>
      <c r="G87" t="s">
        <v>8</v>
      </c>
      <c r="H87" t="s">
        <v>8</v>
      </c>
      <c r="I87">
        <v>2.5000000000000001E-4</v>
      </c>
      <c r="J87">
        <v>20000</v>
      </c>
      <c r="K87">
        <v>0.02</v>
      </c>
      <c r="L87" t="s">
        <v>631</v>
      </c>
      <c r="M87" t="s">
        <v>212</v>
      </c>
    </row>
    <row r="88" spans="1:13" hidden="1">
      <c r="A88" s="8" t="str">
        <f>HYPERLINK("http://www.analog.com/zh/ad5667r#details", "AD5667R")</f>
        <v>AD5667R</v>
      </c>
      <c r="B88">
        <v>16</v>
      </c>
      <c r="C88">
        <v>2</v>
      </c>
      <c r="D88">
        <v>4.32</v>
      </c>
      <c r="E88" t="s">
        <v>8</v>
      </c>
      <c r="F88" t="s">
        <v>634</v>
      </c>
      <c r="G88" t="s">
        <v>109</v>
      </c>
      <c r="H88">
        <v>12</v>
      </c>
      <c r="I88">
        <v>3.9999999999999998E-6</v>
      </c>
      <c r="J88">
        <v>250000</v>
      </c>
      <c r="K88">
        <v>5.7499999999999999E-3</v>
      </c>
      <c r="L88" t="s">
        <v>12</v>
      </c>
      <c r="M88" t="s">
        <v>217</v>
      </c>
    </row>
    <row r="89" spans="1:13" hidden="1">
      <c r="A89" s="8" t="str">
        <f>HYPERLINK("http://www.analog.com/zh/ad5667#details", "AD5667")</f>
        <v>AD5667</v>
      </c>
      <c r="B89">
        <v>16</v>
      </c>
      <c r="C89">
        <v>2</v>
      </c>
      <c r="D89">
        <v>4.12</v>
      </c>
      <c r="E89" t="s">
        <v>8</v>
      </c>
      <c r="F89" t="s">
        <v>634</v>
      </c>
      <c r="G89" t="s">
        <v>109</v>
      </c>
      <c r="H89">
        <v>12</v>
      </c>
      <c r="I89">
        <v>3.9999999999999998E-6</v>
      </c>
      <c r="J89">
        <v>250000</v>
      </c>
      <c r="K89">
        <v>5.7499999999999999E-3</v>
      </c>
      <c r="L89" t="s">
        <v>12</v>
      </c>
      <c r="M89" t="s">
        <v>217</v>
      </c>
    </row>
    <row r="90" spans="1:13" hidden="1">
      <c r="A90" s="8" t="str">
        <f>HYPERLINK("http://www.analog.com/zh/ad5647r#details", "AD5647R")</f>
        <v>AD5647R</v>
      </c>
      <c r="B90">
        <v>14</v>
      </c>
      <c r="C90">
        <v>2</v>
      </c>
      <c r="D90">
        <v>2.95</v>
      </c>
      <c r="E90" t="s">
        <v>8</v>
      </c>
      <c r="F90" t="s">
        <v>634</v>
      </c>
      <c r="G90" t="s">
        <v>109</v>
      </c>
      <c r="H90">
        <v>4</v>
      </c>
      <c r="I90">
        <v>3.4999999999999999E-6</v>
      </c>
      <c r="J90">
        <v>285000</v>
      </c>
      <c r="K90">
        <v>5.7499999999999999E-3</v>
      </c>
      <c r="L90" t="s">
        <v>12</v>
      </c>
      <c r="M90" t="s">
        <v>222</v>
      </c>
    </row>
    <row r="91" spans="1:13" hidden="1">
      <c r="A91" s="8" t="str">
        <f>HYPERLINK("http://www.analog.com/zh/ad5627r#details", "AD5627R")</f>
        <v>AD5627R</v>
      </c>
      <c r="B91">
        <v>12</v>
      </c>
      <c r="C91">
        <v>2</v>
      </c>
      <c r="D91">
        <v>2.76</v>
      </c>
      <c r="E91" t="s">
        <v>8</v>
      </c>
      <c r="F91" t="s">
        <v>634</v>
      </c>
      <c r="G91" t="s">
        <v>109</v>
      </c>
      <c r="H91">
        <v>1</v>
      </c>
      <c r="I91">
        <v>3.0000000000000001E-6</v>
      </c>
      <c r="J91">
        <v>333000</v>
      </c>
      <c r="K91">
        <v>5.7499999999999999E-3</v>
      </c>
      <c r="L91" t="s">
        <v>12</v>
      </c>
      <c r="M91" t="s">
        <v>217</v>
      </c>
    </row>
    <row r="92" spans="1:13" hidden="1">
      <c r="A92" s="8" t="str">
        <f>HYPERLINK("http://www.analog.com/zh/ad5627#details", "AD5627")</f>
        <v>AD5627</v>
      </c>
      <c r="B92">
        <v>12</v>
      </c>
      <c r="C92">
        <v>2</v>
      </c>
      <c r="D92">
        <v>2.4500000000000002</v>
      </c>
      <c r="E92" t="s">
        <v>8</v>
      </c>
      <c r="F92" t="s">
        <v>634</v>
      </c>
      <c r="G92" t="s">
        <v>109</v>
      </c>
      <c r="H92">
        <v>1</v>
      </c>
      <c r="I92">
        <v>3.0000000000000001E-6</v>
      </c>
      <c r="J92">
        <v>333000</v>
      </c>
      <c r="K92">
        <v>5.7499999999999999E-3</v>
      </c>
      <c r="L92" t="s">
        <v>12</v>
      </c>
      <c r="M92" t="s">
        <v>217</v>
      </c>
    </row>
    <row r="93" spans="1:13">
      <c r="A93" s="8" t="str">
        <f>HYPERLINK("http://www.analog.com/zh/ad5680#details", "AD5680")</f>
        <v>AD5680</v>
      </c>
      <c r="B93">
        <v>18</v>
      </c>
      <c r="C93">
        <v>1</v>
      </c>
      <c r="D93">
        <v>3.43</v>
      </c>
      <c r="E93" t="s">
        <v>8</v>
      </c>
      <c r="F93" t="s">
        <v>636</v>
      </c>
      <c r="G93" t="s">
        <v>109</v>
      </c>
      <c r="H93">
        <v>64.06</v>
      </c>
      <c r="I93">
        <v>8.0000000000000007E-5</v>
      </c>
      <c r="J93">
        <v>12500</v>
      </c>
      <c r="K93">
        <v>2.2499999999999998E-3</v>
      </c>
      <c r="L93" t="s">
        <v>12</v>
      </c>
      <c r="M93" t="s">
        <v>229</v>
      </c>
    </row>
    <row r="94" spans="1:13" hidden="1">
      <c r="A94" s="8" t="str">
        <f>HYPERLINK("http://www.analog.com/zh/ad5664#details", "AD5664")</f>
        <v>AD5664</v>
      </c>
      <c r="B94">
        <v>16</v>
      </c>
      <c r="C94">
        <v>4</v>
      </c>
      <c r="D94">
        <v>6.17</v>
      </c>
      <c r="E94" t="s">
        <v>8</v>
      </c>
      <c r="F94" t="s">
        <v>636</v>
      </c>
      <c r="G94" t="s">
        <v>109</v>
      </c>
      <c r="H94">
        <v>12</v>
      </c>
      <c r="I94">
        <v>3.9999999999999998E-6</v>
      </c>
      <c r="J94">
        <v>223000</v>
      </c>
      <c r="K94">
        <v>4.4999999999999997E-3</v>
      </c>
      <c r="L94" t="s">
        <v>12</v>
      </c>
      <c r="M94" t="s">
        <v>222</v>
      </c>
    </row>
    <row r="95" spans="1:13" hidden="1">
      <c r="A95" s="8" t="str">
        <f>HYPERLINK("http://www.analog.com/zh/ad5624#details", "AD5624")</f>
        <v>AD5624</v>
      </c>
      <c r="B95">
        <v>12</v>
      </c>
      <c r="C95">
        <v>4</v>
      </c>
      <c r="D95">
        <v>4.22</v>
      </c>
      <c r="E95" t="s">
        <v>8</v>
      </c>
      <c r="F95" t="s">
        <v>636</v>
      </c>
      <c r="G95" t="s">
        <v>109</v>
      </c>
      <c r="H95">
        <v>1</v>
      </c>
      <c r="I95">
        <v>3.0000000000000001E-6</v>
      </c>
      <c r="J95">
        <v>287000</v>
      </c>
      <c r="K95">
        <v>4.4999999999999997E-3</v>
      </c>
      <c r="L95" t="s">
        <v>12</v>
      </c>
      <c r="M95" t="s">
        <v>217</v>
      </c>
    </row>
    <row r="96" spans="1:13" hidden="1">
      <c r="A96" s="8" t="str">
        <f>HYPERLINK("http://www.analog.com/zh/ad5623r#details", "AD5623R")</f>
        <v>AD5623R</v>
      </c>
      <c r="B96">
        <v>12</v>
      </c>
      <c r="C96">
        <v>2</v>
      </c>
      <c r="D96">
        <v>2.2000000000000002</v>
      </c>
      <c r="E96" t="s">
        <v>8</v>
      </c>
      <c r="F96" t="s">
        <v>636</v>
      </c>
      <c r="G96" t="s">
        <v>109</v>
      </c>
      <c r="H96" t="s">
        <v>8</v>
      </c>
      <c r="I96" t="s">
        <v>8</v>
      </c>
      <c r="J96">
        <v>287000</v>
      </c>
      <c r="K96">
        <v>2.5000000000000001E-3</v>
      </c>
      <c r="L96" t="s">
        <v>12</v>
      </c>
      <c r="M96" t="s">
        <v>222</v>
      </c>
    </row>
    <row r="97" spans="1:13" hidden="1">
      <c r="A97" s="8" t="str">
        <f>HYPERLINK("http://www.analog.com/zh/ad5663#details", "AD5663")</f>
        <v>AD5663</v>
      </c>
      <c r="B97">
        <v>16</v>
      </c>
      <c r="C97">
        <v>2</v>
      </c>
      <c r="D97">
        <v>3.45</v>
      </c>
      <c r="E97" t="s">
        <v>8</v>
      </c>
      <c r="F97" t="s">
        <v>636</v>
      </c>
      <c r="G97" t="s">
        <v>109</v>
      </c>
      <c r="H97">
        <v>12</v>
      </c>
      <c r="I97">
        <v>3.9999999999999998E-6</v>
      </c>
      <c r="J97">
        <v>220000</v>
      </c>
      <c r="K97">
        <v>2.5000000000000001E-3</v>
      </c>
      <c r="L97" t="s">
        <v>12</v>
      </c>
      <c r="M97" t="s">
        <v>217</v>
      </c>
    </row>
    <row r="98" spans="1:13" hidden="1">
      <c r="A98" s="8" t="str">
        <f>HYPERLINK("http://www.analog.com/zh/ad5624r#details", "AD5624R")</f>
        <v>AD5624R</v>
      </c>
      <c r="B98">
        <v>12</v>
      </c>
      <c r="C98">
        <v>4</v>
      </c>
      <c r="D98">
        <v>4.4000000000000004</v>
      </c>
      <c r="E98" t="s">
        <v>8</v>
      </c>
      <c r="F98" t="s">
        <v>636</v>
      </c>
      <c r="G98" t="s">
        <v>109</v>
      </c>
      <c r="H98">
        <v>1</v>
      </c>
      <c r="I98">
        <v>3.0000000000000001E-6</v>
      </c>
      <c r="J98">
        <v>287000</v>
      </c>
      <c r="K98">
        <v>6.6E-3</v>
      </c>
      <c r="L98" t="s">
        <v>12</v>
      </c>
      <c r="M98" t="s">
        <v>222</v>
      </c>
    </row>
    <row r="99" spans="1:13" hidden="1">
      <c r="A99" s="8" t="str">
        <f>HYPERLINK("http://www.analog.com/zh/ad5453#details", "AD5453")</f>
        <v>AD5453</v>
      </c>
      <c r="B99">
        <v>14</v>
      </c>
      <c r="C99">
        <v>1</v>
      </c>
      <c r="D99">
        <v>4.68</v>
      </c>
      <c r="E99" t="s">
        <v>8</v>
      </c>
      <c r="F99" t="s">
        <v>636</v>
      </c>
      <c r="G99" t="s">
        <v>8</v>
      </c>
      <c r="H99" t="s">
        <v>8</v>
      </c>
      <c r="I99" t="s">
        <v>8</v>
      </c>
      <c r="J99">
        <v>2700000</v>
      </c>
      <c r="K99">
        <v>2.2000000000000001E-6</v>
      </c>
      <c r="L99" t="s">
        <v>631</v>
      </c>
      <c r="M99" t="s">
        <v>244</v>
      </c>
    </row>
    <row r="100" spans="1:13" hidden="1">
      <c r="A100" s="8" t="str">
        <f>HYPERLINK("http://www.analog.com/zh/ad5446#details", "AD5446")</f>
        <v>AD5446</v>
      </c>
      <c r="B100">
        <v>14</v>
      </c>
      <c r="C100">
        <v>1</v>
      </c>
      <c r="D100">
        <v>4.7300000000000004</v>
      </c>
      <c r="E100" t="s">
        <v>8</v>
      </c>
      <c r="F100" t="s">
        <v>636</v>
      </c>
      <c r="G100" t="s">
        <v>8</v>
      </c>
      <c r="H100" t="s">
        <v>8</v>
      </c>
      <c r="I100" t="s">
        <v>8</v>
      </c>
      <c r="J100">
        <v>2700000</v>
      </c>
      <c r="K100">
        <v>2.2000000000000001E-6</v>
      </c>
      <c r="L100" t="s">
        <v>631</v>
      </c>
      <c r="M100" t="s">
        <v>75</v>
      </c>
    </row>
    <row r="101" spans="1:13" hidden="1">
      <c r="A101" s="8" t="str">
        <f>HYPERLINK("http://www.analog.com/zh/ad5678#details", "AD5678")</f>
        <v>AD5678</v>
      </c>
      <c r="B101">
        <v>16</v>
      </c>
      <c r="C101">
        <v>8</v>
      </c>
      <c r="D101">
        <v>10.29</v>
      </c>
      <c r="E101" t="s">
        <v>8</v>
      </c>
      <c r="F101" t="s">
        <v>636</v>
      </c>
      <c r="G101" t="s">
        <v>109</v>
      </c>
      <c r="H101">
        <v>1</v>
      </c>
      <c r="I101">
        <v>6.0000000000000002E-6</v>
      </c>
      <c r="J101">
        <v>95000</v>
      </c>
      <c r="K101">
        <v>1.2500000000000001E-2</v>
      </c>
      <c r="L101" t="s">
        <v>12</v>
      </c>
      <c r="M101" t="s">
        <v>179</v>
      </c>
    </row>
    <row r="102" spans="1:13" hidden="1">
      <c r="A102" s="8" t="str">
        <f>HYPERLINK("http://www.analog.com/zh/ad5668#details", "AD5668")</f>
        <v>AD5668</v>
      </c>
      <c r="B102">
        <v>16</v>
      </c>
      <c r="C102">
        <v>8</v>
      </c>
      <c r="D102">
        <v>10.63</v>
      </c>
      <c r="E102" t="s">
        <v>8</v>
      </c>
      <c r="F102" t="s">
        <v>636</v>
      </c>
      <c r="G102" t="s">
        <v>109</v>
      </c>
      <c r="H102">
        <v>16</v>
      </c>
      <c r="I102">
        <v>2.5000000000000002E-6</v>
      </c>
      <c r="J102">
        <v>95000</v>
      </c>
      <c r="K102">
        <v>2.15E-3</v>
      </c>
      <c r="L102" t="s">
        <v>12</v>
      </c>
      <c r="M102" t="s">
        <v>251</v>
      </c>
    </row>
    <row r="103" spans="1:13" hidden="1">
      <c r="A103" s="8" t="str">
        <f>HYPERLINK("http://www.analog.com/zh/ad5666#details", "AD5666")</f>
        <v>AD5666</v>
      </c>
      <c r="B103">
        <v>16</v>
      </c>
      <c r="C103">
        <v>4</v>
      </c>
      <c r="D103">
        <v>7.74</v>
      </c>
      <c r="E103" t="s">
        <v>8</v>
      </c>
      <c r="F103" t="s">
        <v>636</v>
      </c>
      <c r="G103" t="s">
        <v>109</v>
      </c>
      <c r="H103">
        <v>16</v>
      </c>
      <c r="I103">
        <v>6.0000000000000002E-6</v>
      </c>
      <c r="J103">
        <v>95000</v>
      </c>
      <c r="K103">
        <v>1.2500000000000001E-2</v>
      </c>
      <c r="L103" t="s">
        <v>12</v>
      </c>
      <c r="M103" t="s">
        <v>170</v>
      </c>
    </row>
    <row r="104" spans="1:13" hidden="1">
      <c r="A104" s="8" t="str">
        <f>HYPERLINK("http://www.analog.com/zh/ad5648#details", "AD5648")</f>
        <v>AD5648</v>
      </c>
      <c r="B104">
        <v>14</v>
      </c>
      <c r="C104">
        <v>8</v>
      </c>
      <c r="D104">
        <v>9.39</v>
      </c>
      <c r="E104" t="s">
        <v>8</v>
      </c>
      <c r="F104" t="s">
        <v>636</v>
      </c>
      <c r="G104" t="s">
        <v>109</v>
      </c>
      <c r="H104">
        <v>4</v>
      </c>
      <c r="I104">
        <v>2.5000000000000002E-6</v>
      </c>
      <c r="J104">
        <v>95000</v>
      </c>
      <c r="K104">
        <v>2.15E-3</v>
      </c>
      <c r="L104" t="s">
        <v>12</v>
      </c>
      <c r="M104" t="s">
        <v>254</v>
      </c>
    </row>
    <row r="105" spans="1:13" hidden="1">
      <c r="A105" s="8" t="str">
        <f>HYPERLINK("http://www.analog.com/zh/ad5628#details", "AD5628")</f>
        <v>AD5628</v>
      </c>
      <c r="B105">
        <v>12</v>
      </c>
      <c r="C105">
        <v>8</v>
      </c>
      <c r="D105">
        <v>7.83</v>
      </c>
      <c r="E105" t="s">
        <v>8</v>
      </c>
      <c r="F105" t="s">
        <v>636</v>
      </c>
      <c r="G105" t="s">
        <v>109</v>
      </c>
      <c r="H105">
        <v>1</v>
      </c>
      <c r="I105">
        <v>2.5000000000000002E-6</v>
      </c>
      <c r="J105">
        <v>95000</v>
      </c>
      <c r="K105">
        <v>1.2500000000000001E-2</v>
      </c>
      <c r="L105" t="s">
        <v>12</v>
      </c>
      <c r="M105" t="s">
        <v>256</v>
      </c>
    </row>
    <row r="106" spans="1:13" hidden="1">
      <c r="A106" s="8" t="str">
        <f>HYPERLINK("http://www.analog.com/zh/ad5060#details", "AD5060")</f>
        <v>AD5060</v>
      </c>
      <c r="B106">
        <v>16</v>
      </c>
      <c r="C106">
        <v>1</v>
      </c>
      <c r="D106">
        <v>5.51</v>
      </c>
      <c r="E106" t="s">
        <v>8</v>
      </c>
      <c r="F106" t="s">
        <v>636</v>
      </c>
      <c r="G106" t="s">
        <v>95</v>
      </c>
      <c r="H106">
        <v>1</v>
      </c>
      <c r="I106">
        <v>3.9999999999999998E-6</v>
      </c>
      <c r="J106">
        <v>250000</v>
      </c>
      <c r="K106">
        <v>5.0000000000000001E-3</v>
      </c>
      <c r="L106" t="s">
        <v>12</v>
      </c>
      <c r="M106" t="s">
        <v>258</v>
      </c>
    </row>
    <row r="107" spans="1:13" hidden="1">
      <c r="A107" s="8" t="str">
        <f>HYPERLINK("http://www.analog.com/zh/ad5040#details", "AD5040")</f>
        <v>AD5040</v>
      </c>
      <c r="B107">
        <v>14</v>
      </c>
      <c r="C107">
        <v>1</v>
      </c>
      <c r="D107">
        <v>6.2</v>
      </c>
      <c r="E107" t="s">
        <v>8</v>
      </c>
      <c r="F107" t="s">
        <v>636</v>
      </c>
      <c r="G107" t="s">
        <v>95</v>
      </c>
      <c r="H107">
        <v>1</v>
      </c>
      <c r="I107">
        <v>3.9999999999999998E-6</v>
      </c>
      <c r="J107">
        <v>250000</v>
      </c>
      <c r="K107">
        <v>5.0000000000000001E-3</v>
      </c>
      <c r="L107" t="s">
        <v>12</v>
      </c>
      <c r="M107" t="s">
        <v>258</v>
      </c>
    </row>
    <row r="108" spans="1:13" hidden="1">
      <c r="A108" s="8" t="str">
        <f>HYPERLINK("http://www.analog.com/zh/ad5660#details", "AD5660")</f>
        <v>AD5660</v>
      </c>
      <c r="B108">
        <v>16</v>
      </c>
      <c r="C108">
        <v>1</v>
      </c>
      <c r="D108">
        <v>3.43</v>
      </c>
      <c r="E108" t="s">
        <v>8</v>
      </c>
      <c r="F108" t="s">
        <v>636</v>
      </c>
      <c r="G108" t="s">
        <v>109</v>
      </c>
      <c r="H108">
        <v>16</v>
      </c>
      <c r="I108">
        <v>7.9999999999999996E-6</v>
      </c>
      <c r="J108">
        <v>125000</v>
      </c>
      <c r="K108">
        <v>5.0000000000000001E-3</v>
      </c>
      <c r="L108" t="s">
        <v>12</v>
      </c>
      <c r="M108" t="s">
        <v>261</v>
      </c>
    </row>
    <row r="109" spans="1:13" hidden="1">
      <c r="A109" s="8" t="str">
        <f>HYPERLINK("http://www.analog.com/zh/ad5640#details", "AD5640")</f>
        <v>AD5640</v>
      </c>
      <c r="B109">
        <v>14</v>
      </c>
      <c r="C109">
        <v>1</v>
      </c>
      <c r="D109">
        <v>2.71</v>
      </c>
      <c r="E109" t="s">
        <v>8</v>
      </c>
      <c r="F109" t="s">
        <v>636</v>
      </c>
      <c r="G109" t="s">
        <v>109</v>
      </c>
      <c r="H109">
        <v>4</v>
      </c>
      <c r="I109">
        <v>7.9999999999999996E-6</v>
      </c>
      <c r="J109">
        <v>125000</v>
      </c>
      <c r="K109">
        <v>5.0000000000000001E-3</v>
      </c>
      <c r="L109" t="s">
        <v>12</v>
      </c>
      <c r="M109" t="s">
        <v>263</v>
      </c>
    </row>
    <row r="110" spans="1:13" hidden="1">
      <c r="A110" s="8" t="str">
        <f>HYPERLINK("http://www.analog.com/zh/ad5622#details", "AD5622")</f>
        <v>AD5622</v>
      </c>
      <c r="B110">
        <v>12</v>
      </c>
      <c r="C110">
        <v>1</v>
      </c>
      <c r="D110">
        <v>1.52</v>
      </c>
      <c r="E110" t="s">
        <v>8</v>
      </c>
      <c r="F110" t="s">
        <v>634</v>
      </c>
      <c r="G110" t="s">
        <v>109</v>
      </c>
      <c r="H110">
        <v>2</v>
      </c>
      <c r="I110">
        <v>6.0000000000000002E-6</v>
      </c>
      <c r="J110">
        <v>1700000</v>
      </c>
      <c r="K110">
        <v>5.0000000000000001E-4</v>
      </c>
      <c r="L110" t="s">
        <v>12</v>
      </c>
      <c r="M110" t="s">
        <v>267</v>
      </c>
    </row>
    <row r="111" spans="1:13" hidden="1">
      <c r="A111" s="8" t="str">
        <f>HYPERLINK("http://www.analog.com/zh/ad5620#details", "AD5620")</f>
        <v>AD5620</v>
      </c>
      <c r="B111">
        <v>12</v>
      </c>
      <c r="C111">
        <v>1</v>
      </c>
      <c r="D111">
        <v>1.87</v>
      </c>
      <c r="E111" t="s">
        <v>8</v>
      </c>
      <c r="F111" t="s">
        <v>636</v>
      </c>
      <c r="G111" t="s">
        <v>109</v>
      </c>
      <c r="H111">
        <v>1</v>
      </c>
      <c r="I111">
        <v>7.9999999999999996E-6</v>
      </c>
      <c r="J111">
        <v>125000</v>
      </c>
      <c r="K111">
        <v>5.0000000000000001E-3</v>
      </c>
      <c r="L111" t="s">
        <v>12</v>
      </c>
      <c r="M111" t="s">
        <v>269</v>
      </c>
    </row>
    <row r="112" spans="1:13" hidden="1">
      <c r="A112" s="8" t="str">
        <f>HYPERLINK("http://www.analog.com/zh/ad5612#details", "AD5612")</f>
        <v>AD5612</v>
      </c>
      <c r="B112">
        <v>10</v>
      </c>
      <c r="C112">
        <v>1</v>
      </c>
      <c r="D112">
        <v>1.17</v>
      </c>
      <c r="E112" t="s">
        <v>8</v>
      </c>
      <c r="F112" t="s">
        <v>634</v>
      </c>
      <c r="G112" t="s">
        <v>109</v>
      </c>
      <c r="H112">
        <v>0.5</v>
      </c>
      <c r="I112">
        <v>6.0000000000000002E-6</v>
      </c>
      <c r="J112">
        <v>1700000</v>
      </c>
      <c r="K112">
        <v>5.0000000000000001E-4</v>
      </c>
      <c r="L112" t="s">
        <v>12</v>
      </c>
      <c r="M112" t="s">
        <v>267</v>
      </c>
    </row>
    <row r="113" spans="1:13" hidden="1">
      <c r="A113" s="8" t="str">
        <f>HYPERLINK("http://www.analog.com/zh/ad5602#details", "AD5602")</f>
        <v>AD5602</v>
      </c>
      <c r="B113">
        <v>8</v>
      </c>
      <c r="C113">
        <v>1</v>
      </c>
      <c r="D113">
        <v>0.95</v>
      </c>
      <c r="E113" t="s">
        <v>8</v>
      </c>
      <c r="F113" t="s">
        <v>634</v>
      </c>
      <c r="G113" t="s">
        <v>109</v>
      </c>
      <c r="H113">
        <v>0.5</v>
      </c>
      <c r="I113">
        <v>6.0000000000000002E-6</v>
      </c>
      <c r="J113">
        <v>1700000</v>
      </c>
      <c r="K113">
        <v>5.0000000000000001E-4</v>
      </c>
      <c r="L113" t="s">
        <v>12</v>
      </c>
      <c r="M113" t="s">
        <v>267</v>
      </c>
    </row>
    <row r="114" spans="1:13" hidden="1">
      <c r="A114" s="8" t="str">
        <f>HYPERLINK("http://www.analog.com/zh/ad5062#details", "AD5062")</f>
        <v>AD5062</v>
      </c>
      <c r="B114">
        <v>16</v>
      </c>
      <c r="C114">
        <v>1</v>
      </c>
      <c r="D114">
        <v>5.23</v>
      </c>
      <c r="E114" t="s">
        <v>8</v>
      </c>
      <c r="F114" t="s">
        <v>636</v>
      </c>
      <c r="G114" t="s">
        <v>95</v>
      </c>
      <c r="H114">
        <v>1</v>
      </c>
      <c r="I114">
        <v>3.9999999999999998E-6</v>
      </c>
      <c r="J114">
        <v>1300000</v>
      </c>
      <c r="K114">
        <v>3.5000000000000001E-3</v>
      </c>
      <c r="L114" t="s">
        <v>12</v>
      </c>
      <c r="M114" t="s">
        <v>258</v>
      </c>
    </row>
    <row r="115" spans="1:13" hidden="1">
      <c r="A115" s="8" t="str">
        <f>HYPERLINK("http://www.analog.com/zh/ad5061#details", "AD5061")</f>
        <v>AD5061</v>
      </c>
      <c r="B115">
        <v>16</v>
      </c>
      <c r="C115">
        <v>1</v>
      </c>
      <c r="D115">
        <v>3.49</v>
      </c>
      <c r="E115" t="s">
        <v>8</v>
      </c>
      <c r="F115" t="s">
        <v>636</v>
      </c>
      <c r="G115" t="s">
        <v>95</v>
      </c>
      <c r="H115">
        <v>4</v>
      </c>
      <c r="I115">
        <v>3.9999999999999998E-6</v>
      </c>
      <c r="J115">
        <v>1300000</v>
      </c>
      <c r="K115">
        <v>5.0000000000000001E-3</v>
      </c>
      <c r="L115" t="s">
        <v>12</v>
      </c>
      <c r="M115" t="s">
        <v>258</v>
      </c>
    </row>
    <row r="116" spans="1:13" hidden="1">
      <c r="A116" s="8" t="str">
        <f>HYPERLINK("http://www.analog.com/zh/ad5535#details", "AD5535")</f>
        <v>AD5535</v>
      </c>
      <c r="B116">
        <v>14</v>
      </c>
      <c r="C116">
        <v>32</v>
      </c>
      <c r="D116" t="s">
        <v>8</v>
      </c>
      <c r="E116" t="s">
        <v>8</v>
      </c>
      <c r="F116" t="s">
        <v>88</v>
      </c>
      <c r="G116" t="s">
        <v>276</v>
      </c>
      <c r="H116" t="s">
        <v>8</v>
      </c>
      <c r="I116" t="s">
        <v>8</v>
      </c>
      <c r="J116">
        <v>1200000</v>
      </c>
      <c r="K116">
        <v>0.78700000000000003</v>
      </c>
      <c r="L116" t="s">
        <v>12</v>
      </c>
      <c r="M116" t="s">
        <v>8</v>
      </c>
    </row>
    <row r="117" spans="1:13" hidden="1">
      <c r="A117" s="8" t="str">
        <f>HYPERLINK("http://www.analog.com/zh/ad5063#details", "AD5063")</f>
        <v>AD5063</v>
      </c>
      <c r="B117">
        <v>16</v>
      </c>
      <c r="C117">
        <v>1</v>
      </c>
      <c r="D117">
        <v>6.02</v>
      </c>
      <c r="E117" t="s">
        <v>8</v>
      </c>
      <c r="F117" t="s">
        <v>636</v>
      </c>
      <c r="G117" t="s">
        <v>103</v>
      </c>
      <c r="H117">
        <v>1</v>
      </c>
      <c r="I117">
        <v>3.9999999999999998E-6</v>
      </c>
      <c r="J117">
        <v>333000</v>
      </c>
      <c r="K117">
        <v>3.3E-4</v>
      </c>
      <c r="L117" t="s">
        <v>12</v>
      </c>
      <c r="M117" t="s">
        <v>75</v>
      </c>
    </row>
    <row r="118" spans="1:13" hidden="1">
      <c r="A118" s="8" t="str">
        <f>HYPERLINK("http://www.analog.com/zh/ad5662#details", "AD5662")</f>
        <v>AD5662</v>
      </c>
      <c r="B118">
        <v>16</v>
      </c>
      <c r="C118">
        <v>1</v>
      </c>
      <c r="D118">
        <v>2.68</v>
      </c>
      <c r="E118">
        <v>1.25E-3</v>
      </c>
      <c r="F118" t="s">
        <v>636</v>
      </c>
      <c r="G118" t="s">
        <v>109</v>
      </c>
      <c r="H118">
        <v>16</v>
      </c>
      <c r="I118">
        <v>7.9999999999999996E-6</v>
      </c>
      <c r="J118">
        <v>125000</v>
      </c>
      <c r="K118">
        <v>1.25E-3</v>
      </c>
      <c r="L118" t="s">
        <v>12</v>
      </c>
      <c r="M118" t="s">
        <v>261</v>
      </c>
    </row>
    <row r="119" spans="1:13" hidden="1">
      <c r="A119" s="8" t="str">
        <f>HYPERLINK("http://www.analog.com/zh/ad5641#details", "AD5641")</f>
        <v>AD5641</v>
      </c>
      <c r="B119">
        <v>14</v>
      </c>
      <c r="C119">
        <v>1</v>
      </c>
      <c r="D119">
        <v>1.78</v>
      </c>
      <c r="E119">
        <v>2.5000000000000001E-3</v>
      </c>
      <c r="F119" t="s">
        <v>636</v>
      </c>
      <c r="G119" t="s">
        <v>109</v>
      </c>
      <c r="H119">
        <v>4</v>
      </c>
      <c r="I119">
        <v>6.0000000000000002E-6</v>
      </c>
      <c r="J119">
        <v>1700000</v>
      </c>
      <c r="K119">
        <v>5.5000000000000003E-4</v>
      </c>
      <c r="L119" t="s">
        <v>12</v>
      </c>
      <c r="M119" t="s">
        <v>267</v>
      </c>
    </row>
    <row r="120" spans="1:13" hidden="1">
      <c r="A120" s="8" t="str">
        <f>HYPERLINK("http://www.analog.com/zh/ad5621#details", "AD5621")</f>
        <v>AD5621</v>
      </c>
      <c r="B120">
        <v>12</v>
      </c>
      <c r="C120">
        <v>1</v>
      </c>
      <c r="D120">
        <v>0.92</v>
      </c>
      <c r="E120">
        <v>2.5000000000000001E-3</v>
      </c>
      <c r="F120" t="s">
        <v>636</v>
      </c>
      <c r="G120" t="s">
        <v>109</v>
      </c>
      <c r="H120">
        <v>1</v>
      </c>
      <c r="I120">
        <v>6.0000000000000002E-6</v>
      </c>
      <c r="J120">
        <v>1700000</v>
      </c>
      <c r="K120">
        <v>5.5000000000000003E-4</v>
      </c>
      <c r="L120" t="s">
        <v>12</v>
      </c>
      <c r="M120" t="s">
        <v>267</v>
      </c>
    </row>
    <row r="121" spans="1:13" hidden="1">
      <c r="A121" s="8" t="str">
        <f>HYPERLINK("http://www.analog.com/zh/ad5611#details", "AD5611")</f>
        <v>AD5611</v>
      </c>
      <c r="B121">
        <v>10</v>
      </c>
      <c r="C121">
        <v>1</v>
      </c>
      <c r="D121">
        <v>0.63</v>
      </c>
      <c r="E121">
        <v>2.5000000000000001E-3</v>
      </c>
      <c r="F121" t="s">
        <v>636</v>
      </c>
      <c r="G121" t="s">
        <v>109</v>
      </c>
      <c r="H121">
        <v>0.5</v>
      </c>
      <c r="I121">
        <v>6.0000000000000002E-6</v>
      </c>
      <c r="J121">
        <v>1700000</v>
      </c>
      <c r="K121">
        <v>5.5000000000000003E-4</v>
      </c>
      <c r="L121" t="s">
        <v>12</v>
      </c>
      <c r="M121" t="s">
        <v>286</v>
      </c>
    </row>
    <row r="122" spans="1:13" hidden="1">
      <c r="A122" s="8" t="str">
        <f>HYPERLINK("http://www.analog.com/zh/ad5601#details", "AD5601")</f>
        <v>AD5601</v>
      </c>
      <c r="B122">
        <v>8</v>
      </c>
      <c r="C122">
        <v>1</v>
      </c>
      <c r="D122">
        <v>0.53</v>
      </c>
      <c r="E122">
        <v>2.5000000000000001E-3</v>
      </c>
      <c r="F122" t="s">
        <v>636</v>
      </c>
      <c r="G122" t="s">
        <v>109</v>
      </c>
      <c r="H122">
        <v>0.5</v>
      </c>
      <c r="I122">
        <v>6.0000000000000002E-6</v>
      </c>
      <c r="J122">
        <v>1700000</v>
      </c>
      <c r="K122">
        <v>5.5000000000000003E-4</v>
      </c>
      <c r="L122" t="s">
        <v>12</v>
      </c>
      <c r="M122" t="s">
        <v>267</v>
      </c>
    </row>
    <row r="123" spans="1:13" hidden="1">
      <c r="A123" s="8" t="str">
        <f>HYPERLINK("http://www.analog.com/zh/ad5452#details", "AD5452")</f>
        <v>AD5452</v>
      </c>
      <c r="B123">
        <v>12</v>
      </c>
      <c r="C123">
        <v>1</v>
      </c>
      <c r="D123">
        <v>2.61</v>
      </c>
      <c r="E123">
        <v>1E-3</v>
      </c>
      <c r="F123" t="s">
        <v>636</v>
      </c>
      <c r="G123" t="s">
        <v>8</v>
      </c>
      <c r="H123" t="s">
        <v>8</v>
      </c>
      <c r="I123" t="s">
        <v>8</v>
      </c>
      <c r="J123">
        <v>2700000</v>
      </c>
      <c r="K123">
        <v>2.2000000000000001E-6</v>
      </c>
      <c r="L123" t="s">
        <v>631</v>
      </c>
      <c r="M123" t="s">
        <v>289</v>
      </c>
    </row>
    <row r="124" spans="1:13" hidden="1">
      <c r="A124" s="8" t="str">
        <f>HYPERLINK("http://www.analog.com/zh/ad5451#details", "AD5451")</f>
        <v>AD5451</v>
      </c>
      <c r="B124">
        <v>10</v>
      </c>
      <c r="C124">
        <v>1</v>
      </c>
      <c r="D124">
        <v>2.4</v>
      </c>
      <c r="E124">
        <v>1E-3</v>
      </c>
      <c r="F124" t="s">
        <v>636</v>
      </c>
      <c r="G124" t="s">
        <v>8</v>
      </c>
      <c r="H124" t="s">
        <v>8</v>
      </c>
      <c r="I124" t="s">
        <v>8</v>
      </c>
      <c r="J124">
        <v>2700000</v>
      </c>
      <c r="K124">
        <v>2.2000000000000001E-6</v>
      </c>
      <c r="L124" t="s">
        <v>631</v>
      </c>
      <c r="M124" t="s">
        <v>291</v>
      </c>
    </row>
    <row r="125" spans="1:13" hidden="1">
      <c r="A125" s="8" t="str">
        <f>HYPERLINK("http://www.analog.com/zh/ad5450#details", "AD5450")</f>
        <v>AD5450</v>
      </c>
      <c r="B125">
        <v>8</v>
      </c>
      <c r="C125">
        <v>1</v>
      </c>
      <c r="D125">
        <v>1.46</v>
      </c>
      <c r="E125">
        <v>1E-3</v>
      </c>
      <c r="F125" t="s">
        <v>636</v>
      </c>
      <c r="G125" t="s">
        <v>8</v>
      </c>
      <c r="H125" t="s">
        <v>8</v>
      </c>
      <c r="I125" t="s">
        <v>8</v>
      </c>
      <c r="J125">
        <v>2700000</v>
      </c>
      <c r="K125">
        <v>2.2000000000000001E-6</v>
      </c>
      <c r="L125" t="s">
        <v>631</v>
      </c>
      <c r="M125" t="s">
        <v>291</v>
      </c>
    </row>
    <row r="126" spans="1:13" hidden="1">
      <c r="A126" s="8" t="str">
        <f>HYPERLINK("http://www.analog.com/zh/ad5444#details", "AD5444")</f>
        <v>AD5444</v>
      </c>
      <c r="B126">
        <v>12</v>
      </c>
      <c r="C126">
        <v>1</v>
      </c>
      <c r="D126">
        <v>2.71</v>
      </c>
      <c r="E126">
        <v>1E-3</v>
      </c>
      <c r="F126" t="s">
        <v>192</v>
      </c>
      <c r="G126" t="s">
        <v>8</v>
      </c>
      <c r="H126" t="s">
        <v>8</v>
      </c>
      <c r="I126" t="s">
        <v>8</v>
      </c>
      <c r="J126">
        <v>2700000</v>
      </c>
      <c r="K126">
        <v>2.2000000000000001E-6</v>
      </c>
      <c r="L126" t="s">
        <v>631</v>
      </c>
      <c r="M126" t="s">
        <v>75</v>
      </c>
    </row>
    <row r="127" spans="1:13" hidden="1">
      <c r="A127" s="8" t="str">
        <f>HYPERLINK("http://www.analog.com/zh/ad5398#details", "AD5398")</f>
        <v>AD5398</v>
      </c>
      <c r="B127">
        <v>10</v>
      </c>
      <c r="C127">
        <v>1</v>
      </c>
      <c r="D127">
        <v>1.58</v>
      </c>
      <c r="E127">
        <v>0.12</v>
      </c>
      <c r="F127" t="s">
        <v>634</v>
      </c>
      <c r="G127" t="s">
        <v>8</v>
      </c>
      <c r="H127" t="s">
        <v>8</v>
      </c>
      <c r="I127">
        <v>2.5000000000000001E-4</v>
      </c>
      <c r="J127">
        <v>31000</v>
      </c>
      <c r="K127">
        <v>1.38E-2</v>
      </c>
      <c r="L127" t="s">
        <v>12</v>
      </c>
      <c r="M127" t="s">
        <v>294</v>
      </c>
    </row>
    <row r="128" spans="1:13" hidden="1">
      <c r="A128" s="8" t="str">
        <f>HYPERLINK("http://www.analog.com/zh/ad5447#details", "AD5447")</f>
        <v>AD5447</v>
      </c>
      <c r="B128">
        <v>12</v>
      </c>
      <c r="C128">
        <v>2</v>
      </c>
      <c r="D128">
        <v>4.7300000000000004</v>
      </c>
      <c r="E128">
        <v>1E-3</v>
      </c>
      <c r="F128" t="s">
        <v>192</v>
      </c>
      <c r="G128" t="s">
        <v>8</v>
      </c>
      <c r="H128" t="s">
        <v>8</v>
      </c>
      <c r="I128" t="s">
        <v>8</v>
      </c>
      <c r="J128">
        <v>21300000</v>
      </c>
      <c r="K128">
        <v>2.7499999999999999E-6</v>
      </c>
      <c r="L128" t="s">
        <v>631</v>
      </c>
      <c r="M128" t="s">
        <v>297</v>
      </c>
    </row>
    <row r="129" spans="1:13" hidden="1">
      <c r="A129" s="8" t="str">
        <f>HYPERLINK("http://www.analog.com/zh/ad5440#details", "AD5440")</f>
        <v>AD5440</v>
      </c>
      <c r="B129">
        <v>10</v>
      </c>
      <c r="C129">
        <v>2</v>
      </c>
      <c r="D129">
        <v>3.62</v>
      </c>
      <c r="E129">
        <v>1E-3</v>
      </c>
      <c r="F129" t="s">
        <v>192</v>
      </c>
      <c r="G129" t="s">
        <v>8</v>
      </c>
      <c r="H129" t="s">
        <v>8</v>
      </c>
      <c r="I129" t="s">
        <v>8</v>
      </c>
      <c r="J129">
        <v>21300000</v>
      </c>
      <c r="K129">
        <v>2.7499999999999999E-6</v>
      </c>
      <c r="L129" t="s">
        <v>631</v>
      </c>
      <c r="M129" t="s">
        <v>297</v>
      </c>
    </row>
    <row r="130" spans="1:13" hidden="1">
      <c r="A130" s="8" t="str">
        <f>HYPERLINK("http://www.analog.com/zh/ad5428#details", "AD5428")</f>
        <v>AD5428</v>
      </c>
      <c r="B130">
        <v>8</v>
      </c>
      <c r="C130">
        <v>2</v>
      </c>
      <c r="D130">
        <v>2.4</v>
      </c>
      <c r="E130">
        <v>1E-3</v>
      </c>
      <c r="F130" t="s">
        <v>192</v>
      </c>
      <c r="G130" t="s">
        <v>8</v>
      </c>
      <c r="H130" t="s">
        <v>8</v>
      </c>
      <c r="I130" t="s">
        <v>8</v>
      </c>
      <c r="J130">
        <v>21300000</v>
      </c>
      <c r="K130">
        <v>2.7499999999999999E-6</v>
      </c>
      <c r="L130" t="s">
        <v>631</v>
      </c>
      <c r="M130" t="s">
        <v>124</v>
      </c>
    </row>
    <row r="131" spans="1:13" hidden="1">
      <c r="A131" s="8" t="str">
        <f>HYPERLINK("http://www.analog.com/zh/ad5384#details", "AD5384")</f>
        <v>AD5384</v>
      </c>
      <c r="B131">
        <v>14</v>
      </c>
      <c r="C131">
        <v>40</v>
      </c>
      <c r="D131">
        <v>34.57</v>
      </c>
      <c r="E131" t="s">
        <v>8</v>
      </c>
      <c r="F131" t="s">
        <v>634</v>
      </c>
      <c r="G131" t="s">
        <v>109</v>
      </c>
      <c r="H131">
        <v>4</v>
      </c>
      <c r="I131">
        <v>7.9999999999999996E-6</v>
      </c>
      <c r="J131">
        <v>125000</v>
      </c>
      <c r="K131">
        <v>0.08</v>
      </c>
      <c r="L131" t="s">
        <v>12</v>
      </c>
      <c r="M131" t="s">
        <v>301</v>
      </c>
    </row>
    <row r="132" spans="1:13" hidden="1">
      <c r="A132" s="8" t="str">
        <f>HYPERLINK("http://www.analog.com/zh/ad5449#details", "AD5449")</f>
        <v>AD5449</v>
      </c>
      <c r="B132">
        <v>12</v>
      </c>
      <c r="C132">
        <v>2</v>
      </c>
      <c r="D132">
        <v>3.83</v>
      </c>
      <c r="E132">
        <v>1E-3</v>
      </c>
      <c r="F132" t="s">
        <v>88</v>
      </c>
      <c r="G132" t="s">
        <v>8</v>
      </c>
      <c r="H132" t="s">
        <v>8</v>
      </c>
      <c r="I132" t="s">
        <v>8</v>
      </c>
      <c r="J132">
        <v>2470000</v>
      </c>
      <c r="K132">
        <v>2.7499999999999999E-6</v>
      </c>
      <c r="L132" t="s">
        <v>631</v>
      </c>
      <c r="M132" t="s">
        <v>133</v>
      </c>
    </row>
    <row r="133" spans="1:13" hidden="1">
      <c r="A133" s="8" t="str">
        <f>HYPERLINK("http://www.analog.com/zh/ad5439#details", "AD5439")</f>
        <v>AD5439</v>
      </c>
      <c r="B133">
        <v>10</v>
      </c>
      <c r="C133">
        <v>2</v>
      </c>
      <c r="D133">
        <v>3.55</v>
      </c>
      <c r="E133">
        <v>1E-3</v>
      </c>
      <c r="F133" t="s">
        <v>636</v>
      </c>
      <c r="G133" t="s">
        <v>8</v>
      </c>
      <c r="H133" t="s">
        <v>8</v>
      </c>
      <c r="I133" t="s">
        <v>8</v>
      </c>
      <c r="J133">
        <v>2470000</v>
      </c>
      <c r="K133">
        <v>2.7499999999999999E-6</v>
      </c>
      <c r="L133" t="s">
        <v>631</v>
      </c>
      <c r="M133" t="s">
        <v>133</v>
      </c>
    </row>
    <row r="134" spans="1:13" hidden="1">
      <c r="A134" s="8" t="str">
        <f>HYPERLINK("http://www.analog.com/zh/ad5429#details", "AD5429")</f>
        <v>AD5429</v>
      </c>
      <c r="B134">
        <v>8</v>
      </c>
      <c r="C134">
        <v>2</v>
      </c>
      <c r="D134">
        <v>2.4</v>
      </c>
      <c r="E134">
        <v>1E-3</v>
      </c>
      <c r="F134" t="s">
        <v>636</v>
      </c>
      <c r="G134" t="s">
        <v>8</v>
      </c>
      <c r="H134" t="s">
        <v>8</v>
      </c>
      <c r="I134" t="s">
        <v>8</v>
      </c>
      <c r="J134">
        <v>2470000</v>
      </c>
      <c r="K134">
        <v>2.7499999999999999E-6</v>
      </c>
      <c r="L134" t="s">
        <v>631</v>
      </c>
      <c r="M134" t="s">
        <v>133</v>
      </c>
    </row>
    <row r="135" spans="1:13" hidden="1">
      <c r="A135" s="8" t="str">
        <f>HYPERLINK("http://www.analog.com/zh/ad5415#details", "AD5415")</f>
        <v>AD5415</v>
      </c>
      <c r="B135">
        <v>12</v>
      </c>
      <c r="C135">
        <v>2</v>
      </c>
      <c r="D135">
        <v>4.75</v>
      </c>
      <c r="E135">
        <v>5.0000000000000001E-4</v>
      </c>
      <c r="F135" t="s">
        <v>642</v>
      </c>
      <c r="G135" t="s">
        <v>8</v>
      </c>
      <c r="H135" t="s">
        <v>8</v>
      </c>
      <c r="I135" t="s">
        <v>8</v>
      </c>
      <c r="J135">
        <v>2470000</v>
      </c>
      <c r="K135">
        <v>2.7499999999999999E-6</v>
      </c>
      <c r="L135" t="s">
        <v>631</v>
      </c>
      <c r="M135" t="s">
        <v>297</v>
      </c>
    </row>
    <row r="136" spans="1:13" hidden="1">
      <c r="A136" s="8" t="str">
        <f>HYPERLINK("http://www.analog.com/zh/ad5405#details", "AD5405")</f>
        <v>AD5405</v>
      </c>
      <c r="B136">
        <v>12</v>
      </c>
      <c r="C136">
        <v>2</v>
      </c>
      <c r="D136">
        <v>4.8099999999999996</v>
      </c>
      <c r="E136">
        <v>1E-3</v>
      </c>
      <c r="F136" t="s">
        <v>192</v>
      </c>
      <c r="G136" t="s">
        <v>8</v>
      </c>
      <c r="H136" t="s">
        <v>8</v>
      </c>
      <c r="I136" t="s">
        <v>8</v>
      </c>
      <c r="J136">
        <v>21300000</v>
      </c>
      <c r="K136">
        <v>2.7499999999999999E-6</v>
      </c>
      <c r="L136" t="s">
        <v>631</v>
      </c>
      <c r="M136" t="s">
        <v>308</v>
      </c>
    </row>
    <row r="137" spans="1:13" hidden="1">
      <c r="A137" s="8" t="str">
        <f>HYPERLINK("http://www.analog.com/zh/ad5382#details", "AD5382")</f>
        <v>AD5382</v>
      </c>
      <c r="B137">
        <v>14</v>
      </c>
      <c r="C137">
        <v>32</v>
      </c>
      <c r="D137">
        <v>54.04</v>
      </c>
      <c r="E137" t="s">
        <v>8</v>
      </c>
      <c r="F137" t="s">
        <v>643</v>
      </c>
      <c r="G137" t="s">
        <v>109</v>
      </c>
      <c r="H137">
        <v>4</v>
      </c>
      <c r="I137">
        <v>3.0000000000000001E-6</v>
      </c>
      <c r="J137">
        <v>125000</v>
      </c>
      <c r="K137">
        <v>6.5000000000000002E-2</v>
      </c>
      <c r="L137" t="s">
        <v>12</v>
      </c>
      <c r="M137" t="s">
        <v>312</v>
      </c>
    </row>
    <row r="138" spans="1:13" hidden="1">
      <c r="A138" s="8" t="str">
        <f>HYPERLINK("http://www.analog.com/zh/ad5557#details", "AD5557")</f>
        <v>AD5557</v>
      </c>
      <c r="B138">
        <v>14</v>
      </c>
      <c r="C138">
        <v>2</v>
      </c>
      <c r="D138">
        <v>12.29</v>
      </c>
      <c r="E138">
        <v>2E-3</v>
      </c>
      <c r="F138" t="s">
        <v>192</v>
      </c>
      <c r="G138" t="s">
        <v>8</v>
      </c>
      <c r="H138" t="s">
        <v>8</v>
      </c>
      <c r="I138">
        <v>4.9999999999999998E-7</v>
      </c>
      <c r="J138" t="s">
        <v>8</v>
      </c>
      <c r="K138">
        <v>5.5000000000000002E-5</v>
      </c>
      <c r="L138" t="s">
        <v>631</v>
      </c>
      <c r="M138" t="s">
        <v>317</v>
      </c>
    </row>
    <row r="139" spans="1:13" hidden="1">
      <c r="A139" s="8" t="str">
        <f>HYPERLINK("http://www.analog.com/zh/ad5547#details", "AD5547")</f>
        <v>AD5547</v>
      </c>
      <c r="B139">
        <v>16</v>
      </c>
      <c r="C139">
        <v>2</v>
      </c>
      <c r="D139">
        <v>10.93</v>
      </c>
      <c r="E139">
        <v>2E-3</v>
      </c>
      <c r="F139" t="s">
        <v>192</v>
      </c>
      <c r="G139" t="s">
        <v>8</v>
      </c>
      <c r="H139" t="s">
        <v>8</v>
      </c>
      <c r="I139">
        <v>4.9999999999999998E-7</v>
      </c>
      <c r="J139" t="s">
        <v>8</v>
      </c>
      <c r="K139">
        <v>5.5000000000000002E-5</v>
      </c>
      <c r="L139" t="s">
        <v>631</v>
      </c>
      <c r="M139" t="s">
        <v>317</v>
      </c>
    </row>
    <row r="140" spans="1:13" hidden="1">
      <c r="A140" s="8" t="str">
        <f>HYPERLINK("http://www.analog.com/zh/ad5392#details", "AD5392")</f>
        <v>AD5392</v>
      </c>
      <c r="B140">
        <v>14</v>
      </c>
      <c r="C140">
        <v>8</v>
      </c>
      <c r="D140">
        <v>18.95</v>
      </c>
      <c r="E140" t="s">
        <v>8</v>
      </c>
      <c r="F140" t="s">
        <v>644</v>
      </c>
      <c r="G140" t="s">
        <v>109</v>
      </c>
      <c r="H140">
        <v>3</v>
      </c>
      <c r="I140">
        <v>3.0000000000000001E-6</v>
      </c>
      <c r="J140">
        <v>125000</v>
      </c>
      <c r="K140">
        <v>0.02</v>
      </c>
      <c r="L140" t="s">
        <v>12</v>
      </c>
      <c r="M140" t="s">
        <v>321</v>
      </c>
    </row>
    <row r="141" spans="1:13" hidden="1">
      <c r="A141" s="8" t="str">
        <f>HYPERLINK("http://www.analog.com/zh/ad5391#details", "AD5391")</f>
        <v>AD5391</v>
      </c>
      <c r="B141">
        <v>12</v>
      </c>
      <c r="C141">
        <v>16</v>
      </c>
      <c r="D141">
        <v>20.74</v>
      </c>
      <c r="E141" t="s">
        <v>8</v>
      </c>
      <c r="F141" t="s">
        <v>644</v>
      </c>
      <c r="G141" t="s">
        <v>109</v>
      </c>
      <c r="H141">
        <v>1</v>
      </c>
      <c r="I141">
        <v>3.0000000000000001E-6</v>
      </c>
      <c r="J141">
        <v>167000</v>
      </c>
      <c r="K141">
        <v>3.5000000000000003E-2</v>
      </c>
      <c r="L141" t="s">
        <v>12</v>
      </c>
      <c r="M141" t="s">
        <v>321</v>
      </c>
    </row>
    <row r="142" spans="1:13" hidden="1">
      <c r="A142" s="8" t="str">
        <f>HYPERLINK("http://www.analog.com/zh/ad5390#details", "AD5390")</f>
        <v>AD5390</v>
      </c>
      <c r="B142">
        <v>14</v>
      </c>
      <c r="C142">
        <v>16</v>
      </c>
      <c r="D142">
        <v>24.92</v>
      </c>
      <c r="E142" t="s">
        <v>8</v>
      </c>
      <c r="F142" t="s">
        <v>644</v>
      </c>
      <c r="G142" t="s">
        <v>109</v>
      </c>
      <c r="H142">
        <v>3</v>
      </c>
      <c r="I142">
        <v>3.0000000000000001E-6</v>
      </c>
      <c r="J142">
        <v>125000</v>
      </c>
      <c r="K142">
        <v>3.5000000000000003E-2</v>
      </c>
      <c r="L142" t="s">
        <v>12</v>
      </c>
      <c r="M142" t="s">
        <v>326</v>
      </c>
    </row>
    <row r="143" spans="1:13" hidden="1">
      <c r="A143" s="8" t="str">
        <f>HYPERLINK("http://www.analog.com/zh/ad5383#details", "AD5383")</f>
        <v>AD5383</v>
      </c>
      <c r="B143">
        <v>12</v>
      </c>
      <c r="C143">
        <v>32</v>
      </c>
      <c r="D143">
        <v>35.96</v>
      </c>
      <c r="E143" t="s">
        <v>8</v>
      </c>
      <c r="F143" t="s">
        <v>645</v>
      </c>
      <c r="G143" t="s">
        <v>109</v>
      </c>
      <c r="H143">
        <v>1</v>
      </c>
      <c r="I143">
        <v>3.0000000000000001E-6</v>
      </c>
      <c r="J143">
        <v>167000</v>
      </c>
      <c r="K143">
        <v>3.9E-2</v>
      </c>
      <c r="L143" t="s">
        <v>12</v>
      </c>
      <c r="M143" t="s">
        <v>312</v>
      </c>
    </row>
    <row r="144" spans="1:13" hidden="1">
      <c r="A144" s="8" t="str">
        <f>HYPERLINK("http://www.analog.com/zh/ad5381#details", "AD5381")</f>
        <v>AD5381</v>
      </c>
      <c r="B144">
        <v>12</v>
      </c>
      <c r="C144">
        <v>40</v>
      </c>
      <c r="D144">
        <v>41.17</v>
      </c>
      <c r="E144" t="s">
        <v>8</v>
      </c>
      <c r="F144" t="s">
        <v>645</v>
      </c>
      <c r="G144" t="s">
        <v>109</v>
      </c>
      <c r="H144">
        <v>1</v>
      </c>
      <c r="I144">
        <v>3.0000000000000001E-6</v>
      </c>
      <c r="J144">
        <v>167000</v>
      </c>
      <c r="K144">
        <v>0.08</v>
      </c>
      <c r="L144" t="s">
        <v>12</v>
      </c>
      <c r="M144" t="s">
        <v>312</v>
      </c>
    </row>
    <row r="145" spans="1:13" hidden="1">
      <c r="A145" s="8" t="str">
        <f>HYPERLINK("http://www.analog.com/zh/ad5380#details", "AD5380")</f>
        <v>AD5380</v>
      </c>
      <c r="B145">
        <v>14</v>
      </c>
      <c r="C145">
        <v>40</v>
      </c>
      <c r="D145">
        <v>62.94</v>
      </c>
      <c r="E145" t="s">
        <v>8</v>
      </c>
      <c r="F145" t="s">
        <v>646</v>
      </c>
      <c r="G145" t="s">
        <v>109</v>
      </c>
      <c r="H145">
        <v>4</v>
      </c>
      <c r="I145">
        <v>3.0000000000000001E-6</v>
      </c>
      <c r="J145">
        <v>125000</v>
      </c>
      <c r="K145">
        <v>4.8000000000000001E-2</v>
      </c>
      <c r="L145" t="s">
        <v>12</v>
      </c>
      <c r="M145" t="s">
        <v>312</v>
      </c>
    </row>
    <row r="146" spans="1:13" hidden="1">
      <c r="A146" s="8" t="str">
        <f>HYPERLINK("http://www.analog.com/zh/ad5556#details", "AD5556")</f>
        <v>AD5556</v>
      </c>
      <c r="B146">
        <v>14</v>
      </c>
      <c r="C146">
        <v>1</v>
      </c>
      <c r="D146">
        <v>6.86</v>
      </c>
      <c r="E146">
        <v>2E-3</v>
      </c>
      <c r="F146" t="s">
        <v>192</v>
      </c>
      <c r="G146" t="s">
        <v>8</v>
      </c>
      <c r="H146" t="s">
        <v>8</v>
      </c>
      <c r="I146">
        <v>4.9999999999999998E-7</v>
      </c>
      <c r="J146" t="s">
        <v>8</v>
      </c>
      <c r="K146">
        <v>5.5000000000000002E-5</v>
      </c>
      <c r="L146" t="s">
        <v>631</v>
      </c>
      <c r="M146" t="s">
        <v>335</v>
      </c>
    </row>
    <row r="147" spans="1:13" hidden="1">
      <c r="A147" s="8" t="str">
        <f>HYPERLINK("http://www.analog.com/zh/ad5546#details", "AD5546")</f>
        <v>AD5546</v>
      </c>
      <c r="B147">
        <v>16</v>
      </c>
      <c r="C147">
        <v>1</v>
      </c>
      <c r="D147">
        <v>10.56</v>
      </c>
      <c r="E147">
        <v>2E-3</v>
      </c>
      <c r="F147" t="s">
        <v>192</v>
      </c>
      <c r="G147" t="s">
        <v>8</v>
      </c>
      <c r="H147" t="s">
        <v>8</v>
      </c>
      <c r="I147">
        <v>4.9999999999999998E-7</v>
      </c>
      <c r="J147" t="s">
        <v>8</v>
      </c>
      <c r="K147">
        <v>5.5000000000000002E-5</v>
      </c>
      <c r="L147" t="s">
        <v>631</v>
      </c>
      <c r="M147" t="s">
        <v>335</v>
      </c>
    </row>
    <row r="148" spans="1:13" hidden="1">
      <c r="A148" s="8" t="str">
        <f>HYPERLINK("http://www.analog.com/zh/ad5443#details", "AD5443")</f>
        <v>AD5443</v>
      </c>
      <c r="B148">
        <v>12</v>
      </c>
      <c r="C148">
        <v>1</v>
      </c>
      <c r="D148">
        <v>2.61</v>
      </c>
      <c r="E148">
        <v>1E-3</v>
      </c>
      <c r="F148" t="s">
        <v>636</v>
      </c>
      <c r="G148" t="s">
        <v>8</v>
      </c>
      <c r="H148" t="s">
        <v>8</v>
      </c>
      <c r="I148" t="s">
        <v>8</v>
      </c>
      <c r="J148">
        <v>2500000</v>
      </c>
      <c r="K148">
        <v>3.0000000000000001E-6</v>
      </c>
      <c r="L148" t="s">
        <v>631</v>
      </c>
      <c r="M148" t="s">
        <v>75</v>
      </c>
    </row>
    <row r="149" spans="1:13" hidden="1">
      <c r="A149" s="8" t="str">
        <f>HYPERLINK("http://www.analog.com/zh/ad5432#details", "AD5432")</f>
        <v>AD5432</v>
      </c>
      <c r="B149">
        <v>10</v>
      </c>
      <c r="C149">
        <v>1</v>
      </c>
      <c r="D149">
        <v>2.93</v>
      </c>
      <c r="E149">
        <v>1E-3</v>
      </c>
      <c r="F149" t="s">
        <v>636</v>
      </c>
      <c r="G149" t="s">
        <v>8</v>
      </c>
      <c r="H149" t="s">
        <v>8</v>
      </c>
      <c r="I149" t="s">
        <v>8</v>
      </c>
      <c r="J149">
        <v>2500000</v>
      </c>
      <c r="K149">
        <v>2.7500000000000001E-5</v>
      </c>
      <c r="L149" t="s">
        <v>631</v>
      </c>
      <c r="M149" t="s">
        <v>75</v>
      </c>
    </row>
    <row r="150" spans="1:13" hidden="1">
      <c r="A150" s="8" t="str">
        <f>HYPERLINK("http://www.analog.com/zh/ad5426#details", "AD5426")</f>
        <v>AD5426</v>
      </c>
      <c r="B150">
        <v>8</v>
      </c>
      <c r="C150">
        <v>1</v>
      </c>
      <c r="D150">
        <v>1.78</v>
      </c>
      <c r="E150">
        <v>1E-3</v>
      </c>
      <c r="F150" t="s">
        <v>636</v>
      </c>
      <c r="G150" t="s">
        <v>8</v>
      </c>
      <c r="H150" t="s">
        <v>8</v>
      </c>
      <c r="I150" t="s">
        <v>8</v>
      </c>
      <c r="J150">
        <v>2500000</v>
      </c>
      <c r="K150">
        <v>2.5000000000000001E-5</v>
      </c>
      <c r="L150" t="s">
        <v>631</v>
      </c>
      <c r="M150" t="s">
        <v>75</v>
      </c>
    </row>
    <row r="151" spans="1:13" hidden="1">
      <c r="A151" s="8" t="str">
        <f>HYPERLINK("http://www.analog.com/zh/ad5425#details", "AD5425")</f>
        <v>AD5425</v>
      </c>
      <c r="B151">
        <v>8</v>
      </c>
      <c r="C151">
        <v>1</v>
      </c>
      <c r="D151">
        <v>1.78</v>
      </c>
      <c r="E151">
        <v>1E-3</v>
      </c>
      <c r="F151" t="s">
        <v>632</v>
      </c>
      <c r="G151" t="s">
        <v>8</v>
      </c>
      <c r="H151" t="s">
        <v>8</v>
      </c>
      <c r="I151" t="s">
        <v>8</v>
      </c>
      <c r="J151">
        <v>2470000</v>
      </c>
      <c r="K151">
        <v>2.2000000000000001E-6</v>
      </c>
      <c r="L151" t="s">
        <v>631</v>
      </c>
      <c r="M151" t="s">
        <v>75</v>
      </c>
    </row>
    <row r="152" spans="1:13" hidden="1">
      <c r="A152" s="8" t="str">
        <f>HYPERLINK("http://www.analog.com/zh/ad5445#details", "AD5445")</f>
        <v>AD5445</v>
      </c>
      <c r="B152">
        <v>12</v>
      </c>
      <c r="C152">
        <v>2</v>
      </c>
      <c r="D152">
        <v>3.24</v>
      </c>
      <c r="E152">
        <v>1E-3</v>
      </c>
      <c r="F152" t="s">
        <v>192</v>
      </c>
      <c r="G152" t="s">
        <v>8</v>
      </c>
      <c r="H152" t="s">
        <v>8</v>
      </c>
      <c r="I152" t="s">
        <v>8</v>
      </c>
      <c r="J152">
        <v>20400000</v>
      </c>
      <c r="K152">
        <v>2.2000000000000001E-6</v>
      </c>
      <c r="L152" t="s">
        <v>631</v>
      </c>
      <c r="M152" t="s">
        <v>342</v>
      </c>
    </row>
    <row r="153" spans="1:13" hidden="1">
      <c r="A153" s="8" t="str">
        <f>HYPERLINK("http://www.analog.com/zh/ad5433#details", "AD5433")</f>
        <v>AD5433</v>
      </c>
      <c r="B153">
        <v>10</v>
      </c>
      <c r="C153">
        <v>1</v>
      </c>
      <c r="D153">
        <v>3.08</v>
      </c>
      <c r="E153">
        <v>1E-3</v>
      </c>
      <c r="F153" t="s">
        <v>192</v>
      </c>
      <c r="G153" t="s">
        <v>8</v>
      </c>
      <c r="H153" t="s">
        <v>8</v>
      </c>
      <c r="I153" t="s">
        <v>8</v>
      </c>
      <c r="J153">
        <v>20400000</v>
      </c>
      <c r="K153">
        <v>2.2000000000000001E-6</v>
      </c>
      <c r="L153" t="s">
        <v>631</v>
      </c>
      <c r="M153" t="s">
        <v>342</v>
      </c>
    </row>
    <row r="154" spans="1:13" hidden="1">
      <c r="A154" s="8" t="str">
        <f>HYPERLINK("http://www.analog.com/zh/ad5424#details", "AD5424")</f>
        <v>AD5424</v>
      </c>
      <c r="B154">
        <v>8</v>
      </c>
      <c r="C154">
        <v>1</v>
      </c>
      <c r="D154">
        <v>1.91</v>
      </c>
      <c r="E154">
        <v>1E-3</v>
      </c>
      <c r="F154" t="s">
        <v>192</v>
      </c>
      <c r="G154" t="s">
        <v>8</v>
      </c>
      <c r="H154" t="s">
        <v>8</v>
      </c>
      <c r="I154" t="s">
        <v>8</v>
      </c>
      <c r="J154">
        <v>20400000</v>
      </c>
      <c r="K154">
        <v>2.2000000000000001E-6</v>
      </c>
      <c r="L154" t="s">
        <v>631</v>
      </c>
      <c r="M154" t="s">
        <v>345</v>
      </c>
    </row>
    <row r="155" spans="1:13" hidden="1">
      <c r="A155" s="8" t="str">
        <f>HYPERLINK("http://www.analog.com/zh/ad5348#details", "AD5348")</f>
        <v>AD5348</v>
      </c>
      <c r="B155">
        <v>12</v>
      </c>
      <c r="C155">
        <v>8</v>
      </c>
      <c r="D155">
        <v>10.26</v>
      </c>
      <c r="E155" t="s">
        <v>8</v>
      </c>
      <c r="F155" t="s">
        <v>192</v>
      </c>
      <c r="G155" t="s">
        <v>72</v>
      </c>
      <c r="H155">
        <v>16</v>
      </c>
      <c r="I155">
        <v>7.9999999999999996E-6</v>
      </c>
      <c r="J155">
        <v>125000</v>
      </c>
      <c r="K155">
        <v>5.4999999999999997E-3</v>
      </c>
      <c r="L155" t="s">
        <v>12</v>
      </c>
      <c r="M155" t="s">
        <v>348</v>
      </c>
    </row>
    <row r="156" spans="1:13" hidden="1">
      <c r="A156" s="8" t="str">
        <f>HYPERLINK("http://www.analog.com/zh/ad5347#details", "AD5347")</f>
        <v>AD5347</v>
      </c>
      <c r="B156">
        <v>10</v>
      </c>
      <c r="C156">
        <v>8</v>
      </c>
      <c r="D156">
        <v>5.16</v>
      </c>
      <c r="E156" t="s">
        <v>8</v>
      </c>
      <c r="F156" t="s">
        <v>192</v>
      </c>
      <c r="G156" t="s">
        <v>72</v>
      </c>
      <c r="H156">
        <v>4</v>
      </c>
      <c r="I156">
        <v>6.9999999999999999E-6</v>
      </c>
      <c r="J156">
        <v>143000</v>
      </c>
      <c r="K156">
        <v>5.4999999999999997E-3</v>
      </c>
      <c r="L156" t="s">
        <v>12</v>
      </c>
      <c r="M156" t="s">
        <v>348</v>
      </c>
    </row>
    <row r="157" spans="1:13" hidden="1">
      <c r="A157" s="8" t="str">
        <f>HYPERLINK("http://www.analog.com/zh/ad5346#details", "AD5346")</f>
        <v>AD5346</v>
      </c>
      <c r="B157">
        <v>8</v>
      </c>
      <c r="C157">
        <v>8</v>
      </c>
      <c r="D157">
        <v>3.61</v>
      </c>
      <c r="E157" t="s">
        <v>8</v>
      </c>
      <c r="F157" t="s">
        <v>192</v>
      </c>
      <c r="G157" t="s">
        <v>72</v>
      </c>
      <c r="H157">
        <v>1</v>
      </c>
      <c r="I157">
        <v>6.0000000000000002E-6</v>
      </c>
      <c r="J157">
        <v>167000</v>
      </c>
      <c r="K157">
        <v>5.4999999999999997E-3</v>
      </c>
      <c r="L157" t="s">
        <v>12</v>
      </c>
      <c r="M157" t="s">
        <v>350</v>
      </c>
    </row>
    <row r="158" spans="1:13" hidden="1">
      <c r="A158" s="8" t="str">
        <f>HYPERLINK("http://www.analog.com/zh/ad5339#details", "AD5339")</f>
        <v>AD5339</v>
      </c>
      <c r="B158">
        <v>12</v>
      </c>
      <c r="C158">
        <v>2</v>
      </c>
      <c r="D158">
        <v>4.07</v>
      </c>
      <c r="E158" t="s">
        <v>8</v>
      </c>
      <c r="F158" t="s">
        <v>634</v>
      </c>
      <c r="G158" t="s">
        <v>72</v>
      </c>
      <c r="H158">
        <v>8</v>
      </c>
      <c r="I158">
        <v>7.9999999999999996E-6</v>
      </c>
      <c r="J158">
        <v>14800</v>
      </c>
      <c r="K158">
        <v>1.65E-3</v>
      </c>
      <c r="L158" t="s">
        <v>12</v>
      </c>
      <c r="M158" t="s">
        <v>352</v>
      </c>
    </row>
    <row r="159" spans="1:13" hidden="1">
      <c r="A159" s="8" t="str">
        <f>HYPERLINK("http://www.analog.com/zh/ad5338#details", "AD5338")</f>
        <v>AD5338</v>
      </c>
      <c r="B159">
        <v>10</v>
      </c>
      <c r="C159">
        <v>2</v>
      </c>
      <c r="D159">
        <v>1.98</v>
      </c>
      <c r="E159" t="s">
        <v>8</v>
      </c>
      <c r="F159" t="s">
        <v>634</v>
      </c>
      <c r="G159" t="s">
        <v>72</v>
      </c>
      <c r="H159">
        <v>2</v>
      </c>
      <c r="I159">
        <v>6.9999999999999999E-6</v>
      </c>
      <c r="J159">
        <v>14800</v>
      </c>
      <c r="K159">
        <v>1.65E-3</v>
      </c>
      <c r="L159" t="s">
        <v>12</v>
      </c>
      <c r="M159" t="s">
        <v>352</v>
      </c>
    </row>
    <row r="160" spans="1:13" hidden="1">
      <c r="A160" s="8" t="str">
        <f>HYPERLINK("http://www.analog.com/zh/ad5337#details", "AD5337")</f>
        <v>AD5337</v>
      </c>
      <c r="B160">
        <v>8</v>
      </c>
      <c r="C160">
        <v>2</v>
      </c>
      <c r="D160">
        <v>1.41</v>
      </c>
      <c r="E160" t="s">
        <v>8</v>
      </c>
      <c r="F160" t="s">
        <v>634</v>
      </c>
      <c r="G160" t="s">
        <v>72</v>
      </c>
      <c r="H160">
        <v>0.5</v>
      </c>
      <c r="I160">
        <v>6.0000000000000002E-6</v>
      </c>
      <c r="J160">
        <v>14800</v>
      </c>
      <c r="K160">
        <v>1.65E-3</v>
      </c>
      <c r="L160" t="s">
        <v>12</v>
      </c>
      <c r="M160" t="s">
        <v>352</v>
      </c>
    </row>
    <row r="161" spans="1:13" hidden="1">
      <c r="A161" s="8" t="str">
        <f>HYPERLINK("http://www.analog.com/zh/ad5555#details", "AD5555")</f>
        <v>AD5555</v>
      </c>
      <c r="B161">
        <v>14</v>
      </c>
      <c r="C161">
        <v>2</v>
      </c>
      <c r="D161">
        <v>7.6</v>
      </c>
      <c r="E161">
        <v>2E-3</v>
      </c>
      <c r="F161" t="s">
        <v>635</v>
      </c>
      <c r="G161" t="s">
        <v>8</v>
      </c>
      <c r="H161" t="s">
        <v>8</v>
      </c>
      <c r="I161">
        <v>4.9999999999999998E-7</v>
      </c>
      <c r="J161" t="s">
        <v>8</v>
      </c>
      <c r="K161">
        <v>5.5000000000000002E-5</v>
      </c>
      <c r="L161" t="s">
        <v>631</v>
      </c>
      <c r="M161" t="s">
        <v>133</v>
      </c>
    </row>
    <row r="162" spans="1:13" hidden="1">
      <c r="A162" s="8" t="str">
        <f>HYPERLINK("http://www.analog.com/zh/ad5545#details", "AD5545")</f>
        <v>AD5545</v>
      </c>
      <c r="B162">
        <v>16</v>
      </c>
      <c r="C162">
        <v>2</v>
      </c>
      <c r="D162">
        <v>10.53</v>
      </c>
      <c r="E162">
        <v>2E-3</v>
      </c>
      <c r="F162" t="s">
        <v>635</v>
      </c>
      <c r="G162" t="s">
        <v>8</v>
      </c>
      <c r="H162" t="s">
        <v>8</v>
      </c>
      <c r="I162">
        <v>4.9999999999999998E-7</v>
      </c>
      <c r="J162" t="s">
        <v>8</v>
      </c>
      <c r="K162">
        <v>5.5000000000000002E-5</v>
      </c>
      <c r="L162" t="s">
        <v>631</v>
      </c>
      <c r="M162" t="s">
        <v>133</v>
      </c>
    </row>
    <row r="163" spans="1:13" hidden="1">
      <c r="A163" s="8" t="str">
        <f>HYPERLINK("http://www.analog.com/zh/ad5553#details", "AD5553")</f>
        <v>AD5553</v>
      </c>
      <c r="B163">
        <v>14</v>
      </c>
      <c r="C163">
        <v>1</v>
      </c>
      <c r="D163">
        <v>5.54</v>
      </c>
      <c r="E163">
        <v>2E-3</v>
      </c>
      <c r="F163" t="s">
        <v>88</v>
      </c>
      <c r="G163" t="s">
        <v>8</v>
      </c>
      <c r="H163" t="s">
        <v>8</v>
      </c>
      <c r="I163">
        <v>4.9999999999999998E-7</v>
      </c>
      <c r="J163" t="s">
        <v>8</v>
      </c>
      <c r="K163">
        <v>5.5000000000000002E-5</v>
      </c>
      <c r="L163" t="s">
        <v>631</v>
      </c>
      <c r="M163" t="s">
        <v>352</v>
      </c>
    </row>
    <row r="164" spans="1:13" hidden="1">
      <c r="A164" s="8" t="str">
        <f>HYPERLINK("http://www.analog.com/zh/ad5543#details", "AD5543")</f>
        <v>AD5543</v>
      </c>
      <c r="B164">
        <v>16</v>
      </c>
      <c r="C164">
        <v>1</v>
      </c>
      <c r="D164">
        <v>8.5299999999999994</v>
      </c>
      <c r="E164">
        <v>2E-3</v>
      </c>
      <c r="F164" t="s">
        <v>88</v>
      </c>
      <c r="G164" t="s">
        <v>8</v>
      </c>
      <c r="H164" t="s">
        <v>8</v>
      </c>
      <c r="I164">
        <v>4.9999999999999998E-7</v>
      </c>
      <c r="J164" t="s">
        <v>8</v>
      </c>
      <c r="K164">
        <v>5.5000000000000002E-5</v>
      </c>
      <c r="L164" t="s">
        <v>631</v>
      </c>
      <c r="M164" t="s">
        <v>359</v>
      </c>
    </row>
    <row r="165" spans="1:13" hidden="1">
      <c r="A165" s="8" t="str">
        <f>HYPERLINK("http://www.analog.com/zh/ad5583#details", "AD5583")</f>
        <v>AD5583</v>
      </c>
      <c r="B165">
        <v>10</v>
      </c>
      <c r="C165">
        <v>4</v>
      </c>
      <c r="D165">
        <v>6.48</v>
      </c>
      <c r="E165">
        <v>2E-3</v>
      </c>
      <c r="F165" t="s">
        <v>192</v>
      </c>
      <c r="G165" t="s">
        <v>361</v>
      </c>
      <c r="H165">
        <v>1</v>
      </c>
      <c r="I165" t="s">
        <v>8</v>
      </c>
      <c r="J165">
        <v>200000</v>
      </c>
      <c r="K165">
        <v>5.2499999999999998E-2</v>
      </c>
      <c r="L165" t="s">
        <v>631</v>
      </c>
      <c r="M165" t="s">
        <v>364</v>
      </c>
    </row>
    <row r="166" spans="1:13" hidden="1">
      <c r="A166" s="8" t="str">
        <f>HYPERLINK("http://www.analog.com/zh/ad5582#details", "AD5582")</f>
        <v>AD5582</v>
      </c>
      <c r="B166">
        <v>12</v>
      </c>
      <c r="C166">
        <v>4</v>
      </c>
      <c r="D166">
        <v>10.55</v>
      </c>
      <c r="E166">
        <v>2E-3</v>
      </c>
      <c r="F166" t="s">
        <v>192</v>
      </c>
      <c r="G166" t="s">
        <v>361</v>
      </c>
      <c r="H166">
        <v>1</v>
      </c>
      <c r="I166" t="s">
        <v>8</v>
      </c>
      <c r="J166">
        <v>200000</v>
      </c>
      <c r="K166">
        <v>5.2499999999999998E-2</v>
      </c>
      <c r="L166" t="s">
        <v>631</v>
      </c>
      <c r="M166" t="s">
        <v>364</v>
      </c>
    </row>
    <row r="167" spans="1:13" hidden="1">
      <c r="A167" s="8" t="str">
        <f>HYPERLINK("http://www.analog.com/zh/ad5328#details", "AD5328")</f>
        <v>AD5328</v>
      </c>
      <c r="B167">
        <v>12</v>
      </c>
      <c r="C167">
        <v>8</v>
      </c>
      <c r="D167">
        <v>7.24</v>
      </c>
      <c r="E167">
        <v>5.0000000000000001E-3</v>
      </c>
      <c r="F167" t="s">
        <v>636</v>
      </c>
      <c r="G167" t="s">
        <v>72</v>
      </c>
      <c r="H167">
        <v>12</v>
      </c>
      <c r="I167">
        <v>7.9999999999999996E-6</v>
      </c>
      <c r="J167">
        <v>167000</v>
      </c>
      <c r="K167">
        <v>5.4999999999999997E-3</v>
      </c>
      <c r="L167" t="s">
        <v>12</v>
      </c>
      <c r="M167" t="s">
        <v>133</v>
      </c>
    </row>
    <row r="168" spans="1:13" hidden="1">
      <c r="A168" s="8" t="str">
        <f>HYPERLINK("http://www.analog.com/zh/ad5318#details", "AD5318")</f>
        <v>AD5318</v>
      </c>
      <c r="B168">
        <v>10</v>
      </c>
      <c r="C168">
        <v>8</v>
      </c>
      <c r="D168">
        <v>4.07</v>
      </c>
      <c r="E168">
        <v>5.0000000000000001E-3</v>
      </c>
      <c r="F168" t="s">
        <v>636</v>
      </c>
      <c r="G168" t="s">
        <v>72</v>
      </c>
      <c r="H168">
        <v>3</v>
      </c>
      <c r="I168">
        <v>6.9999999999999999E-6</v>
      </c>
      <c r="J168">
        <v>167000</v>
      </c>
      <c r="K168">
        <v>5.4999999999999997E-3</v>
      </c>
      <c r="L168" t="s">
        <v>12</v>
      </c>
      <c r="M168" t="s">
        <v>133</v>
      </c>
    </row>
    <row r="169" spans="1:13" hidden="1">
      <c r="A169" s="8" t="str">
        <f>HYPERLINK("http://www.analog.com/zh/ad5308#details", "AD5308")</f>
        <v>AD5308</v>
      </c>
      <c r="B169">
        <v>8</v>
      </c>
      <c r="C169">
        <v>8</v>
      </c>
      <c r="D169">
        <v>2.59</v>
      </c>
      <c r="E169">
        <v>5.0000000000000001E-3</v>
      </c>
      <c r="F169" t="s">
        <v>636</v>
      </c>
      <c r="G169" t="s">
        <v>72</v>
      </c>
      <c r="H169">
        <v>0.75</v>
      </c>
      <c r="I169">
        <v>6.0000000000000002E-6</v>
      </c>
      <c r="J169">
        <v>167000</v>
      </c>
      <c r="K169">
        <v>5.4999999999999997E-3</v>
      </c>
      <c r="L169" t="s">
        <v>12</v>
      </c>
      <c r="M169" t="s">
        <v>133</v>
      </c>
    </row>
    <row r="170" spans="1:13" hidden="1">
      <c r="A170" s="8" t="str">
        <f>HYPERLINK("http://www.analog.com/zh/ad5516#details", "AD5516")</f>
        <v>AD5516</v>
      </c>
      <c r="B170">
        <v>14</v>
      </c>
      <c r="C170">
        <v>16</v>
      </c>
      <c r="D170">
        <v>27.99</v>
      </c>
      <c r="E170">
        <v>5.0000000000000001E-3</v>
      </c>
      <c r="F170" t="s">
        <v>636</v>
      </c>
      <c r="G170" t="s">
        <v>368</v>
      </c>
      <c r="H170">
        <v>2</v>
      </c>
      <c r="I170" t="s">
        <v>8</v>
      </c>
      <c r="J170">
        <v>750000</v>
      </c>
      <c r="K170">
        <v>0.105</v>
      </c>
      <c r="L170" t="s">
        <v>12</v>
      </c>
      <c r="M170" t="s">
        <v>371</v>
      </c>
    </row>
    <row r="171" spans="1:13" hidden="1">
      <c r="A171" s="8" t="str">
        <f>HYPERLINK("http://www.analog.com/zh/ad5532b#details", "AD5532B")</f>
        <v>AD5532B</v>
      </c>
      <c r="B171">
        <v>14</v>
      </c>
      <c r="C171">
        <v>32</v>
      </c>
      <c r="D171">
        <v>85.24</v>
      </c>
      <c r="E171">
        <v>5.0000000000000001E-3</v>
      </c>
      <c r="F171" t="s">
        <v>643</v>
      </c>
      <c r="G171" t="s">
        <v>373</v>
      </c>
      <c r="H171" t="s">
        <v>8</v>
      </c>
      <c r="I171" t="s">
        <v>8</v>
      </c>
      <c r="J171">
        <v>45000</v>
      </c>
      <c r="K171">
        <v>0.28000000000000003</v>
      </c>
      <c r="L171" t="s">
        <v>12</v>
      </c>
      <c r="M171" t="s">
        <v>371</v>
      </c>
    </row>
    <row r="172" spans="1:13" hidden="1">
      <c r="A172" s="8" t="str">
        <f>HYPERLINK("http://www.analog.com/zh/ad5532hs#details", "AD5532HS")</f>
        <v>AD5532HS</v>
      </c>
      <c r="B172">
        <v>14</v>
      </c>
      <c r="C172">
        <v>32</v>
      </c>
      <c r="D172">
        <v>77.5</v>
      </c>
      <c r="E172">
        <v>5.0000000000000001E-3</v>
      </c>
      <c r="F172" t="s">
        <v>88</v>
      </c>
      <c r="G172" t="s">
        <v>373</v>
      </c>
      <c r="H172" t="s">
        <v>8</v>
      </c>
      <c r="I172" t="s">
        <v>8</v>
      </c>
      <c r="J172">
        <v>1100000</v>
      </c>
      <c r="K172">
        <v>0.34100000000000003</v>
      </c>
      <c r="L172" t="s">
        <v>12</v>
      </c>
      <c r="M172" t="s">
        <v>371</v>
      </c>
    </row>
    <row r="173" spans="1:13" hidden="1">
      <c r="A173" s="8" t="str">
        <f>HYPERLINK("http://www.analog.com/zh/ad7399#details", "AD7399")</f>
        <v>AD7399</v>
      </c>
      <c r="B173">
        <v>10</v>
      </c>
      <c r="C173">
        <v>4</v>
      </c>
      <c r="D173">
        <v>5.18</v>
      </c>
      <c r="E173">
        <v>5.0000000000000001E-3</v>
      </c>
      <c r="F173" t="s">
        <v>635</v>
      </c>
      <c r="G173" t="s">
        <v>95</v>
      </c>
      <c r="H173">
        <v>1</v>
      </c>
      <c r="I173" t="s">
        <v>8</v>
      </c>
      <c r="J173">
        <v>167000</v>
      </c>
      <c r="K173">
        <v>2.7E-2</v>
      </c>
      <c r="L173" t="s">
        <v>12</v>
      </c>
      <c r="M173" t="s">
        <v>381</v>
      </c>
    </row>
    <row r="174" spans="1:13" hidden="1">
      <c r="A174" s="8" t="str">
        <f>HYPERLINK("http://www.analog.com/zh/ad7398#details", "AD7398")</f>
        <v>AD7398</v>
      </c>
      <c r="B174">
        <v>12</v>
      </c>
      <c r="C174">
        <v>4</v>
      </c>
      <c r="D174">
        <v>10.14</v>
      </c>
      <c r="E174">
        <v>5.0000000000000001E-3</v>
      </c>
      <c r="F174" t="s">
        <v>635</v>
      </c>
      <c r="G174" t="s">
        <v>95</v>
      </c>
      <c r="H174">
        <v>1.5</v>
      </c>
      <c r="I174" t="s">
        <v>8</v>
      </c>
      <c r="J174">
        <v>167000</v>
      </c>
      <c r="K174">
        <v>2.7E-2</v>
      </c>
      <c r="L174" t="s">
        <v>12</v>
      </c>
      <c r="M174" t="s">
        <v>381</v>
      </c>
    </row>
    <row r="175" spans="1:13" hidden="1">
      <c r="A175" s="8" t="str">
        <f>HYPERLINK("http://www.analog.com/zh/ad5327#details", "AD5327")</f>
        <v>AD5327</v>
      </c>
      <c r="B175">
        <v>12</v>
      </c>
      <c r="C175">
        <v>4</v>
      </c>
      <c r="D175">
        <v>6.33</v>
      </c>
      <c r="E175">
        <v>5.0000000000000001E-3</v>
      </c>
      <c r="F175" t="s">
        <v>636</v>
      </c>
      <c r="G175" t="s">
        <v>72</v>
      </c>
      <c r="H175">
        <v>10</v>
      </c>
      <c r="I175">
        <v>7.9999999999999996E-6</v>
      </c>
      <c r="J175">
        <v>125000</v>
      </c>
      <c r="K175">
        <v>2.7499999999999998E-3</v>
      </c>
      <c r="L175" t="s">
        <v>12</v>
      </c>
      <c r="M175" t="s">
        <v>133</v>
      </c>
    </row>
    <row r="176" spans="1:13" hidden="1">
      <c r="A176" s="8" t="str">
        <f>HYPERLINK("http://www.analog.com/zh/ad5326#details", "AD5326")</f>
        <v>AD5326</v>
      </c>
      <c r="B176">
        <v>12</v>
      </c>
      <c r="C176">
        <v>4</v>
      </c>
      <c r="D176">
        <v>5.52</v>
      </c>
      <c r="E176" t="s">
        <v>8</v>
      </c>
      <c r="F176" t="s">
        <v>634</v>
      </c>
      <c r="G176" t="s">
        <v>72</v>
      </c>
      <c r="H176">
        <v>10</v>
      </c>
      <c r="I176">
        <v>7.9999999999999996E-6</v>
      </c>
      <c r="J176">
        <v>125000</v>
      </c>
      <c r="K176">
        <v>2.7499999999999998E-3</v>
      </c>
      <c r="L176" t="s">
        <v>12</v>
      </c>
      <c r="M176" t="s">
        <v>133</v>
      </c>
    </row>
    <row r="177" spans="1:13" hidden="1">
      <c r="A177" s="8" t="str">
        <f>HYPERLINK("http://www.analog.com/zh/ad5317#details", "AD5317")</f>
        <v>AD5317</v>
      </c>
      <c r="B177">
        <v>10</v>
      </c>
      <c r="C177">
        <v>4</v>
      </c>
      <c r="D177">
        <v>2.83</v>
      </c>
      <c r="E177" t="s">
        <v>8</v>
      </c>
      <c r="F177" t="s">
        <v>636</v>
      </c>
      <c r="G177" t="s">
        <v>72</v>
      </c>
      <c r="H177">
        <v>2.5</v>
      </c>
      <c r="I177">
        <v>6.9999999999999999E-6</v>
      </c>
      <c r="J177">
        <v>143000</v>
      </c>
      <c r="K177">
        <v>2.7499999999999998E-3</v>
      </c>
      <c r="L177" t="s">
        <v>12</v>
      </c>
      <c r="M177" t="s">
        <v>133</v>
      </c>
    </row>
    <row r="178" spans="1:13" hidden="1">
      <c r="A178" s="8" t="str">
        <f>HYPERLINK("http://www.analog.com/zh/ad5316#details", "AD5316")</f>
        <v>AD5316</v>
      </c>
      <c r="B178">
        <v>10</v>
      </c>
      <c r="C178">
        <v>4</v>
      </c>
      <c r="D178">
        <v>2.86</v>
      </c>
      <c r="E178" t="s">
        <v>8</v>
      </c>
      <c r="F178" t="s">
        <v>634</v>
      </c>
      <c r="G178" t="s">
        <v>72</v>
      </c>
      <c r="H178">
        <v>2.5</v>
      </c>
      <c r="I178">
        <v>6.9999999999999999E-6</v>
      </c>
      <c r="J178">
        <v>143000</v>
      </c>
      <c r="K178">
        <v>2.7499999999999998E-3</v>
      </c>
      <c r="L178" t="s">
        <v>12</v>
      </c>
      <c r="M178" t="s">
        <v>133</v>
      </c>
    </row>
    <row r="179" spans="1:13" hidden="1">
      <c r="A179" s="8" t="str">
        <f>HYPERLINK("http://www.analog.com/zh/ad5307#details", "AD5307")</f>
        <v>AD5307</v>
      </c>
      <c r="B179">
        <v>8</v>
      </c>
      <c r="C179">
        <v>4</v>
      </c>
      <c r="D179">
        <v>2.75</v>
      </c>
      <c r="E179" t="s">
        <v>8</v>
      </c>
      <c r="F179" t="s">
        <v>636</v>
      </c>
      <c r="G179" t="s">
        <v>72</v>
      </c>
      <c r="H179">
        <v>0.625</v>
      </c>
      <c r="I179">
        <v>6.0000000000000002E-6</v>
      </c>
      <c r="J179">
        <v>167000</v>
      </c>
      <c r="K179">
        <v>2.7499999999999998E-3</v>
      </c>
      <c r="L179" t="s">
        <v>12</v>
      </c>
      <c r="M179" t="s">
        <v>133</v>
      </c>
    </row>
    <row r="180" spans="1:13" hidden="1">
      <c r="A180" s="8" t="str">
        <f>HYPERLINK("http://www.analog.com/zh/ad5306#details", "AD5306")</f>
        <v>AD5306</v>
      </c>
      <c r="B180">
        <v>8</v>
      </c>
      <c r="C180">
        <v>4</v>
      </c>
      <c r="D180">
        <v>2.63</v>
      </c>
      <c r="E180" t="s">
        <v>8</v>
      </c>
      <c r="F180" t="s">
        <v>634</v>
      </c>
      <c r="G180" t="s">
        <v>72</v>
      </c>
      <c r="H180">
        <v>0.625</v>
      </c>
      <c r="I180">
        <v>6.0000000000000002E-6</v>
      </c>
      <c r="J180">
        <v>167000</v>
      </c>
      <c r="K180">
        <v>2.7499999999999998E-3</v>
      </c>
      <c r="L180" t="s">
        <v>12</v>
      </c>
      <c r="M180" t="s">
        <v>133</v>
      </c>
    </row>
    <row r="181" spans="1:13" hidden="1">
      <c r="A181" s="8" t="str">
        <f>HYPERLINK("http://www.analog.com/zh/ad5552#details", "AD5552")</f>
        <v>AD5552</v>
      </c>
      <c r="B181">
        <v>14</v>
      </c>
      <c r="C181">
        <v>1</v>
      </c>
      <c r="D181">
        <v>8.48</v>
      </c>
      <c r="E181">
        <v>1E-4</v>
      </c>
      <c r="F181" t="s">
        <v>636</v>
      </c>
      <c r="G181" t="s">
        <v>103</v>
      </c>
      <c r="H181">
        <v>1</v>
      </c>
      <c r="I181" t="s">
        <v>8</v>
      </c>
      <c r="J181">
        <v>1000000</v>
      </c>
      <c r="K181">
        <v>6.0499999999999998E-3</v>
      </c>
      <c r="L181" t="s">
        <v>631</v>
      </c>
      <c r="M181" t="s">
        <v>392</v>
      </c>
    </row>
    <row r="182" spans="1:13" hidden="1">
      <c r="A182" s="8" t="str">
        <f>HYPERLINK("http://www.analog.com/zh/ad5551#details", "AD5551")</f>
        <v>AD5551</v>
      </c>
      <c r="B182">
        <v>14</v>
      </c>
      <c r="C182">
        <v>1</v>
      </c>
      <c r="D182">
        <v>8.48</v>
      </c>
      <c r="E182">
        <v>1E-4</v>
      </c>
      <c r="F182" t="s">
        <v>636</v>
      </c>
      <c r="G182" t="s">
        <v>647</v>
      </c>
      <c r="H182">
        <v>1</v>
      </c>
      <c r="I182" t="s">
        <v>8</v>
      </c>
      <c r="J182">
        <v>1000000</v>
      </c>
      <c r="K182">
        <v>6.0499999999999998E-3</v>
      </c>
      <c r="L182" t="s">
        <v>12</v>
      </c>
      <c r="M182" t="s">
        <v>394</v>
      </c>
    </row>
    <row r="183" spans="1:13" hidden="1">
      <c r="A183" s="8" t="str">
        <f>HYPERLINK("http://www.analog.com/zh/ad5532#details", "AD5532")</f>
        <v>AD5532</v>
      </c>
      <c r="B183">
        <v>14</v>
      </c>
      <c r="C183">
        <v>32</v>
      </c>
      <c r="D183">
        <v>52.07</v>
      </c>
      <c r="E183">
        <v>5.0000000000000001E-3</v>
      </c>
      <c r="F183" t="s">
        <v>643</v>
      </c>
      <c r="G183" t="s">
        <v>373</v>
      </c>
      <c r="H183" t="s">
        <v>8</v>
      </c>
      <c r="I183" t="s">
        <v>8</v>
      </c>
      <c r="J183">
        <v>45000</v>
      </c>
      <c r="K183">
        <v>0.28000000000000003</v>
      </c>
      <c r="L183" t="s">
        <v>12</v>
      </c>
      <c r="M183" t="s">
        <v>371</v>
      </c>
    </row>
    <row r="184" spans="1:13" hidden="1">
      <c r="A184" s="8" t="str">
        <f>HYPERLINK("http://www.analog.com/zh/ad5335#details", "AD5335")</f>
        <v>AD5335</v>
      </c>
      <c r="B184">
        <v>10</v>
      </c>
      <c r="C184">
        <v>4</v>
      </c>
      <c r="D184">
        <v>4.7</v>
      </c>
      <c r="E184">
        <v>5.0000000000000001E-3</v>
      </c>
      <c r="F184" t="s">
        <v>397</v>
      </c>
      <c r="G184" t="s">
        <v>72</v>
      </c>
      <c r="H184">
        <v>4</v>
      </c>
      <c r="I184">
        <v>6.9999999999999999E-6</v>
      </c>
      <c r="J184">
        <v>143000</v>
      </c>
      <c r="K184">
        <v>3.3E-3</v>
      </c>
      <c r="L184" t="s">
        <v>12</v>
      </c>
      <c r="M184" t="s">
        <v>297</v>
      </c>
    </row>
    <row r="185" spans="1:13" hidden="1">
      <c r="A185" s="8" t="str">
        <f>HYPERLINK("http://www.analog.com/zh/ad5554#details", "AD5554")</f>
        <v>AD5554</v>
      </c>
      <c r="B185">
        <v>14</v>
      </c>
      <c r="C185">
        <v>4</v>
      </c>
      <c r="D185">
        <v>16.03</v>
      </c>
      <c r="E185">
        <v>2.5000000000000001E-3</v>
      </c>
      <c r="F185" t="s">
        <v>635</v>
      </c>
      <c r="G185" t="s">
        <v>8</v>
      </c>
      <c r="H185" t="s">
        <v>8</v>
      </c>
      <c r="I185">
        <v>8.9999999999999996E-7</v>
      </c>
      <c r="J185" t="s">
        <v>8</v>
      </c>
      <c r="K185">
        <v>1.25E-3</v>
      </c>
      <c r="L185" t="s">
        <v>631</v>
      </c>
      <c r="M185" t="s">
        <v>194</v>
      </c>
    </row>
    <row r="186" spans="1:13" hidden="1">
      <c r="A186" s="8" t="str">
        <f>HYPERLINK("http://www.analog.com/zh/ad5544#details", "AD5544")</f>
        <v>AD5544</v>
      </c>
      <c r="B186">
        <v>16</v>
      </c>
      <c r="C186">
        <v>4</v>
      </c>
      <c r="D186">
        <v>21.23</v>
      </c>
      <c r="E186">
        <v>2.5000000000000001E-3</v>
      </c>
      <c r="F186" t="s">
        <v>635</v>
      </c>
      <c r="G186" t="s">
        <v>8</v>
      </c>
      <c r="H186" t="s">
        <v>8</v>
      </c>
      <c r="I186">
        <v>8.9999999999999996E-7</v>
      </c>
      <c r="J186" t="s">
        <v>8</v>
      </c>
      <c r="K186">
        <v>1.25E-3</v>
      </c>
      <c r="L186" t="s">
        <v>631</v>
      </c>
      <c r="M186" t="s">
        <v>402</v>
      </c>
    </row>
    <row r="187" spans="1:13" hidden="1">
      <c r="A187" s="8" t="str">
        <f>HYPERLINK("http://www.analog.com/zh/ad5344#details", "AD5344")</f>
        <v>AD5344</v>
      </c>
      <c r="B187">
        <v>12</v>
      </c>
      <c r="C187">
        <v>4</v>
      </c>
      <c r="D187">
        <v>9.6999999999999993</v>
      </c>
      <c r="E187">
        <v>5.0000000000000001E-3</v>
      </c>
      <c r="F187" t="s">
        <v>192</v>
      </c>
      <c r="G187" t="s">
        <v>72</v>
      </c>
      <c r="H187">
        <v>16</v>
      </c>
      <c r="I187">
        <v>7.9999999999999996E-6</v>
      </c>
      <c r="J187">
        <v>125000</v>
      </c>
      <c r="K187">
        <v>3.3E-3</v>
      </c>
      <c r="L187" t="s">
        <v>12</v>
      </c>
      <c r="M187" t="s">
        <v>335</v>
      </c>
    </row>
    <row r="188" spans="1:13" hidden="1">
      <c r="A188" s="8" t="str">
        <f>HYPERLINK("http://www.analog.com/zh/ad5343#details", "AD5343")</f>
        <v>AD5343</v>
      </c>
      <c r="B188">
        <v>12</v>
      </c>
      <c r="C188">
        <v>2</v>
      </c>
      <c r="D188">
        <v>5.74</v>
      </c>
      <c r="E188" t="s">
        <v>8</v>
      </c>
      <c r="F188" t="s">
        <v>397</v>
      </c>
      <c r="G188" t="s">
        <v>72</v>
      </c>
      <c r="H188">
        <v>16</v>
      </c>
      <c r="I188">
        <v>7.9999999999999996E-6</v>
      </c>
      <c r="J188">
        <v>125000</v>
      </c>
      <c r="K188">
        <v>1.65E-3</v>
      </c>
      <c r="L188" t="s">
        <v>12</v>
      </c>
      <c r="M188" t="s">
        <v>124</v>
      </c>
    </row>
    <row r="189" spans="1:13" hidden="1">
      <c r="A189" s="8" t="str">
        <f>HYPERLINK("http://www.analog.com/zh/ad5342#details", "AD5342")</f>
        <v>AD5342</v>
      </c>
      <c r="B189">
        <v>12</v>
      </c>
      <c r="C189">
        <v>2</v>
      </c>
      <c r="D189">
        <v>6.1</v>
      </c>
      <c r="E189" t="s">
        <v>8</v>
      </c>
      <c r="F189" t="s">
        <v>192</v>
      </c>
      <c r="G189" t="s">
        <v>72</v>
      </c>
      <c r="H189">
        <v>16</v>
      </c>
      <c r="I189">
        <v>7.9999999999999996E-6</v>
      </c>
      <c r="J189">
        <v>125000</v>
      </c>
      <c r="K189">
        <v>1.65E-3</v>
      </c>
      <c r="L189" t="s">
        <v>12</v>
      </c>
      <c r="M189" t="s">
        <v>335</v>
      </c>
    </row>
    <row r="190" spans="1:13" hidden="1">
      <c r="A190" s="8" t="str">
        <f>HYPERLINK("http://www.analog.com/zh/ad5341#details", "AD5341")</f>
        <v>AD5341</v>
      </c>
      <c r="B190">
        <v>12</v>
      </c>
      <c r="C190">
        <v>1</v>
      </c>
      <c r="D190">
        <v>3.67</v>
      </c>
      <c r="E190">
        <v>5.0000000000000001E-3</v>
      </c>
      <c r="F190" t="s">
        <v>397</v>
      </c>
      <c r="G190" t="s">
        <v>72</v>
      </c>
      <c r="H190">
        <v>16</v>
      </c>
      <c r="I190">
        <v>7.9999999999999996E-6</v>
      </c>
      <c r="J190">
        <v>125000</v>
      </c>
      <c r="K190">
        <v>1.9999999999999999E-7</v>
      </c>
      <c r="L190" t="s">
        <v>12</v>
      </c>
      <c r="M190" t="s">
        <v>124</v>
      </c>
    </row>
    <row r="191" spans="1:13" hidden="1">
      <c r="A191" s="8" t="str">
        <f>HYPERLINK("http://www.analog.com/zh/ad5340#details", "AD5340")</f>
        <v>AD5340</v>
      </c>
      <c r="B191">
        <v>12</v>
      </c>
      <c r="C191">
        <v>1</v>
      </c>
      <c r="D191">
        <v>3.97</v>
      </c>
      <c r="E191" t="s">
        <v>8</v>
      </c>
      <c r="F191" t="s">
        <v>192</v>
      </c>
      <c r="G191" t="s">
        <v>72</v>
      </c>
      <c r="H191">
        <v>16</v>
      </c>
      <c r="I191">
        <v>7.9999999999999996E-6</v>
      </c>
      <c r="J191">
        <v>125000</v>
      </c>
      <c r="K191">
        <v>1.65E-3</v>
      </c>
      <c r="L191" t="s">
        <v>12</v>
      </c>
      <c r="M191" t="s">
        <v>297</v>
      </c>
    </row>
    <row r="192" spans="1:13" hidden="1">
      <c r="A192" s="8" t="str">
        <f>HYPERLINK("http://www.analog.com/zh/ad5336#details", "AD5336")</f>
        <v>AD5336</v>
      </c>
      <c r="B192">
        <v>10</v>
      </c>
      <c r="C192">
        <v>4</v>
      </c>
      <c r="D192">
        <v>5.09</v>
      </c>
      <c r="E192">
        <v>5.0000000000000001E-3</v>
      </c>
      <c r="F192" t="s">
        <v>192</v>
      </c>
      <c r="G192" t="s">
        <v>72</v>
      </c>
      <c r="H192">
        <v>4</v>
      </c>
      <c r="I192">
        <v>6.9999999999999999E-6</v>
      </c>
      <c r="J192">
        <v>143000</v>
      </c>
      <c r="K192">
        <v>3.3E-3</v>
      </c>
      <c r="L192" t="s">
        <v>12</v>
      </c>
      <c r="M192" t="s">
        <v>335</v>
      </c>
    </row>
    <row r="193" spans="1:13" hidden="1">
      <c r="A193" s="8" t="str">
        <f>HYPERLINK("http://www.analog.com/zh/ad5334#details", "AD5334")</f>
        <v>AD5334</v>
      </c>
      <c r="B193">
        <v>8</v>
      </c>
      <c r="C193">
        <v>4</v>
      </c>
      <c r="D193">
        <v>4.09</v>
      </c>
      <c r="E193">
        <v>5.0000000000000001E-3</v>
      </c>
      <c r="F193" t="s">
        <v>192</v>
      </c>
      <c r="G193" t="s">
        <v>72</v>
      </c>
      <c r="H193">
        <v>1</v>
      </c>
      <c r="I193">
        <v>6.0000000000000002E-6</v>
      </c>
      <c r="J193">
        <v>167000</v>
      </c>
      <c r="K193">
        <v>3.3E-3</v>
      </c>
      <c r="L193" t="s">
        <v>12</v>
      </c>
      <c r="M193" t="s">
        <v>297</v>
      </c>
    </row>
    <row r="194" spans="1:13" hidden="1">
      <c r="A194" s="8" t="str">
        <f>HYPERLINK("http://www.analog.com/zh/ad5333#details", "AD5333")</f>
        <v>AD5333</v>
      </c>
      <c r="B194">
        <v>10</v>
      </c>
      <c r="C194">
        <v>2</v>
      </c>
      <c r="D194">
        <v>3.67</v>
      </c>
      <c r="E194">
        <v>5.0000000000000001E-3</v>
      </c>
      <c r="F194" t="s">
        <v>192</v>
      </c>
      <c r="G194" t="s">
        <v>72</v>
      </c>
      <c r="H194">
        <v>4</v>
      </c>
      <c r="I194">
        <v>6.9999999999999999E-6</v>
      </c>
      <c r="J194">
        <v>143000</v>
      </c>
      <c r="K194">
        <v>1.65E-3</v>
      </c>
      <c r="L194" t="s">
        <v>12</v>
      </c>
      <c r="M194" t="s">
        <v>297</v>
      </c>
    </row>
    <row r="195" spans="1:13" hidden="1">
      <c r="A195" s="8" t="str">
        <f>HYPERLINK("http://www.analog.com/zh/ad5332#details", "AD5332")</f>
        <v>AD5332</v>
      </c>
      <c r="B195">
        <v>8</v>
      </c>
      <c r="C195">
        <v>2</v>
      </c>
      <c r="D195">
        <v>3.61</v>
      </c>
      <c r="E195">
        <v>5.0000000000000001E-3</v>
      </c>
      <c r="F195" t="s">
        <v>192</v>
      </c>
      <c r="G195" t="s">
        <v>72</v>
      </c>
      <c r="H195">
        <v>1</v>
      </c>
      <c r="I195">
        <v>6.0000000000000002E-6</v>
      </c>
      <c r="J195">
        <v>167000</v>
      </c>
      <c r="K195">
        <v>1.65E-3</v>
      </c>
      <c r="L195" t="s">
        <v>12</v>
      </c>
      <c r="M195" t="s">
        <v>124</v>
      </c>
    </row>
    <row r="196" spans="1:13" hidden="1">
      <c r="A196" s="8" t="str">
        <f>HYPERLINK("http://www.analog.com/zh/ad5331#details", "AD5331")</f>
        <v>AD5331</v>
      </c>
      <c r="B196">
        <v>10</v>
      </c>
      <c r="C196">
        <v>1</v>
      </c>
      <c r="D196">
        <v>2.68</v>
      </c>
      <c r="E196">
        <v>5.0000000000000001E-3</v>
      </c>
      <c r="F196" t="s">
        <v>192</v>
      </c>
      <c r="G196" t="s">
        <v>72</v>
      </c>
      <c r="H196">
        <v>0.5</v>
      </c>
      <c r="I196">
        <v>6.9999999999999999E-6</v>
      </c>
      <c r="J196">
        <v>143000</v>
      </c>
      <c r="K196">
        <v>7.6999999999999996E-4</v>
      </c>
      <c r="L196" t="s">
        <v>12</v>
      </c>
      <c r="M196" t="s">
        <v>124</v>
      </c>
    </row>
    <row r="197" spans="1:13" hidden="1">
      <c r="A197" s="8" t="str">
        <f>HYPERLINK("http://www.analog.com/zh/ad5330#details", "AD5330")</f>
        <v>AD5330</v>
      </c>
      <c r="B197">
        <v>8</v>
      </c>
      <c r="C197">
        <v>1</v>
      </c>
      <c r="D197">
        <v>2.0299999999999998</v>
      </c>
      <c r="E197">
        <v>5.0000000000000001E-3</v>
      </c>
      <c r="F197" t="s">
        <v>192</v>
      </c>
      <c r="G197" t="s">
        <v>72</v>
      </c>
      <c r="H197">
        <v>0.25</v>
      </c>
      <c r="I197">
        <v>6.0000000000000002E-6</v>
      </c>
      <c r="J197">
        <v>167000</v>
      </c>
      <c r="K197">
        <v>7.6999999999999996E-4</v>
      </c>
      <c r="L197" t="s">
        <v>12</v>
      </c>
      <c r="M197" t="s">
        <v>124</v>
      </c>
    </row>
    <row r="198" spans="1:13" hidden="1">
      <c r="A198" s="8" t="str">
        <f>HYPERLINK("http://www.analog.com/zh/ad5325#details", "AD5325")</f>
        <v>AD5325</v>
      </c>
      <c r="B198">
        <v>12</v>
      </c>
      <c r="C198">
        <v>4</v>
      </c>
      <c r="D198">
        <v>6.33</v>
      </c>
      <c r="E198">
        <v>5.0000000000000001E-3</v>
      </c>
      <c r="F198" t="s">
        <v>634</v>
      </c>
      <c r="G198" t="s">
        <v>72</v>
      </c>
      <c r="H198">
        <v>10</v>
      </c>
      <c r="I198">
        <v>7.9999999999999996E-6</v>
      </c>
      <c r="J198">
        <v>125000</v>
      </c>
      <c r="K198">
        <v>3.3E-3</v>
      </c>
      <c r="L198" t="s">
        <v>12</v>
      </c>
      <c r="M198" t="s">
        <v>75</v>
      </c>
    </row>
    <row r="199" spans="1:13" hidden="1">
      <c r="A199" s="8" t="str">
        <f>HYPERLINK("http://www.analog.com/zh/ad5324#details", "AD5324")</f>
        <v>AD5324</v>
      </c>
      <c r="B199">
        <v>12</v>
      </c>
      <c r="C199">
        <v>4</v>
      </c>
      <c r="D199">
        <v>5.25</v>
      </c>
      <c r="E199">
        <v>5.0000000000000001E-3</v>
      </c>
      <c r="F199" t="s">
        <v>636</v>
      </c>
      <c r="G199" t="s">
        <v>72</v>
      </c>
      <c r="H199">
        <v>10</v>
      </c>
      <c r="I199">
        <v>7.9999999999999996E-6</v>
      </c>
      <c r="J199">
        <v>125000</v>
      </c>
      <c r="K199">
        <v>3.3E-3</v>
      </c>
      <c r="L199" t="s">
        <v>12</v>
      </c>
      <c r="M199" t="s">
        <v>217</v>
      </c>
    </row>
    <row r="200" spans="1:13" hidden="1">
      <c r="A200" s="8" t="str">
        <f>HYPERLINK("http://www.analog.com/zh/ad5315#details", "AD5315")</f>
        <v>AD5315</v>
      </c>
      <c r="B200">
        <v>10</v>
      </c>
      <c r="C200">
        <v>4</v>
      </c>
      <c r="D200">
        <v>3.23</v>
      </c>
      <c r="E200">
        <v>5.0000000000000001E-3</v>
      </c>
      <c r="F200" t="s">
        <v>634</v>
      </c>
      <c r="G200" t="s">
        <v>72</v>
      </c>
      <c r="H200">
        <v>2.5</v>
      </c>
      <c r="I200">
        <v>6.9999999999999999E-6</v>
      </c>
      <c r="J200">
        <v>143000</v>
      </c>
      <c r="K200">
        <v>3.3E-3</v>
      </c>
      <c r="L200" t="s">
        <v>12</v>
      </c>
      <c r="M200" t="s">
        <v>75</v>
      </c>
    </row>
    <row r="201" spans="1:13" hidden="1">
      <c r="A201" s="8" t="str">
        <f>HYPERLINK("http://www.analog.com/zh/ad5314#details", "AD5314")</f>
        <v>AD5314</v>
      </c>
      <c r="B201">
        <v>10</v>
      </c>
      <c r="C201">
        <v>4</v>
      </c>
      <c r="D201">
        <v>2.71</v>
      </c>
      <c r="E201">
        <v>5.0000000000000001E-3</v>
      </c>
      <c r="F201" t="s">
        <v>636</v>
      </c>
      <c r="G201" t="s">
        <v>72</v>
      </c>
      <c r="H201">
        <v>2.5</v>
      </c>
      <c r="I201">
        <v>6.9999999999999999E-6</v>
      </c>
      <c r="J201">
        <v>143000</v>
      </c>
      <c r="K201">
        <v>3.3E-3</v>
      </c>
      <c r="L201" t="s">
        <v>12</v>
      </c>
      <c r="M201" t="s">
        <v>217</v>
      </c>
    </row>
    <row r="202" spans="1:13" hidden="1">
      <c r="A202" s="8" t="str">
        <f>HYPERLINK("http://www.analog.com/zh/ad5305#details", "AD5305")</f>
        <v>AD5305</v>
      </c>
      <c r="B202">
        <v>8</v>
      </c>
      <c r="C202">
        <v>4</v>
      </c>
      <c r="D202">
        <v>2.3199999999999998</v>
      </c>
      <c r="E202">
        <v>5.0000000000000001E-3</v>
      </c>
      <c r="F202" t="s">
        <v>634</v>
      </c>
      <c r="G202" t="s">
        <v>72</v>
      </c>
      <c r="H202">
        <v>0.625</v>
      </c>
      <c r="I202">
        <v>6.0000000000000002E-6</v>
      </c>
      <c r="J202">
        <v>167000</v>
      </c>
      <c r="K202">
        <v>3.3E-3</v>
      </c>
      <c r="L202" t="s">
        <v>12</v>
      </c>
      <c r="M202" t="s">
        <v>75</v>
      </c>
    </row>
    <row r="203" spans="1:13" hidden="1">
      <c r="A203" s="8" t="str">
        <f>HYPERLINK("http://www.analog.com/zh/ad5304#details", "AD5304")</f>
        <v>AD5304</v>
      </c>
      <c r="B203">
        <v>8</v>
      </c>
      <c r="C203">
        <v>4</v>
      </c>
      <c r="D203">
        <v>1.93</v>
      </c>
      <c r="E203">
        <v>5.0000000000000001E-3</v>
      </c>
      <c r="F203" t="s">
        <v>636</v>
      </c>
      <c r="G203" t="s">
        <v>8</v>
      </c>
      <c r="H203">
        <v>0.625</v>
      </c>
      <c r="I203">
        <v>6.0000000000000002E-6</v>
      </c>
      <c r="J203">
        <v>167000</v>
      </c>
      <c r="K203">
        <v>3.3E-3</v>
      </c>
      <c r="L203" t="s">
        <v>12</v>
      </c>
      <c r="M203" t="s">
        <v>217</v>
      </c>
    </row>
    <row r="204" spans="1:13" hidden="1">
      <c r="A204" s="8" t="str">
        <f>HYPERLINK("http://www.analog.com/zh/ad5542#details", "AD5542")</f>
        <v>AD5542</v>
      </c>
      <c r="B204">
        <v>16</v>
      </c>
      <c r="C204">
        <v>1</v>
      </c>
      <c r="D204">
        <v>10.71</v>
      </c>
      <c r="E204">
        <v>1E-4</v>
      </c>
      <c r="F204" t="s">
        <v>636</v>
      </c>
      <c r="G204" t="s">
        <v>103</v>
      </c>
      <c r="H204">
        <v>1</v>
      </c>
      <c r="I204" t="s">
        <v>8</v>
      </c>
      <c r="J204">
        <v>1500000</v>
      </c>
      <c r="K204">
        <v>6.0499999999999998E-3</v>
      </c>
      <c r="L204" t="s">
        <v>631</v>
      </c>
      <c r="M204" t="s">
        <v>392</v>
      </c>
    </row>
    <row r="205" spans="1:13" hidden="1">
      <c r="A205" s="8" t="str">
        <f>HYPERLINK("http://www.analog.com/zh/ad5541#details", "AD5541")</f>
        <v>AD5541</v>
      </c>
      <c r="B205">
        <v>16</v>
      </c>
      <c r="C205">
        <v>1</v>
      </c>
      <c r="D205">
        <v>9.15</v>
      </c>
      <c r="E205">
        <v>1E-4</v>
      </c>
      <c r="F205" t="s">
        <v>636</v>
      </c>
      <c r="G205" t="s">
        <v>127</v>
      </c>
      <c r="H205">
        <v>1</v>
      </c>
      <c r="I205" t="s">
        <v>8</v>
      </c>
      <c r="J205">
        <v>1500000</v>
      </c>
      <c r="K205">
        <v>6.0499999999999998E-3</v>
      </c>
      <c r="L205" t="s">
        <v>631</v>
      </c>
      <c r="M205" t="s">
        <v>394</v>
      </c>
    </row>
    <row r="206" spans="1:13" hidden="1">
      <c r="A206" s="8" t="str">
        <f>HYPERLINK("http://www.analog.com/zh/ad5321#details", "AD5321")</f>
        <v>AD5321</v>
      </c>
      <c r="B206">
        <v>12</v>
      </c>
      <c r="C206">
        <v>1</v>
      </c>
      <c r="D206">
        <v>3.29</v>
      </c>
      <c r="E206">
        <v>5.0000000000000001E-3</v>
      </c>
      <c r="F206" t="s">
        <v>634</v>
      </c>
      <c r="G206" t="s">
        <v>72</v>
      </c>
      <c r="H206">
        <v>16</v>
      </c>
      <c r="I206">
        <v>7.9999999999999996E-6</v>
      </c>
      <c r="J206">
        <v>125000</v>
      </c>
      <c r="K206">
        <v>7.5000000000000002E-4</v>
      </c>
      <c r="L206" t="s">
        <v>12</v>
      </c>
      <c r="M206" t="s">
        <v>419</v>
      </c>
    </row>
    <row r="207" spans="1:13" hidden="1">
      <c r="A207" s="8" t="str">
        <f>HYPERLINK("http://www.analog.com/zh/ad5311#details", "AD5311")</f>
        <v>AD5311</v>
      </c>
      <c r="B207">
        <v>10</v>
      </c>
      <c r="C207">
        <v>1</v>
      </c>
      <c r="D207">
        <v>2.5299999999999998</v>
      </c>
      <c r="E207">
        <v>5.0000000000000001E-3</v>
      </c>
      <c r="F207" t="s">
        <v>634</v>
      </c>
      <c r="G207" t="s">
        <v>72</v>
      </c>
      <c r="H207">
        <v>4</v>
      </c>
      <c r="I207">
        <v>6.9999999999999999E-6</v>
      </c>
      <c r="J207">
        <v>143000</v>
      </c>
      <c r="K207">
        <v>7.5000000000000002E-4</v>
      </c>
      <c r="L207" t="s">
        <v>12</v>
      </c>
      <c r="M207" t="s">
        <v>419</v>
      </c>
    </row>
    <row r="208" spans="1:13" hidden="1">
      <c r="A208" s="8" t="str">
        <f>HYPERLINK("http://www.analog.com/zh/ad5301#details", "AD5301")</f>
        <v>AD5301</v>
      </c>
      <c r="B208">
        <v>8</v>
      </c>
      <c r="C208">
        <v>1</v>
      </c>
      <c r="D208">
        <v>1.83</v>
      </c>
      <c r="E208">
        <v>5.0000000000000001E-3</v>
      </c>
      <c r="F208" t="s">
        <v>634</v>
      </c>
      <c r="G208" t="s">
        <v>72</v>
      </c>
      <c r="H208">
        <v>1</v>
      </c>
      <c r="I208">
        <v>6.0000000000000002E-6</v>
      </c>
      <c r="J208">
        <v>167000</v>
      </c>
      <c r="K208">
        <v>7.5000000000000002E-4</v>
      </c>
      <c r="L208" t="s">
        <v>12</v>
      </c>
      <c r="M208" t="s">
        <v>419</v>
      </c>
    </row>
    <row r="209" spans="1:13" hidden="1">
      <c r="A209" s="8" t="str">
        <f>HYPERLINK("http://www.analog.com/zh/ad5323#details", "AD5323")</f>
        <v>AD5323</v>
      </c>
      <c r="B209">
        <v>12</v>
      </c>
      <c r="C209">
        <v>2</v>
      </c>
      <c r="D209">
        <v>4.0999999999999996</v>
      </c>
      <c r="E209">
        <v>5.0000000000000001E-3</v>
      </c>
      <c r="F209" t="s">
        <v>636</v>
      </c>
      <c r="G209" t="s">
        <v>72</v>
      </c>
      <c r="H209">
        <v>8</v>
      </c>
      <c r="I209">
        <v>7.9999999999999996E-6</v>
      </c>
      <c r="J209">
        <v>125000</v>
      </c>
      <c r="K209">
        <v>1.5E-3</v>
      </c>
      <c r="L209" t="s">
        <v>12</v>
      </c>
      <c r="M209" t="s">
        <v>133</v>
      </c>
    </row>
    <row r="210" spans="1:13" hidden="1">
      <c r="A210" s="8" t="str">
        <f>HYPERLINK("http://www.analog.com/zh/ad5322#details", "AD5322")</f>
        <v>AD5322</v>
      </c>
      <c r="B210">
        <v>12</v>
      </c>
      <c r="C210">
        <v>2</v>
      </c>
      <c r="D210">
        <v>3.45</v>
      </c>
      <c r="E210">
        <v>5.0000000000000001E-3</v>
      </c>
      <c r="F210" t="s">
        <v>636</v>
      </c>
      <c r="G210" t="s">
        <v>72</v>
      </c>
      <c r="H210">
        <v>8</v>
      </c>
      <c r="I210">
        <v>7.9999999999999996E-6</v>
      </c>
      <c r="J210">
        <v>125000</v>
      </c>
      <c r="K210">
        <v>1.5E-3</v>
      </c>
      <c r="L210" t="s">
        <v>12</v>
      </c>
      <c r="M210" t="s">
        <v>75</v>
      </c>
    </row>
    <row r="211" spans="1:13" hidden="1">
      <c r="A211" s="8" t="str">
        <f>HYPERLINK("http://www.analog.com/zh/ad5313#details", "AD5313")</f>
        <v>AD5313</v>
      </c>
      <c r="B211">
        <v>10</v>
      </c>
      <c r="C211">
        <v>2</v>
      </c>
      <c r="D211">
        <v>2.5299999999999998</v>
      </c>
      <c r="E211">
        <v>5.0000000000000001E-3</v>
      </c>
      <c r="F211" t="s">
        <v>636</v>
      </c>
      <c r="G211" t="s">
        <v>72</v>
      </c>
      <c r="H211">
        <v>2</v>
      </c>
      <c r="I211">
        <v>6.9999999999999999E-6</v>
      </c>
      <c r="J211">
        <v>143000</v>
      </c>
      <c r="K211">
        <v>1.5E-3</v>
      </c>
      <c r="L211" t="s">
        <v>12</v>
      </c>
      <c r="M211" t="s">
        <v>133</v>
      </c>
    </row>
    <row r="212" spans="1:13" hidden="1">
      <c r="A212" s="8" t="str">
        <f>HYPERLINK("http://www.analog.com/zh/ad5312#details", "AD5312")</f>
        <v>AD5312</v>
      </c>
      <c r="B212">
        <v>10</v>
      </c>
      <c r="C212">
        <v>2</v>
      </c>
      <c r="D212">
        <v>2</v>
      </c>
      <c r="E212">
        <v>5.0000000000000001E-3</v>
      </c>
      <c r="F212" t="s">
        <v>636</v>
      </c>
      <c r="G212" t="s">
        <v>72</v>
      </c>
      <c r="H212">
        <v>2</v>
      </c>
      <c r="I212">
        <v>6.9999999999999999E-6</v>
      </c>
      <c r="J212">
        <v>143000</v>
      </c>
      <c r="K212">
        <v>1.5E-3</v>
      </c>
      <c r="L212" t="s">
        <v>12</v>
      </c>
      <c r="M212" t="s">
        <v>75</v>
      </c>
    </row>
    <row r="213" spans="1:13" hidden="1">
      <c r="A213" s="8" t="str">
        <f>HYPERLINK("http://www.analog.com/zh/ad5302#details", "AD5302")</f>
        <v>AD5302</v>
      </c>
      <c r="B213">
        <v>8</v>
      </c>
      <c r="C213">
        <v>2</v>
      </c>
      <c r="D213">
        <v>1.39</v>
      </c>
      <c r="E213">
        <v>5.0000000000000001E-3</v>
      </c>
      <c r="F213" t="s">
        <v>636</v>
      </c>
      <c r="G213" t="s">
        <v>72</v>
      </c>
      <c r="H213">
        <v>0.5</v>
      </c>
      <c r="I213">
        <v>6.0000000000000002E-6</v>
      </c>
      <c r="J213">
        <v>167000</v>
      </c>
      <c r="K213">
        <v>1.5E-3</v>
      </c>
      <c r="L213" t="s">
        <v>12</v>
      </c>
      <c r="M213" t="s">
        <v>75</v>
      </c>
    </row>
    <row r="214" spans="1:13" hidden="1">
      <c r="A214" s="8" t="str">
        <f>HYPERLINK("http://www.analog.com/zh/dac8043a#details", "DAC8043A")</f>
        <v>DAC8043A</v>
      </c>
      <c r="B214">
        <v>12</v>
      </c>
      <c r="C214">
        <v>1</v>
      </c>
      <c r="D214">
        <v>5.52</v>
      </c>
      <c r="E214">
        <v>8.9999999999999998E-4</v>
      </c>
      <c r="F214" t="s">
        <v>88</v>
      </c>
      <c r="G214" t="s">
        <v>8</v>
      </c>
      <c r="H214" t="s">
        <v>8</v>
      </c>
      <c r="I214" t="s">
        <v>8</v>
      </c>
      <c r="J214">
        <v>4000000</v>
      </c>
      <c r="K214">
        <v>5.0000000000000002E-5</v>
      </c>
      <c r="L214" t="s">
        <v>631</v>
      </c>
      <c r="M214" t="s">
        <v>427</v>
      </c>
    </row>
    <row r="215" spans="1:13" hidden="1">
      <c r="A215" s="8" t="str">
        <f>HYPERLINK("http://www.analog.com/zh/ad7397#details", "AD7397")</f>
        <v>AD7397</v>
      </c>
      <c r="B215">
        <v>10</v>
      </c>
      <c r="C215">
        <v>2</v>
      </c>
      <c r="D215">
        <v>3.89</v>
      </c>
      <c r="E215">
        <v>3.0000000000000001E-3</v>
      </c>
      <c r="F215" t="s">
        <v>192</v>
      </c>
      <c r="G215" t="s">
        <v>109</v>
      </c>
      <c r="H215">
        <v>1.75</v>
      </c>
      <c r="I215" t="s">
        <v>8</v>
      </c>
      <c r="J215">
        <v>17000</v>
      </c>
      <c r="K215">
        <v>1E-3</v>
      </c>
      <c r="L215" t="s">
        <v>12</v>
      </c>
      <c r="M215" t="s">
        <v>431</v>
      </c>
    </row>
    <row r="216" spans="1:13" hidden="1">
      <c r="A216" s="8" t="str">
        <f>HYPERLINK("http://www.analog.com/zh/ad7396#details", "AD7396")</f>
        <v>AD7396</v>
      </c>
      <c r="B216">
        <v>12</v>
      </c>
      <c r="C216">
        <v>2</v>
      </c>
      <c r="D216">
        <v>6.62</v>
      </c>
      <c r="E216">
        <v>3.0000000000000001E-3</v>
      </c>
      <c r="F216" t="s">
        <v>192</v>
      </c>
      <c r="G216" t="s">
        <v>109</v>
      </c>
      <c r="H216">
        <v>1.75</v>
      </c>
      <c r="I216" t="s">
        <v>8</v>
      </c>
      <c r="J216">
        <v>17000</v>
      </c>
      <c r="K216">
        <v>1E-3</v>
      </c>
      <c r="L216" t="s">
        <v>12</v>
      </c>
      <c r="M216" t="s">
        <v>433</v>
      </c>
    </row>
    <row r="217" spans="1:13" hidden="1">
      <c r="A217" s="8" t="str">
        <f>HYPERLINK("http://www.analog.com/zh/ad7394#details", "AD7394")</f>
        <v>AD7394</v>
      </c>
      <c r="B217">
        <v>12</v>
      </c>
      <c r="C217">
        <v>2</v>
      </c>
      <c r="D217" t="s">
        <v>8</v>
      </c>
      <c r="E217">
        <v>3.0000000000000001E-3</v>
      </c>
      <c r="F217" t="s">
        <v>88</v>
      </c>
      <c r="G217" t="s">
        <v>109</v>
      </c>
      <c r="H217">
        <v>1.5</v>
      </c>
      <c r="I217" t="s">
        <v>8</v>
      </c>
      <c r="J217">
        <v>17000</v>
      </c>
      <c r="K217">
        <v>1E-3</v>
      </c>
      <c r="L217" t="s">
        <v>12</v>
      </c>
      <c r="M217" t="s">
        <v>8</v>
      </c>
    </row>
    <row r="218" spans="1:13" hidden="1">
      <c r="A218" s="8" t="str">
        <f>HYPERLINK("http://www.analog.com/zh/ad7339#details", "AD7339")</f>
        <v>AD7339</v>
      </c>
      <c r="B218">
        <v>8</v>
      </c>
      <c r="C218">
        <v>2</v>
      </c>
      <c r="D218">
        <v>8.73</v>
      </c>
      <c r="E218" t="s">
        <v>8</v>
      </c>
      <c r="F218" t="s">
        <v>643</v>
      </c>
      <c r="G218" t="s">
        <v>8</v>
      </c>
      <c r="H218">
        <v>1</v>
      </c>
      <c r="I218" t="s">
        <v>8</v>
      </c>
      <c r="J218" t="s">
        <v>8</v>
      </c>
      <c r="K218">
        <v>0.22500000000000001</v>
      </c>
      <c r="L218" t="s">
        <v>12</v>
      </c>
      <c r="M218" t="s">
        <v>436</v>
      </c>
    </row>
    <row r="219" spans="1:13" hidden="1">
      <c r="A219" s="8" t="str">
        <f>HYPERLINK("http://www.analog.com/zh/ad7305#details", "AD7305")</f>
        <v>AD7305</v>
      </c>
      <c r="B219">
        <v>8</v>
      </c>
      <c r="C219">
        <v>4</v>
      </c>
      <c r="D219">
        <v>4.18</v>
      </c>
      <c r="E219">
        <v>3.0000000000000001E-3</v>
      </c>
      <c r="F219" t="s">
        <v>192</v>
      </c>
      <c r="G219" t="s">
        <v>361</v>
      </c>
      <c r="H219">
        <v>1</v>
      </c>
      <c r="I219" t="s">
        <v>8</v>
      </c>
      <c r="J219">
        <v>1000000</v>
      </c>
      <c r="K219">
        <v>0.06</v>
      </c>
      <c r="L219" t="s">
        <v>12</v>
      </c>
      <c r="M219" t="s">
        <v>438</v>
      </c>
    </row>
    <row r="220" spans="1:13" hidden="1">
      <c r="A220" s="8" t="str">
        <f>HYPERLINK("http://www.analog.com/zh/ad7304#details", "AD7304")</f>
        <v>AD7304</v>
      </c>
      <c r="B220">
        <v>8</v>
      </c>
      <c r="C220">
        <v>4</v>
      </c>
      <c r="D220">
        <v>3.62</v>
      </c>
      <c r="E220">
        <v>3.0000000000000001E-3</v>
      </c>
      <c r="F220" t="s">
        <v>88</v>
      </c>
      <c r="G220" t="s">
        <v>361</v>
      </c>
      <c r="H220">
        <v>1</v>
      </c>
      <c r="I220" t="s">
        <v>8</v>
      </c>
      <c r="J220">
        <v>1000000</v>
      </c>
      <c r="K220">
        <v>0.06</v>
      </c>
      <c r="L220" t="s">
        <v>12</v>
      </c>
      <c r="M220" t="s">
        <v>439</v>
      </c>
    </row>
    <row r="221" spans="1:13" hidden="1">
      <c r="A221" s="8" t="str">
        <f>HYPERLINK("http://www.analog.com/zh/ad5320#details", "AD5320")</f>
        <v>AD5320</v>
      </c>
      <c r="B221">
        <v>12</v>
      </c>
      <c r="C221">
        <v>1</v>
      </c>
      <c r="D221">
        <v>2.78</v>
      </c>
      <c r="E221">
        <v>5.0000000000000001E-3</v>
      </c>
      <c r="F221" t="s">
        <v>636</v>
      </c>
      <c r="G221" t="s">
        <v>109</v>
      </c>
      <c r="H221">
        <v>16</v>
      </c>
      <c r="I221">
        <v>7.9999999999999996E-6</v>
      </c>
      <c r="J221">
        <v>125000</v>
      </c>
      <c r="K221">
        <v>7.6999999999999996E-4</v>
      </c>
      <c r="L221" t="s">
        <v>12</v>
      </c>
      <c r="M221" t="s">
        <v>419</v>
      </c>
    </row>
    <row r="222" spans="1:13" hidden="1">
      <c r="A222" s="8" t="str">
        <f>HYPERLINK("http://www.analog.com/zh/ad5310#details", "AD5310")</f>
        <v>AD5310</v>
      </c>
      <c r="B222">
        <v>10</v>
      </c>
      <c r="C222">
        <v>1</v>
      </c>
      <c r="D222">
        <v>2.21</v>
      </c>
      <c r="E222">
        <v>5.0000000000000001E-3</v>
      </c>
      <c r="F222" t="s">
        <v>636</v>
      </c>
      <c r="G222" t="s">
        <v>109</v>
      </c>
      <c r="H222">
        <v>4</v>
      </c>
      <c r="I222">
        <v>6.0000000000000002E-6</v>
      </c>
      <c r="J222">
        <v>167000</v>
      </c>
      <c r="K222">
        <v>7.6999999999999996E-4</v>
      </c>
      <c r="L222" t="s">
        <v>12</v>
      </c>
      <c r="M222" t="s">
        <v>442</v>
      </c>
    </row>
    <row r="223" spans="1:13" hidden="1">
      <c r="A223" s="8" t="str">
        <f>HYPERLINK("http://www.analog.com/zh/ad5300#details", "AD5300")</f>
        <v>AD5300</v>
      </c>
      <c r="B223">
        <v>8</v>
      </c>
      <c r="C223">
        <v>1</v>
      </c>
      <c r="D223">
        <v>1.4</v>
      </c>
      <c r="E223">
        <v>5.0000000000000001E-3</v>
      </c>
      <c r="F223" t="s">
        <v>636</v>
      </c>
      <c r="G223" t="s">
        <v>109</v>
      </c>
      <c r="H223">
        <v>1</v>
      </c>
      <c r="I223" t="s">
        <v>8</v>
      </c>
      <c r="J223">
        <v>250000</v>
      </c>
      <c r="K223">
        <v>6.9999999999999999E-4</v>
      </c>
      <c r="L223" t="s">
        <v>12</v>
      </c>
      <c r="M223" t="s">
        <v>442</v>
      </c>
    </row>
    <row r="224" spans="1:13" hidden="1">
      <c r="A224" s="8" t="str">
        <f>HYPERLINK("http://www.analog.com/zh/ad7801#details", "AD7801")</f>
        <v>AD7801</v>
      </c>
      <c r="B224">
        <v>8</v>
      </c>
      <c r="C224">
        <v>1</v>
      </c>
      <c r="D224">
        <v>2.44</v>
      </c>
      <c r="E224">
        <v>1E-3</v>
      </c>
      <c r="F224" t="s">
        <v>192</v>
      </c>
      <c r="G224" t="s">
        <v>109</v>
      </c>
      <c r="H224">
        <v>1</v>
      </c>
      <c r="I224" t="s">
        <v>8</v>
      </c>
      <c r="J224">
        <v>833000</v>
      </c>
      <c r="K224">
        <v>1.29E-2</v>
      </c>
      <c r="L224" t="s">
        <v>12</v>
      </c>
      <c r="M224" t="s">
        <v>438</v>
      </c>
    </row>
    <row r="225" spans="1:13" hidden="1">
      <c r="A225" s="8" t="str">
        <f>HYPERLINK("http://www.analog.com/zh/ad7392#details", "AD7392")</f>
        <v>AD7392</v>
      </c>
      <c r="B225">
        <v>12</v>
      </c>
      <c r="C225">
        <v>1</v>
      </c>
      <c r="D225">
        <v>5.63</v>
      </c>
      <c r="E225">
        <v>1E-3</v>
      </c>
      <c r="F225" t="s">
        <v>192</v>
      </c>
      <c r="G225" t="s">
        <v>109</v>
      </c>
      <c r="H225">
        <v>1.8</v>
      </c>
      <c r="I225" t="s">
        <v>8</v>
      </c>
      <c r="J225">
        <v>17000</v>
      </c>
      <c r="K225">
        <v>2.9999999999999997E-4</v>
      </c>
      <c r="L225" t="s">
        <v>12</v>
      </c>
      <c r="M225" t="s">
        <v>450</v>
      </c>
    </row>
    <row r="226" spans="1:13" hidden="1">
      <c r="A226" s="8" t="str">
        <f>HYPERLINK("http://www.analog.com/zh/ad7391#details", "AD7391")</f>
        <v>AD7391</v>
      </c>
      <c r="B226">
        <v>10</v>
      </c>
      <c r="C226">
        <v>1</v>
      </c>
      <c r="D226">
        <v>3.64</v>
      </c>
      <c r="E226">
        <v>1E-3</v>
      </c>
      <c r="F226" t="s">
        <v>648</v>
      </c>
      <c r="G226" t="s">
        <v>8</v>
      </c>
      <c r="H226">
        <v>1.75</v>
      </c>
      <c r="I226" t="s">
        <v>8</v>
      </c>
      <c r="J226">
        <v>17000</v>
      </c>
      <c r="K226">
        <v>5.0000000000000001E-4</v>
      </c>
      <c r="L226" t="s">
        <v>12</v>
      </c>
      <c r="M226" t="s">
        <v>453</v>
      </c>
    </row>
    <row r="227" spans="1:13" hidden="1">
      <c r="A227" s="8" t="str">
        <f>HYPERLINK("http://www.analog.com/zh/ad7390#details", "AD7390")</f>
        <v>AD7390</v>
      </c>
      <c r="B227">
        <v>12</v>
      </c>
      <c r="C227">
        <v>1</v>
      </c>
      <c r="D227">
        <v>5.3</v>
      </c>
      <c r="E227">
        <v>1E-3</v>
      </c>
      <c r="F227" t="s">
        <v>648</v>
      </c>
      <c r="G227" t="s">
        <v>8</v>
      </c>
      <c r="H227">
        <v>1.6</v>
      </c>
      <c r="I227" t="s">
        <v>8</v>
      </c>
      <c r="J227">
        <v>17000</v>
      </c>
      <c r="K227">
        <v>5.0000000000000001E-4</v>
      </c>
      <c r="L227" t="s">
        <v>12</v>
      </c>
      <c r="M227" t="s">
        <v>455</v>
      </c>
    </row>
    <row r="228" spans="1:13" hidden="1">
      <c r="A228" s="8" t="str">
        <f>HYPERLINK("http://www.analog.com/zh/ad7302#details", "AD7302")</f>
        <v>AD7302</v>
      </c>
      <c r="B228">
        <v>8</v>
      </c>
      <c r="C228">
        <v>2</v>
      </c>
      <c r="D228">
        <v>2.6</v>
      </c>
      <c r="E228">
        <v>5.0000000000000001E-4</v>
      </c>
      <c r="F228" t="s">
        <v>192</v>
      </c>
      <c r="G228" t="s">
        <v>109</v>
      </c>
      <c r="H228">
        <v>1</v>
      </c>
      <c r="I228" t="s">
        <v>8</v>
      </c>
      <c r="J228">
        <v>833000</v>
      </c>
      <c r="K228">
        <v>2.4799999999999999E-2</v>
      </c>
      <c r="L228" t="s">
        <v>12</v>
      </c>
      <c r="M228" t="s">
        <v>458</v>
      </c>
    </row>
    <row r="229" spans="1:13" hidden="1">
      <c r="A229" s="8" t="str">
        <f>HYPERLINK("http://www.analog.com/zh/ad7303#details", "AD7303")</f>
        <v>AD7303</v>
      </c>
      <c r="B229">
        <v>8</v>
      </c>
      <c r="C229">
        <v>2</v>
      </c>
      <c r="D229">
        <v>3.06</v>
      </c>
      <c r="E229">
        <v>5.0000000000000001E-4</v>
      </c>
      <c r="F229" t="s">
        <v>649</v>
      </c>
      <c r="G229" t="s">
        <v>109</v>
      </c>
      <c r="H229">
        <v>1</v>
      </c>
      <c r="I229" t="s">
        <v>8</v>
      </c>
      <c r="J229">
        <v>833000</v>
      </c>
      <c r="K229">
        <v>6.9300000000000004E-3</v>
      </c>
      <c r="L229" t="s">
        <v>12</v>
      </c>
      <c r="M229" t="s">
        <v>462</v>
      </c>
    </row>
    <row r="230" spans="1:13" hidden="1">
      <c r="A230" s="8" t="str">
        <f>HYPERLINK("http://www.analog.com/zh/ad7836#details", "AD7836")</f>
        <v>AD7836</v>
      </c>
      <c r="B230">
        <v>14</v>
      </c>
      <c r="C230">
        <v>4</v>
      </c>
      <c r="D230">
        <v>33.409999999999997</v>
      </c>
      <c r="E230">
        <v>2E-3</v>
      </c>
      <c r="F230" t="s">
        <v>192</v>
      </c>
      <c r="G230" t="s">
        <v>368</v>
      </c>
      <c r="H230">
        <v>2</v>
      </c>
      <c r="I230" t="s">
        <v>8</v>
      </c>
      <c r="J230">
        <v>62500</v>
      </c>
      <c r="K230">
        <v>0.46</v>
      </c>
      <c r="L230" t="s">
        <v>631</v>
      </c>
      <c r="M230" t="s">
        <v>466</v>
      </c>
    </row>
    <row r="231" spans="1:13" hidden="1">
      <c r="A231" s="8" t="str">
        <f>HYPERLINK("http://www.analog.com/zh/ad7809#details", "AD7809")</f>
        <v>AD7809</v>
      </c>
      <c r="B231">
        <v>10</v>
      </c>
      <c r="C231">
        <v>8</v>
      </c>
      <c r="D231">
        <v>13.19</v>
      </c>
      <c r="E231">
        <v>1E-3</v>
      </c>
      <c r="F231" t="s">
        <v>192</v>
      </c>
      <c r="G231" t="s">
        <v>650</v>
      </c>
      <c r="H231">
        <v>4</v>
      </c>
      <c r="I231" t="s">
        <v>8</v>
      </c>
      <c r="J231">
        <v>667000</v>
      </c>
      <c r="K231">
        <v>9.9000000000000005E-2</v>
      </c>
      <c r="L231" t="s">
        <v>12</v>
      </c>
      <c r="M231" t="s">
        <v>471</v>
      </c>
    </row>
    <row r="232" spans="1:13" hidden="1">
      <c r="A232" s="8" t="str">
        <f>HYPERLINK("http://www.analog.com/zh/ad7808#details", "AD7808")</f>
        <v>AD7808</v>
      </c>
      <c r="B232">
        <v>10</v>
      </c>
      <c r="C232">
        <v>8</v>
      </c>
      <c r="D232">
        <v>11.4</v>
      </c>
      <c r="E232">
        <v>1E-3</v>
      </c>
      <c r="F232" t="s">
        <v>88</v>
      </c>
      <c r="G232" t="s">
        <v>650</v>
      </c>
      <c r="H232">
        <v>4</v>
      </c>
      <c r="I232" t="s">
        <v>8</v>
      </c>
      <c r="J232">
        <v>667000</v>
      </c>
      <c r="K232">
        <v>9.9000000000000005E-2</v>
      </c>
      <c r="L232" t="s">
        <v>12</v>
      </c>
      <c r="M232" t="s">
        <v>433</v>
      </c>
    </row>
    <row r="233" spans="1:13" hidden="1">
      <c r="A233" s="8" t="str">
        <f>HYPERLINK("http://www.analog.com/zh/ad7835#details", "AD7835")</f>
        <v>AD7835</v>
      </c>
      <c r="B233">
        <v>14</v>
      </c>
      <c r="C233">
        <v>4</v>
      </c>
      <c r="D233">
        <v>33.42</v>
      </c>
      <c r="E233">
        <v>8.0000000000000004E-4</v>
      </c>
      <c r="F233" t="s">
        <v>651</v>
      </c>
      <c r="G233" t="s">
        <v>476</v>
      </c>
      <c r="H233">
        <v>1</v>
      </c>
      <c r="I233" t="s">
        <v>8</v>
      </c>
      <c r="J233">
        <v>100000</v>
      </c>
      <c r="K233">
        <v>0.46500000000000002</v>
      </c>
      <c r="L233" t="s">
        <v>631</v>
      </c>
      <c r="M233" t="s">
        <v>478</v>
      </c>
    </row>
    <row r="234" spans="1:13" hidden="1">
      <c r="A234" s="8" t="str">
        <f>HYPERLINK("http://www.analog.com/zh/ad7805#details", "AD7805")</f>
        <v>AD7805</v>
      </c>
      <c r="B234">
        <v>10</v>
      </c>
      <c r="C234">
        <v>4</v>
      </c>
      <c r="D234">
        <v>9.34</v>
      </c>
      <c r="E234">
        <v>1E-3</v>
      </c>
      <c r="F234" t="s">
        <v>192</v>
      </c>
      <c r="G234" t="s">
        <v>650</v>
      </c>
      <c r="H234">
        <v>3</v>
      </c>
      <c r="I234" t="s">
        <v>8</v>
      </c>
      <c r="J234">
        <v>667000</v>
      </c>
      <c r="K234">
        <v>6.6000000000000003E-2</v>
      </c>
      <c r="L234" t="s">
        <v>12</v>
      </c>
      <c r="M234" t="s">
        <v>481</v>
      </c>
    </row>
    <row r="235" spans="1:13" hidden="1">
      <c r="A235" s="8" t="str">
        <f>HYPERLINK("http://www.analog.com/zh/ad7804#details", "AD7804")</f>
        <v>AD7804</v>
      </c>
      <c r="B235">
        <v>10</v>
      </c>
      <c r="C235">
        <v>4</v>
      </c>
      <c r="D235">
        <v>9.6300000000000008</v>
      </c>
      <c r="E235">
        <v>1E-3</v>
      </c>
      <c r="F235" t="s">
        <v>88</v>
      </c>
      <c r="G235" t="s">
        <v>650</v>
      </c>
      <c r="H235">
        <v>3</v>
      </c>
      <c r="I235" t="s">
        <v>8</v>
      </c>
      <c r="J235">
        <v>667000</v>
      </c>
      <c r="K235">
        <v>6.6000000000000003E-2</v>
      </c>
      <c r="L235" t="s">
        <v>12</v>
      </c>
      <c r="M235" t="s">
        <v>483</v>
      </c>
    </row>
    <row r="236" spans="1:13" hidden="1">
      <c r="A236" s="8" t="str">
        <f>HYPERLINK("http://www.analog.com/zh/ad8804#details", "AD8804")</f>
        <v>AD8804</v>
      </c>
      <c r="B236">
        <v>8</v>
      </c>
      <c r="C236">
        <v>12</v>
      </c>
      <c r="D236">
        <v>4.42</v>
      </c>
      <c r="E236" t="s">
        <v>8</v>
      </c>
      <c r="F236" t="s">
        <v>88</v>
      </c>
      <c r="G236" t="s">
        <v>8</v>
      </c>
      <c r="H236">
        <v>1.5</v>
      </c>
      <c r="I236" t="s">
        <v>8</v>
      </c>
      <c r="J236">
        <v>1700000</v>
      </c>
      <c r="K236">
        <v>0.02</v>
      </c>
      <c r="L236" t="s">
        <v>12</v>
      </c>
      <c r="M236" t="s">
        <v>485</v>
      </c>
    </row>
    <row r="237" spans="1:13" hidden="1">
      <c r="A237" s="8" t="str">
        <f>HYPERLINK("http://www.analog.com/zh/ad8802#details", "AD8802")</f>
        <v>AD8802</v>
      </c>
      <c r="B237">
        <v>8</v>
      </c>
      <c r="C237">
        <v>12</v>
      </c>
      <c r="D237">
        <v>4.42</v>
      </c>
      <c r="E237" t="s">
        <v>8</v>
      </c>
      <c r="F237" t="s">
        <v>88</v>
      </c>
      <c r="G237" t="s">
        <v>8</v>
      </c>
      <c r="H237">
        <v>1.5</v>
      </c>
      <c r="I237" t="s">
        <v>8</v>
      </c>
      <c r="J237">
        <v>1700000</v>
      </c>
      <c r="K237">
        <v>0.02</v>
      </c>
      <c r="L237" t="s">
        <v>12</v>
      </c>
      <c r="M237" t="s">
        <v>438</v>
      </c>
    </row>
    <row r="238" spans="1:13" hidden="1">
      <c r="A238" s="8" t="str">
        <f>HYPERLINK("http://www.analog.com/zh/ad8803#details", "AD8803")</f>
        <v>AD8803</v>
      </c>
      <c r="B238">
        <v>8</v>
      </c>
      <c r="C238">
        <v>8</v>
      </c>
      <c r="D238">
        <v>4.7</v>
      </c>
      <c r="E238" t="s">
        <v>8</v>
      </c>
      <c r="F238" t="s">
        <v>88</v>
      </c>
      <c r="G238" t="s">
        <v>8</v>
      </c>
      <c r="H238">
        <v>1.5</v>
      </c>
      <c r="I238" t="s">
        <v>8</v>
      </c>
      <c r="J238">
        <v>1700000</v>
      </c>
      <c r="K238">
        <v>0.02</v>
      </c>
      <c r="L238" t="s">
        <v>12</v>
      </c>
      <c r="M238" t="s">
        <v>486</v>
      </c>
    </row>
    <row r="239" spans="1:13" hidden="1">
      <c r="A239" s="8" t="str">
        <f>HYPERLINK("http://www.analog.com/zh/ad8801#details", "AD8801")</f>
        <v>AD8801</v>
      </c>
      <c r="B239">
        <v>8</v>
      </c>
      <c r="C239">
        <v>8</v>
      </c>
      <c r="D239">
        <v>3.85</v>
      </c>
      <c r="E239" t="s">
        <v>8</v>
      </c>
      <c r="F239" t="s">
        <v>88</v>
      </c>
      <c r="G239" t="s">
        <v>8</v>
      </c>
      <c r="H239">
        <v>1.5</v>
      </c>
      <c r="I239" t="s">
        <v>8</v>
      </c>
      <c r="J239">
        <v>1700000</v>
      </c>
      <c r="K239">
        <v>0.02</v>
      </c>
      <c r="L239" t="s">
        <v>12</v>
      </c>
      <c r="M239" t="s">
        <v>486</v>
      </c>
    </row>
    <row r="240" spans="1:13">
      <c r="A240" s="8" t="str">
        <f>HYPERLINK("http://www.analog.com/zh/ad760#details", "AD760")</f>
        <v>AD760</v>
      </c>
      <c r="B240">
        <v>18</v>
      </c>
      <c r="C240">
        <v>1</v>
      </c>
      <c r="D240">
        <v>82.78</v>
      </c>
      <c r="E240">
        <v>5.0000000000000001E-3</v>
      </c>
      <c r="F240" t="s">
        <v>652</v>
      </c>
      <c r="G240" t="s">
        <v>368</v>
      </c>
      <c r="H240">
        <v>0.75</v>
      </c>
      <c r="I240" t="s">
        <v>8</v>
      </c>
      <c r="J240">
        <v>167000</v>
      </c>
      <c r="K240">
        <v>0.72499999999999998</v>
      </c>
      <c r="L240" t="s">
        <v>631</v>
      </c>
      <c r="M240" t="s">
        <v>491</v>
      </c>
    </row>
    <row r="241" spans="1:13" hidden="1">
      <c r="A241" s="8" t="str">
        <f>HYPERLINK("http://www.analog.com/zh/ad8300#details", "AD8300")</f>
        <v>AD8300</v>
      </c>
      <c r="B241">
        <v>12</v>
      </c>
      <c r="C241">
        <v>1</v>
      </c>
      <c r="D241">
        <v>6.39</v>
      </c>
      <c r="E241">
        <v>5.0000000000000001E-3</v>
      </c>
      <c r="F241" t="s">
        <v>88</v>
      </c>
      <c r="G241" t="s">
        <v>8</v>
      </c>
      <c r="H241">
        <v>2</v>
      </c>
      <c r="I241" t="s">
        <v>8</v>
      </c>
      <c r="J241">
        <v>71000</v>
      </c>
      <c r="K241">
        <v>8.5000000000000006E-3</v>
      </c>
      <c r="L241" t="s">
        <v>12</v>
      </c>
      <c r="M241" t="s">
        <v>455</v>
      </c>
    </row>
    <row r="242" spans="1:13" hidden="1">
      <c r="A242" s="8" t="str">
        <f>HYPERLINK("http://www.analog.com/zh/ad7564#details", "AD7564")</f>
        <v>AD7564</v>
      </c>
      <c r="B242">
        <v>12</v>
      </c>
      <c r="C242">
        <v>4</v>
      </c>
      <c r="D242">
        <v>13.24</v>
      </c>
      <c r="E242">
        <v>1.1000000000000001E-3</v>
      </c>
      <c r="F242" t="s">
        <v>88</v>
      </c>
      <c r="G242" t="s">
        <v>8</v>
      </c>
      <c r="H242" t="s">
        <v>8</v>
      </c>
      <c r="I242" t="s">
        <v>8</v>
      </c>
      <c r="J242">
        <v>1800000</v>
      </c>
      <c r="K242">
        <v>5.0000000000000002E-5</v>
      </c>
      <c r="L242" t="s">
        <v>631</v>
      </c>
      <c r="M242" t="s">
        <v>498</v>
      </c>
    </row>
    <row r="243" spans="1:13" hidden="1">
      <c r="A243" s="8" t="str">
        <f>HYPERLINK("http://www.analog.com/zh/ad8600#details", "AD8600")</f>
        <v>AD8600</v>
      </c>
      <c r="B243">
        <v>8</v>
      </c>
      <c r="C243">
        <v>16</v>
      </c>
      <c r="D243" t="s">
        <v>8</v>
      </c>
      <c r="E243">
        <v>2E-3</v>
      </c>
      <c r="F243" t="s">
        <v>192</v>
      </c>
      <c r="G243" t="s">
        <v>8</v>
      </c>
      <c r="H243">
        <v>1</v>
      </c>
      <c r="I243" t="s">
        <v>8</v>
      </c>
      <c r="J243">
        <v>1000000</v>
      </c>
      <c r="K243">
        <v>0.35</v>
      </c>
      <c r="L243" t="s">
        <v>12</v>
      </c>
      <c r="M243" t="s">
        <v>8</v>
      </c>
    </row>
    <row r="244" spans="1:13" hidden="1">
      <c r="A244" s="8" t="str">
        <f>HYPERLINK("http://www.analog.com/zh/ad8522#details", "AD8522")</f>
        <v>AD8522</v>
      </c>
      <c r="B244">
        <v>12</v>
      </c>
      <c r="C244">
        <v>2</v>
      </c>
      <c r="D244">
        <v>11.98</v>
      </c>
      <c r="E244">
        <v>5.0000000000000001E-3</v>
      </c>
      <c r="F244" t="s">
        <v>88</v>
      </c>
      <c r="G244" t="s">
        <v>8</v>
      </c>
      <c r="H244">
        <v>1.5</v>
      </c>
      <c r="I244" t="s">
        <v>8</v>
      </c>
      <c r="J244">
        <v>62500</v>
      </c>
      <c r="K244">
        <v>2.5000000000000001E-2</v>
      </c>
      <c r="L244" t="s">
        <v>12</v>
      </c>
      <c r="M244" t="s">
        <v>502</v>
      </c>
    </row>
    <row r="245" spans="1:13" hidden="1">
      <c r="A245" s="8" t="str">
        <f>HYPERLINK("http://www.analog.com/zh/ad7948#details", "AD7948")</f>
        <v>AD7948</v>
      </c>
      <c r="B245">
        <v>12</v>
      </c>
      <c r="C245">
        <v>1</v>
      </c>
      <c r="D245">
        <v>5.15</v>
      </c>
      <c r="E245">
        <v>1.5E-3</v>
      </c>
      <c r="F245" t="s">
        <v>651</v>
      </c>
      <c r="G245" t="s">
        <v>8</v>
      </c>
      <c r="H245" t="s">
        <v>8</v>
      </c>
      <c r="I245" t="s">
        <v>8</v>
      </c>
      <c r="J245">
        <v>1700000</v>
      </c>
      <c r="K245">
        <v>2.5000000000000001E-5</v>
      </c>
      <c r="L245" t="s">
        <v>631</v>
      </c>
      <c r="M245" t="s">
        <v>504</v>
      </c>
    </row>
    <row r="246" spans="1:13" hidden="1">
      <c r="A246" s="8" t="str">
        <f>HYPERLINK("http://www.analog.com/zh/ad7945#details", "AD7945")</f>
        <v>AD7945</v>
      </c>
      <c r="B246">
        <v>12</v>
      </c>
      <c r="C246">
        <v>1</v>
      </c>
      <c r="D246">
        <v>4.4000000000000004</v>
      </c>
      <c r="E246">
        <v>1.5E-3</v>
      </c>
      <c r="F246" t="s">
        <v>192</v>
      </c>
      <c r="G246" t="s">
        <v>8</v>
      </c>
      <c r="H246" t="s">
        <v>8</v>
      </c>
      <c r="I246" t="s">
        <v>8</v>
      </c>
      <c r="J246">
        <v>1700000</v>
      </c>
      <c r="K246">
        <v>2.5000000000000001E-5</v>
      </c>
      <c r="L246" t="s">
        <v>631</v>
      </c>
      <c r="M246" t="s">
        <v>505</v>
      </c>
    </row>
    <row r="247" spans="1:13" hidden="1">
      <c r="A247" s="8" t="str">
        <f>HYPERLINK("http://www.analog.com/zh/ad7943#details", "AD7943")</f>
        <v>AD7943</v>
      </c>
      <c r="B247">
        <v>12</v>
      </c>
      <c r="C247">
        <v>1</v>
      </c>
      <c r="D247">
        <v>4.4000000000000004</v>
      </c>
      <c r="E247">
        <v>1.5E-3</v>
      </c>
      <c r="F247" t="s">
        <v>88</v>
      </c>
      <c r="G247" t="s">
        <v>8</v>
      </c>
      <c r="H247" t="s">
        <v>8</v>
      </c>
      <c r="I247" t="s">
        <v>8</v>
      </c>
      <c r="J247">
        <v>1700000</v>
      </c>
      <c r="K247">
        <v>2.5000000000000001E-5</v>
      </c>
      <c r="L247" t="s">
        <v>631</v>
      </c>
      <c r="M247" t="s">
        <v>506</v>
      </c>
    </row>
    <row r="248" spans="1:13" hidden="1">
      <c r="A248" s="8" t="str">
        <f>HYPERLINK("http://www.analog.com/zh/ad8582#details", "AD8582")</f>
        <v>AD8582</v>
      </c>
      <c r="B248">
        <v>12</v>
      </c>
      <c r="C248">
        <v>2</v>
      </c>
      <c r="D248">
        <v>14.56</v>
      </c>
      <c r="E248">
        <v>5.0000000000000001E-3</v>
      </c>
      <c r="F248" t="s">
        <v>192</v>
      </c>
      <c r="G248" t="s">
        <v>8</v>
      </c>
      <c r="H248">
        <v>2</v>
      </c>
      <c r="I248" t="s">
        <v>8</v>
      </c>
      <c r="J248">
        <v>62500</v>
      </c>
      <c r="K248">
        <v>3.5000000000000003E-2</v>
      </c>
      <c r="L248" t="s">
        <v>12</v>
      </c>
      <c r="M248" t="s">
        <v>508</v>
      </c>
    </row>
    <row r="249" spans="1:13" hidden="1">
      <c r="A249" s="8" t="str">
        <f>HYPERLINK("http://www.analog.com/zh/dac8420#details", "DAC8420")</f>
        <v>DAC8420</v>
      </c>
      <c r="B249">
        <v>12</v>
      </c>
      <c r="C249">
        <v>4</v>
      </c>
      <c r="D249">
        <v>33.94</v>
      </c>
      <c r="E249">
        <v>5.0000000000000001E-3</v>
      </c>
      <c r="F249" t="s">
        <v>88</v>
      </c>
      <c r="G249" t="s">
        <v>8</v>
      </c>
      <c r="H249">
        <v>0.5</v>
      </c>
      <c r="I249" t="s">
        <v>8</v>
      </c>
      <c r="J249">
        <v>125000</v>
      </c>
      <c r="K249">
        <v>0.255</v>
      </c>
      <c r="L249" t="s">
        <v>631</v>
      </c>
      <c r="M249" t="s">
        <v>511</v>
      </c>
    </row>
    <row r="250" spans="1:13" hidden="1">
      <c r="A250" s="8" t="str">
        <f>HYPERLINK("http://www.analog.com/zh/ad660#details", "AD660")</f>
        <v>AD660</v>
      </c>
      <c r="B250">
        <v>16</v>
      </c>
      <c r="C250">
        <v>1</v>
      </c>
      <c r="D250">
        <v>19.48</v>
      </c>
      <c r="E250">
        <v>5.0000000000000001E-3</v>
      </c>
      <c r="F250" t="s">
        <v>652</v>
      </c>
      <c r="G250" t="s">
        <v>109</v>
      </c>
      <c r="H250">
        <v>1</v>
      </c>
      <c r="I250" t="s">
        <v>8</v>
      </c>
      <c r="J250">
        <v>167000</v>
      </c>
      <c r="K250">
        <v>0.625</v>
      </c>
      <c r="L250" t="s">
        <v>631</v>
      </c>
      <c r="M250" t="s">
        <v>514</v>
      </c>
    </row>
    <row r="251" spans="1:13" hidden="1">
      <c r="A251" s="8" t="str">
        <f>HYPERLINK("http://www.analog.com/zh/ad7249#details", "AD7249")</f>
        <v>AD7249</v>
      </c>
      <c r="B251">
        <v>12</v>
      </c>
      <c r="C251">
        <v>2</v>
      </c>
      <c r="D251">
        <v>13.74</v>
      </c>
      <c r="E251">
        <v>5.0000000000000001E-3</v>
      </c>
      <c r="F251" t="s">
        <v>88</v>
      </c>
      <c r="G251" t="s">
        <v>653</v>
      </c>
      <c r="H251">
        <v>0.5</v>
      </c>
      <c r="I251" t="s">
        <v>8</v>
      </c>
      <c r="J251">
        <v>125000</v>
      </c>
      <c r="K251">
        <v>0.3</v>
      </c>
      <c r="L251" t="s">
        <v>631</v>
      </c>
      <c r="M251" t="s">
        <v>511</v>
      </c>
    </row>
    <row r="252" spans="1:13" hidden="1">
      <c r="A252" s="8" t="str">
        <f>HYPERLINK("http://www.analog.com/zh/dac8562#details", "DAC8562")</f>
        <v>DAC8562</v>
      </c>
      <c r="B252">
        <v>12</v>
      </c>
      <c r="C252">
        <v>1</v>
      </c>
      <c r="D252">
        <v>10.9</v>
      </c>
      <c r="E252">
        <v>7.0000000000000001E-3</v>
      </c>
      <c r="F252" t="s">
        <v>192</v>
      </c>
      <c r="G252" t="s">
        <v>8</v>
      </c>
      <c r="H252">
        <v>0.5</v>
      </c>
      <c r="I252" t="s">
        <v>8</v>
      </c>
      <c r="J252">
        <v>62500</v>
      </c>
      <c r="K252">
        <v>0.03</v>
      </c>
      <c r="L252" t="s">
        <v>12</v>
      </c>
      <c r="M252" t="s">
        <v>520</v>
      </c>
    </row>
    <row r="253" spans="1:13" hidden="1">
      <c r="A253" s="8" t="str">
        <f>HYPERLINK("http://www.analog.com/zh/dac8512#details", "DAC8512")</f>
        <v>DAC8512</v>
      </c>
      <c r="B253">
        <v>12</v>
      </c>
      <c r="C253">
        <v>1</v>
      </c>
      <c r="D253">
        <v>6.08</v>
      </c>
      <c r="E253">
        <v>7.0000000000000001E-3</v>
      </c>
      <c r="F253" t="s">
        <v>88</v>
      </c>
      <c r="G253" t="s">
        <v>8</v>
      </c>
      <c r="H253">
        <v>1</v>
      </c>
      <c r="I253" t="s">
        <v>8</v>
      </c>
      <c r="J253">
        <v>62500</v>
      </c>
      <c r="K253">
        <v>2.5000000000000001E-3</v>
      </c>
      <c r="L253" t="s">
        <v>12</v>
      </c>
      <c r="M253" t="s">
        <v>522</v>
      </c>
    </row>
    <row r="254" spans="1:13" hidden="1">
      <c r="A254" s="8" t="str">
        <f>HYPERLINK("http://www.analog.com/zh/ad7112#details", "AD7112")</f>
        <v>AD7112</v>
      </c>
      <c r="B254">
        <v>17</v>
      </c>
      <c r="C254">
        <v>2</v>
      </c>
      <c r="D254" t="s">
        <v>8</v>
      </c>
      <c r="E254">
        <v>2.5000000000000001E-3</v>
      </c>
      <c r="F254" t="s">
        <v>192</v>
      </c>
      <c r="G254" t="s">
        <v>8</v>
      </c>
      <c r="H254" t="s">
        <v>8</v>
      </c>
      <c r="I254" t="s">
        <v>8</v>
      </c>
      <c r="J254" t="s">
        <v>8</v>
      </c>
      <c r="K254">
        <v>0.01</v>
      </c>
      <c r="L254" t="s">
        <v>631</v>
      </c>
      <c r="M254" t="s">
        <v>8</v>
      </c>
    </row>
    <row r="255" spans="1:13" hidden="1">
      <c r="A255" s="8" t="str">
        <f>HYPERLINK("http://www.analog.com/zh/ad669#details", "AD669")</f>
        <v>AD669</v>
      </c>
      <c r="B255">
        <v>16</v>
      </c>
      <c r="C255">
        <v>1</v>
      </c>
      <c r="D255">
        <v>17.5</v>
      </c>
      <c r="E255">
        <v>5.0000000000000001E-3</v>
      </c>
      <c r="F255" t="s">
        <v>192</v>
      </c>
      <c r="G255" t="s">
        <v>368</v>
      </c>
      <c r="H255">
        <v>1</v>
      </c>
      <c r="I255" t="s">
        <v>8</v>
      </c>
      <c r="J255">
        <v>167000</v>
      </c>
      <c r="K255">
        <v>0.625</v>
      </c>
      <c r="L255" t="s">
        <v>631</v>
      </c>
      <c r="M255" t="s">
        <v>525</v>
      </c>
    </row>
    <row r="256" spans="1:13" hidden="1">
      <c r="A256" s="8" t="str">
        <f>HYPERLINK("http://www.analog.com/zh/ad7568#details", "AD7568")</f>
        <v>AD7568</v>
      </c>
      <c r="B256">
        <v>12</v>
      </c>
      <c r="C256">
        <v>8</v>
      </c>
      <c r="D256">
        <v>25.61</v>
      </c>
      <c r="E256">
        <v>1.4E-3</v>
      </c>
      <c r="F256" t="s">
        <v>88</v>
      </c>
      <c r="G256" t="s">
        <v>8</v>
      </c>
      <c r="H256" t="s">
        <v>8</v>
      </c>
      <c r="I256" t="s">
        <v>8</v>
      </c>
      <c r="J256">
        <v>2000000</v>
      </c>
      <c r="K256">
        <v>1.7500000000000002E-2</v>
      </c>
      <c r="L256" t="s">
        <v>631</v>
      </c>
      <c r="M256" t="s">
        <v>529</v>
      </c>
    </row>
    <row r="257" spans="1:13" hidden="1">
      <c r="A257" s="8" t="str">
        <f>HYPERLINK("http://www.analog.com/zh/dac8413#details", "DAC8413")</f>
        <v>DAC8413</v>
      </c>
      <c r="B257">
        <v>12</v>
      </c>
      <c r="C257">
        <v>4</v>
      </c>
      <c r="D257">
        <v>32.86</v>
      </c>
      <c r="E257">
        <v>5.0000000000000001E-3</v>
      </c>
      <c r="F257" t="s">
        <v>192</v>
      </c>
      <c r="G257" t="s">
        <v>8</v>
      </c>
      <c r="H257">
        <v>0.5</v>
      </c>
      <c r="I257" t="s">
        <v>8</v>
      </c>
      <c r="J257">
        <v>167000</v>
      </c>
      <c r="K257">
        <v>0.33</v>
      </c>
      <c r="L257" t="s">
        <v>631</v>
      </c>
      <c r="M257" t="s">
        <v>532</v>
      </c>
    </row>
    <row r="258" spans="1:13" hidden="1">
      <c r="A258" s="8" t="str">
        <f>HYPERLINK("http://www.analog.com/zh/dac8412#details", "DAC8412")</f>
        <v>DAC8412</v>
      </c>
      <c r="B258">
        <v>12</v>
      </c>
      <c r="C258">
        <v>4</v>
      </c>
      <c r="D258">
        <v>32.86</v>
      </c>
      <c r="E258">
        <v>5.0000000000000001E-3</v>
      </c>
      <c r="F258" t="s">
        <v>192</v>
      </c>
      <c r="G258" t="s">
        <v>8</v>
      </c>
      <c r="H258">
        <v>0.5</v>
      </c>
      <c r="I258" t="s">
        <v>8</v>
      </c>
      <c r="J258">
        <v>167000</v>
      </c>
      <c r="K258">
        <v>0.33</v>
      </c>
      <c r="L258" t="s">
        <v>631</v>
      </c>
      <c r="M258" t="s">
        <v>533</v>
      </c>
    </row>
    <row r="259" spans="1:13" hidden="1">
      <c r="A259" s="8" t="str">
        <f>HYPERLINK("http://www.analog.com/zh/ad7244#details", "AD7244")</f>
        <v>AD7244</v>
      </c>
      <c r="B259">
        <v>14</v>
      </c>
      <c r="C259">
        <v>2</v>
      </c>
      <c r="D259">
        <v>32.29</v>
      </c>
      <c r="E259">
        <v>1.5E-3</v>
      </c>
      <c r="F259" t="s">
        <v>88</v>
      </c>
      <c r="G259" t="s">
        <v>8</v>
      </c>
      <c r="H259">
        <v>2</v>
      </c>
      <c r="I259" t="s">
        <v>8</v>
      </c>
      <c r="J259">
        <v>250000</v>
      </c>
      <c r="K259">
        <v>0.19500000000000001</v>
      </c>
      <c r="L259" t="s">
        <v>631</v>
      </c>
      <c r="M259" t="s">
        <v>536</v>
      </c>
    </row>
    <row r="260" spans="1:13" hidden="1">
      <c r="A260" s="8" t="str">
        <f>HYPERLINK("http://www.analog.com/zh/dac8426#details", "DAC8426")</f>
        <v>DAC8426</v>
      </c>
      <c r="B260">
        <v>8</v>
      </c>
      <c r="C260">
        <v>4</v>
      </c>
      <c r="D260">
        <v>22.43</v>
      </c>
      <c r="E260">
        <v>0.01</v>
      </c>
      <c r="F260" t="s">
        <v>192</v>
      </c>
      <c r="G260" t="s">
        <v>8</v>
      </c>
      <c r="H260">
        <v>0.5</v>
      </c>
      <c r="I260" t="s">
        <v>8</v>
      </c>
      <c r="J260">
        <v>333000</v>
      </c>
      <c r="K260">
        <v>0.21</v>
      </c>
      <c r="L260" t="s">
        <v>12</v>
      </c>
      <c r="M260" t="s">
        <v>539</v>
      </c>
    </row>
    <row r="261" spans="1:13" hidden="1">
      <c r="A261" s="8" t="str">
        <f>HYPERLINK("http://www.analog.com/zh/ad7837#details", "AD7837")</f>
        <v>AD7837</v>
      </c>
      <c r="B261">
        <v>12</v>
      </c>
      <c r="C261">
        <v>2</v>
      </c>
      <c r="D261">
        <v>17.03</v>
      </c>
      <c r="E261">
        <v>5.0000000000000001E-3</v>
      </c>
      <c r="F261" t="s">
        <v>651</v>
      </c>
      <c r="G261" t="s">
        <v>8</v>
      </c>
      <c r="H261">
        <v>0.5</v>
      </c>
      <c r="I261" t="s">
        <v>8</v>
      </c>
      <c r="J261">
        <v>250000</v>
      </c>
      <c r="K261">
        <v>0.21</v>
      </c>
      <c r="L261" t="s">
        <v>631</v>
      </c>
      <c r="M261" t="s">
        <v>541</v>
      </c>
    </row>
    <row r="262" spans="1:13" hidden="1">
      <c r="A262" s="8" t="str">
        <f>HYPERLINK("http://www.analog.com/zh/ad7247#details", "AD7247A")</f>
        <v>AD7247A</v>
      </c>
      <c r="B262">
        <v>12</v>
      </c>
      <c r="C262">
        <v>2</v>
      </c>
      <c r="D262" t="s">
        <v>8</v>
      </c>
      <c r="E262">
        <v>5.0000000000000001E-3</v>
      </c>
      <c r="F262" t="s">
        <v>192</v>
      </c>
      <c r="G262" t="s">
        <v>653</v>
      </c>
      <c r="H262">
        <v>0.5</v>
      </c>
      <c r="I262" t="s">
        <v>8</v>
      </c>
      <c r="J262">
        <v>125000</v>
      </c>
      <c r="K262">
        <v>0.3</v>
      </c>
      <c r="L262" t="s">
        <v>631</v>
      </c>
      <c r="M262" t="s">
        <v>542</v>
      </c>
    </row>
    <row r="263" spans="1:13" hidden="1">
      <c r="A263" s="8" t="str">
        <f>HYPERLINK("http://www.analog.com/zh/ad7237#details", "AD7237A")</f>
        <v>AD7237A</v>
      </c>
      <c r="B263">
        <v>12</v>
      </c>
      <c r="C263">
        <v>2</v>
      </c>
      <c r="D263" t="s">
        <v>8</v>
      </c>
      <c r="E263">
        <v>5.0000000000000001E-3</v>
      </c>
      <c r="F263" t="s">
        <v>397</v>
      </c>
      <c r="G263" t="s">
        <v>653</v>
      </c>
      <c r="H263">
        <v>0.5</v>
      </c>
      <c r="I263" t="s">
        <v>8</v>
      </c>
      <c r="J263">
        <v>125000</v>
      </c>
      <c r="K263">
        <v>0.3</v>
      </c>
      <c r="L263" t="s">
        <v>631</v>
      </c>
      <c r="M263" t="s">
        <v>543</v>
      </c>
    </row>
    <row r="264" spans="1:13" hidden="1">
      <c r="A264" s="8" t="str">
        <f>HYPERLINK("http://www.analog.com/zh/dac8228#details", "DAC8228")</f>
        <v>DAC8228</v>
      </c>
      <c r="B264">
        <v>8</v>
      </c>
      <c r="C264">
        <v>2</v>
      </c>
      <c r="D264">
        <v>6.85</v>
      </c>
      <c r="E264">
        <v>5.0000000000000001E-3</v>
      </c>
      <c r="F264" t="s">
        <v>192</v>
      </c>
      <c r="G264" t="s">
        <v>8</v>
      </c>
      <c r="H264">
        <v>1</v>
      </c>
      <c r="I264" t="s">
        <v>8</v>
      </c>
      <c r="J264">
        <v>500000</v>
      </c>
      <c r="K264">
        <v>8.4000000000000005E-2</v>
      </c>
      <c r="L264" t="s">
        <v>12</v>
      </c>
      <c r="M264" t="s">
        <v>546</v>
      </c>
    </row>
    <row r="265" spans="1:13" hidden="1">
      <c r="A265" s="8" t="str">
        <f>HYPERLINK("http://www.analog.com/zh/dac8143#details", "DAC8143")</f>
        <v>DAC8143</v>
      </c>
      <c r="B265">
        <v>12</v>
      </c>
      <c r="C265">
        <v>1</v>
      </c>
      <c r="D265">
        <v>6.92</v>
      </c>
      <c r="E265">
        <v>1E-3</v>
      </c>
      <c r="F265" t="s">
        <v>88</v>
      </c>
      <c r="G265" t="s">
        <v>8</v>
      </c>
      <c r="H265" t="s">
        <v>8</v>
      </c>
      <c r="I265" t="s">
        <v>8</v>
      </c>
      <c r="J265">
        <v>2630000</v>
      </c>
      <c r="K265">
        <v>5.0000000000000001E-4</v>
      </c>
      <c r="L265" t="s">
        <v>631</v>
      </c>
      <c r="M265" t="s">
        <v>549</v>
      </c>
    </row>
    <row r="266" spans="1:13" hidden="1">
      <c r="A266" s="8" t="str">
        <f>HYPERLINK("http://www.analog.com/zh/dac8229#details", "DAC8229")</f>
        <v>DAC8229</v>
      </c>
      <c r="B266">
        <v>8</v>
      </c>
      <c r="C266">
        <v>2</v>
      </c>
      <c r="D266">
        <v>6.24</v>
      </c>
      <c r="E266">
        <v>5.0000000000000001E-3</v>
      </c>
      <c r="F266" t="s">
        <v>192</v>
      </c>
      <c r="G266" t="s">
        <v>8</v>
      </c>
      <c r="H266">
        <v>0.5</v>
      </c>
      <c r="I266" t="s">
        <v>8</v>
      </c>
      <c r="J266">
        <v>500000</v>
      </c>
      <c r="K266">
        <v>9.7000000000000003E-2</v>
      </c>
      <c r="L266" t="s">
        <v>12</v>
      </c>
      <c r="M266" t="s">
        <v>450</v>
      </c>
    </row>
    <row r="267" spans="1:13" hidden="1">
      <c r="A267" s="8" t="str">
        <f>HYPERLINK("http://www.analog.com/zh/dac8043#details", "DAC8043")</f>
        <v>DAC8043</v>
      </c>
      <c r="B267">
        <v>12</v>
      </c>
      <c r="C267">
        <v>1</v>
      </c>
      <c r="D267">
        <v>10.74</v>
      </c>
      <c r="E267">
        <v>1E-3</v>
      </c>
      <c r="F267" t="s">
        <v>88</v>
      </c>
      <c r="G267" t="s">
        <v>8</v>
      </c>
      <c r="H267" t="s">
        <v>8</v>
      </c>
      <c r="I267" t="s">
        <v>8</v>
      </c>
      <c r="J267">
        <v>366000</v>
      </c>
      <c r="K267">
        <v>5.0000000000000001E-4</v>
      </c>
      <c r="L267" t="s">
        <v>631</v>
      </c>
      <c r="M267" t="s">
        <v>554</v>
      </c>
    </row>
    <row r="268" spans="1:13" hidden="1">
      <c r="A268" s="8" t="str">
        <f>HYPERLINK("http://www.analog.com/zh/dac8221#details", "DAC8221")</f>
        <v>DAC8221</v>
      </c>
      <c r="B268">
        <v>12</v>
      </c>
      <c r="C268">
        <v>2</v>
      </c>
      <c r="D268">
        <v>22.78</v>
      </c>
      <c r="E268">
        <v>2.2699999999999999E-3</v>
      </c>
      <c r="F268" t="s">
        <v>192</v>
      </c>
      <c r="G268" t="s">
        <v>8</v>
      </c>
      <c r="H268" t="s">
        <v>8</v>
      </c>
      <c r="I268" t="s">
        <v>8</v>
      </c>
      <c r="J268">
        <v>2220000</v>
      </c>
      <c r="K268">
        <v>1.0000000000000001E-5</v>
      </c>
      <c r="L268" t="s">
        <v>631</v>
      </c>
      <c r="M268" t="s">
        <v>558</v>
      </c>
    </row>
    <row r="269" spans="1:13" hidden="1">
      <c r="A269" s="8" t="str">
        <f>HYPERLINK("http://www.analog.com/zh/ad7248a#details", "AD7248A")</f>
        <v>AD7248A</v>
      </c>
      <c r="B269">
        <v>8</v>
      </c>
      <c r="C269">
        <v>8</v>
      </c>
      <c r="D269">
        <v>11.17</v>
      </c>
      <c r="E269">
        <v>5.0000000000000001E-3</v>
      </c>
      <c r="F269" t="s">
        <v>8</v>
      </c>
      <c r="G269" t="s">
        <v>8</v>
      </c>
      <c r="H269">
        <v>0.5</v>
      </c>
      <c r="I269" t="s">
        <v>8</v>
      </c>
      <c r="J269">
        <v>200000</v>
      </c>
      <c r="K269">
        <v>0.31</v>
      </c>
      <c r="L269" t="s">
        <v>631</v>
      </c>
      <c r="M269" t="s">
        <v>560</v>
      </c>
    </row>
    <row r="270" spans="1:13" hidden="1">
      <c r="A270" s="8" t="str">
        <f>HYPERLINK("http://www.analog.com/zh/dac8248#details", "DAC8248")</f>
        <v>DAC8248</v>
      </c>
      <c r="B270">
        <v>12</v>
      </c>
      <c r="C270">
        <v>2</v>
      </c>
      <c r="D270">
        <v>22.12</v>
      </c>
      <c r="E270">
        <v>2.2699999999999999E-3</v>
      </c>
      <c r="F270" t="s">
        <v>651</v>
      </c>
      <c r="G270" t="s">
        <v>8</v>
      </c>
      <c r="H270" t="s">
        <v>8</v>
      </c>
      <c r="I270" t="s">
        <v>8</v>
      </c>
      <c r="J270">
        <v>1000000</v>
      </c>
      <c r="K270">
        <v>5.0000000000000002E-5</v>
      </c>
      <c r="L270" t="s">
        <v>631</v>
      </c>
      <c r="M270" t="s">
        <v>508</v>
      </c>
    </row>
    <row r="271" spans="1:13" hidden="1">
      <c r="A271" s="8" t="str">
        <f>HYPERLINK("http://www.analog.com/zh/dac8222#details", "DAC8222")</f>
        <v>DAC8222</v>
      </c>
      <c r="B271">
        <v>12</v>
      </c>
      <c r="C271">
        <v>2</v>
      </c>
      <c r="D271">
        <v>24.63</v>
      </c>
      <c r="E271">
        <v>1E-3</v>
      </c>
      <c r="F271" t="s">
        <v>192</v>
      </c>
      <c r="G271" t="s">
        <v>8</v>
      </c>
      <c r="H271" t="s">
        <v>8</v>
      </c>
      <c r="I271" t="s">
        <v>8</v>
      </c>
      <c r="J271">
        <v>1000000</v>
      </c>
      <c r="K271">
        <v>5.0000000000000002E-5</v>
      </c>
      <c r="L271" t="s">
        <v>631</v>
      </c>
      <c r="M271" t="s">
        <v>433</v>
      </c>
    </row>
    <row r="272" spans="1:13" hidden="1">
      <c r="A272" s="8" t="str">
        <f>HYPERLINK("http://www.analog.com/zh/ad664#details", "AD664")</f>
        <v>AD664</v>
      </c>
      <c r="B272">
        <v>12</v>
      </c>
      <c r="C272">
        <v>4</v>
      </c>
      <c r="D272">
        <v>68.39</v>
      </c>
      <c r="E272" t="s">
        <v>8</v>
      </c>
      <c r="F272" t="s">
        <v>654</v>
      </c>
      <c r="G272" t="s">
        <v>8</v>
      </c>
      <c r="H272">
        <v>0.75</v>
      </c>
      <c r="I272" t="s">
        <v>8</v>
      </c>
      <c r="J272">
        <v>125000</v>
      </c>
      <c r="K272">
        <v>0.52500000000000002</v>
      </c>
      <c r="L272" t="s">
        <v>631</v>
      </c>
      <c r="M272" t="s">
        <v>566</v>
      </c>
    </row>
    <row r="273" spans="1:13" hidden="1">
      <c r="A273" s="8" t="str">
        <f>HYPERLINK("http://www.analog.com/zh/ad7228#details", "AD7228")</f>
        <v>AD7228</v>
      </c>
      <c r="B273">
        <v>8</v>
      </c>
      <c r="C273">
        <v>8</v>
      </c>
      <c r="D273">
        <v>32.07</v>
      </c>
      <c r="E273">
        <v>5.0000000000000001E-3</v>
      </c>
      <c r="F273" t="s">
        <v>192</v>
      </c>
      <c r="G273" t="s">
        <v>8</v>
      </c>
      <c r="H273">
        <v>0.5</v>
      </c>
      <c r="I273" t="s">
        <v>8</v>
      </c>
      <c r="J273">
        <v>200000</v>
      </c>
      <c r="K273">
        <v>0.31</v>
      </c>
      <c r="L273" t="s">
        <v>12</v>
      </c>
      <c r="M273" t="s">
        <v>568</v>
      </c>
    </row>
    <row r="274" spans="1:13" hidden="1">
      <c r="A274" s="8" t="str">
        <f>HYPERLINK("http://www.analog.com/zh/ad557#details", "AD557")</f>
        <v>AD557</v>
      </c>
      <c r="B274">
        <v>8</v>
      </c>
      <c r="C274">
        <v>1</v>
      </c>
      <c r="D274">
        <v>5.73</v>
      </c>
      <c r="E274">
        <v>5.0000000000000001E-3</v>
      </c>
      <c r="F274" t="s">
        <v>192</v>
      </c>
      <c r="G274" t="s">
        <v>570</v>
      </c>
      <c r="H274">
        <v>1</v>
      </c>
      <c r="I274" t="s">
        <v>8</v>
      </c>
      <c r="J274">
        <v>1250000</v>
      </c>
      <c r="K274">
        <v>0.125</v>
      </c>
      <c r="L274" t="s">
        <v>12</v>
      </c>
      <c r="M274" t="s">
        <v>573</v>
      </c>
    </row>
    <row r="275" spans="1:13" hidden="1">
      <c r="A275" s="8" t="str">
        <f>HYPERLINK("http://www.analog.com/zh/ad7538#details", "AD7538")</f>
        <v>AD7538</v>
      </c>
      <c r="B275">
        <v>14</v>
      </c>
      <c r="C275">
        <v>1</v>
      </c>
      <c r="D275">
        <v>12.64</v>
      </c>
      <c r="E275">
        <v>1.6670000000000001E-3</v>
      </c>
      <c r="F275" t="s">
        <v>192</v>
      </c>
      <c r="G275" t="s">
        <v>8</v>
      </c>
      <c r="H275" t="s">
        <v>8</v>
      </c>
      <c r="I275" t="s">
        <v>8</v>
      </c>
      <c r="J275">
        <v>667000</v>
      </c>
      <c r="K275">
        <v>0.06</v>
      </c>
      <c r="L275" t="s">
        <v>631</v>
      </c>
      <c r="M275" t="s">
        <v>576</v>
      </c>
    </row>
    <row r="276" spans="1:13" hidden="1">
      <c r="A276" s="8" t="str">
        <f>HYPERLINK("http://www.analog.com/zh/ad7245a#details", "AD7245A")</f>
        <v>AD7245A</v>
      </c>
      <c r="B276">
        <v>12</v>
      </c>
      <c r="C276">
        <v>1</v>
      </c>
      <c r="D276">
        <v>10.16</v>
      </c>
      <c r="E276">
        <v>5.0000000000000001E-3</v>
      </c>
      <c r="F276" t="s">
        <v>8</v>
      </c>
      <c r="G276" t="s">
        <v>653</v>
      </c>
      <c r="H276">
        <v>0.5</v>
      </c>
      <c r="I276" t="s">
        <v>8</v>
      </c>
      <c r="J276">
        <v>143000</v>
      </c>
      <c r="K276">
        <v>0.21</v>
      </c>
      <c r="L276" t="s">
        <v>631</v>
      </c>
      <c r="M276" t="s">
        <v>578</v>
      </c>
    </row>
    <row r="277" spans="1:13" hidden="1">
      <c r="A277" s="8" t="str">
        <f>HYPERLINK("http://www.analog.com/zh/ad7628#details", "AD7628")</f>
        <v>AD7628</v>
      </c>
      <c r="B277">
        <v>8</v>
      </c>
      <c r="C277">
        <v>2</v>
      </c>
      <c r="D277">
        <v>2.86</v>
      </c>
      <c r="E277">
        <v>2.2499999999999998E-3</v>
      </c>
      <c r="F277" t="s">
        <v>192</v>
      </c>
      <c r="G277" t="s">
        <v>8</v>
      </c>
      <c r="H277" t="s">
        <v>8</v>
      </c>
      <c r="I277" t="s">
        <v>8</v>
      </c>
      <c r="J277">
        <v>2900000</v>
      </c>
      <c r="K277">
        <v>3.7499999999999999E-2</v>
      </c>
      <c r="L277" t="s">
        <v>631</v>
      </c>
      <c r="M277" t="s">
        <v>581</v>
      </c>
    </row>
    <row r="278" spans="1:13" hidden="1">
      <c r="A278" s="8" t="str">
        <f>HYPERLINK("http://www.analog.com/zh/ad7547#details", "AD7547")</f>
        <v>AD7547</v>
      </c>
      <c r="B278">
        <v>12</v>
      </c>
      <c r="C278">
        <v>2</v>
      </c>
      <c r="D278">
        <v>15.86</v>
      </c>
      <c r="E278">
        <v>6.9999999999999999E-4</v>
      </c>
      <c r="F278" t="s">
        <v>192</v>
      </c>
      <c r="G278" t="s">
        <v>8</v>
      </c>
      <c r="H278" t="s">
        <v>8</v>
      </c>
      <c r="I278" t="s">
        <v>8</v>
      </c>
      <c r="J278">
        <v>667000</v>
      </c>
      <c r="K278">
        <v>0.03</v>
      </c>
      <c r="L278" t="s">
        <v>631</v>
      </c>
      <c r="M278" t="s">
        <v>584</v>
      </c>
    </row>
    <row r="279" spans="1:13" hidden="1">
      <c r="A279" s="8" t="str">
        <f>HYPERLINK("http://www.analog.com/zh/dac8408#details", "DAC8408")</f>
        <v>DAC8408</v>
      </c>
      <c r="B279">
        <v>8</v>
      </c>
      <c r="C279">
        <v>4</v>
      </c>
      <c r="D279">
        <v>11.21</v>
      </c>
      <c r="E279">
        <v>2E-3</v>
      </c>
      <c r="F279" t="s">
        <v>192</v>
      </c>
      <c r="G279" t="s">
        <v>8</v>
      </c>
      <c r="H279" t="s">
        <v>8</v>
      </c>
      <c r="I279" t="s">
        <v>8</v>
      </c>
      <c r="J279">
        <v>5260000</v>
      </c>
      <c r="K279">
        <v>2.5000000000000001E-4</v>
      </c>
      <c r="L279" t="s">
        <v>631</v>
      </c>
      <c r="M279" t="s">
        <v>587</v>
      </c>
    </row>
    <row r="280" spans="1:13" hidden="1">
      <c r="A280" s="8" t="str">
        <f>HYPERLINK("http://www.analog.com/zh/ad7549#details", "AD7549")</f>
        <v>AD7549</v>
      </c>
      <c r="B280">
        <v>12</v>
      </c>
      <c r="C280">
        <v>2</v>
      </c>
      <c r="D280">
        <v>25.24</v>
      </c>
      <c r="E280">
        <v>1E-3</v>
      </c>
      <c r="F280" t="s">
        <v>589</v>
      </c>
      <c r="G280" t="s">
        <v>8</v>
      </c>
      <c r="H280" t="s">
        <v>8</v>
      </c>
      <c r="I280" t="s">
        <v>8</v>
      </c>
      <c r="J280">
        <v>667000</v>
      </c>
      <c r="K280">
        <v>7.4999999999999997E-2</v>
      </c>
      <c r="L280" t="s">
        <v>631</v>
      </c>
      <c r="M280" t="s">
        <v>591</v>
      </c>
    </row>
    <row r="281" spans="1:13" hidden="1">
      <c r="A281" s="8" t="str">
        <f>HYPERLINK("http://www.analog.com/zh/ad7535#details", "AD7535")</f>
        <v>AD7535</v>
      </c>
      <c r="B281">
        <v>14</v>
      </c>
      <c r="C281">
        <v>1</v>
      </c>
      <c r="D281" t="s">
        <v>8</v>
      </c>
      <c r="E281">
        <v>1.67E-3</v>
      </c>
      <c r="F281" t="s">
        <v>651</v>
      </c>
      <c r="G281" t="s">
        <v>8</v>
      </c>
      <c r="H281" t="s">
        <v>8</v>
      </c>
      <c r="I281" t="s">
        <v>8</v>
      </c>
      <c r="J281">
        <v>667000</v>
      </c>
      <c r="K281">
        <v>0.06</v>
      </c>
      <c r="L281" t="s">
        <v>631</v>
      </c>
      <c r="M281" t="s">
        <v>8</v>
      </c>
    </row>
    <row r="282" spans="1:13" hidden="1">
      <c r="A282" s="8" t="str">
        <f>HYPERLINK("http://www.analog.com/zh/ad667#details", "AD667")</f>
        <v>AD667</v>
      </c>
      <c r="B282">
        <v>12</v>
      </c>
      <c r="C282">
        <v>1</v>
      </c>
      <c r="D282">
        <v>12.81</v>
      </c>
      <c r="E282">
        <v>5.0000000000000001E-3</v>
      </c>
      <c r="F282" t="s">
        <v>654</v>
      </c>
      <c r="G282" t="s">
        <v>655</v>
      </c>
      <c r="H282">
        <v>0.25</v>
      </c>
      <c r="I282" t="s">
        <v>8</v>
      </c>
      <c r="J282">
        <v>500000</v>
      </c>
      <c r="K282">
        <v>0.55500000000000005</v>
      </c>
      <c r="L282" t="s">
        <v>631</v>
      </c>
      <c r="M282" t="s">
        <v>596</v>
      </c>
    </row>
    <row r="283" spans="1:13" hidden="1">
      <c r="A283" s="8" t="str">
        <f>HYPERLINK("http://www.analog.com/zh/ad7534#details", "AD7534")</f>
        <v>AD7534</v>
      </c>
      <c r="B283">
        <v>14</v>
      </c>
      <c r="C283">
        <v>1</v>
      </c>
      <c r="D283">
        <v>23.53</v>
      </c>
      <c r="E283">
        <v>1.67E-3</v>
      </c>
      <c r="F283" t="s">
        <v>397</v>
      </c>
      <c r="G283" t="s">
        <v>8</v>
      </c>
      <c r="H283" t="s">
        <v>8</v>
      </c>
      <c r="I283" t="s">
        <v>8</v>
      </c>
      <c r="J283">
        <v>667000</v>
      </c>
      <c r="K283">
        <v>4.4999999999999998E-2</v>
      </c>
      <c r="L283" t="s">
        <v>631</v>
      </c>
      <c r="M283" t="s">
        <v>598</v>
      </c>
    </row>
    <row r="284" spans="1:13" hidden="1">
      <c r="A284" s="8" t="str">
        <f>HYPERLINK("http://www.analog.com/zh/ad7224#details", "AD7224")</f>
        <v>AD7224</v>
      </c>
      <c r="B284">
        <v>8</v>
      </c>
      <c r="C284">
        <v>1</v>
      </c>
      <c r="D284">
        <v>5.89</v>
      </c>
      <c r="E284">
        <v>5.0000000000000001E-3</v>
      </c>
      <c r="F284" t="s">
        <v>192</v>
      </c>
      <c r="G284" t="s">
        <v>8</v>
      </c>
      <c r="H284">
        <v>0.5</v>
      </c>
      <c r="I284" t="s">
        <v>8</v>
      </c>
      <c r="J284">
        <v>143000</v>
      </c>
      <c r="K284">
        <v>7.4999999999999997E-2</v>
      </c>
      <c r="L284" t="s">
        <v>12</v>
      </c>
      <c r="M284" t="s">
        <v>600</v>
      </c>
    </row>
    <row r="285" spans="1:13" hidden="1">
      <c r="A285" s="8" t="str">
        <f>HYPERLINK("http://www.analog.com/zh/ad7548#details", "AD7548")</f>
        <v>AD7548</v>
      </c>
      <c r="B285">
        <v>12</v>
      </c>
      <c r="C285">
        <v>1</v>
      </c>
      <c r="D285">
        <v>11.7</v>
      </c>
      <c r="E285">
        <v>1E-3</v>
      </c>
      <c r="F285" t="s">
        <v>651</v>
      </c>
      <c r="G285" t="s">
        <v>8</v>
      </c>
      <c r="H285" t="s">
        <v>8</v>
      </c>
      <c r="I285" t="s">
        <v>8</v>
      </c>
      <c r="J285" t="s">
        <v>8</v>
      </c>
      <c r="K285">
        <v>0.01</v>
      </c>
      <c r="L285" t="s">
        <v>631</v>
      </c>
      <c r="M285" t="s">
        <v>602</v>
      </c>
    </row>
    <row r="286" spans="1:13" hidden="1">
      <c r="A286" s="8" t="str">
        <f>HYPERLINK("http://www.analog.com/zh/ad567#details", "AD567")</f>
        <v>AD567</v>
      </c>
      <c r="B286">
        <v>12</v>
      </c>
      <c r="C286">
        <v>1</v>
      </c>
      <c r="D286">
        <v>38.15</v>
      </c>
      <c r="E286">
        <v>-1.6000000000000001E-3</v>
      </c>
      <c r="F286" t="s">
        <v>654</v>
      </c>
      <c r="G286" t="s">
        <v>8</v>
      </c>
      <c r="H286" t="s">
        <v>8</v>
      </c>
      <c r="I286" t="s">
        <v>8</v>
      </c>
      <c r="J286" t="s">
        <v>8</v>
      </c>
      <c r="K286">
        <v>0.3</v>
      </c>
      <c r="L286" t="s">
        <v>631</v>
      </c>
      <c r="M286" t="s">
        <v>604</v>
      </c>
    </row>
    <row r="287" spans="1:13" hidden="1">
      <c r="A287" s="8" t="str">
        <f>HYPERLINK("http://www.analog.com/zh/ad7528#details", "AD7528")</f>
        <v>AD7528</v>
      </c>
      <c r="B287">
        <v>8</v>
      </c>
      <c r="C287">
        <v>2</v>
      </c>
      <c r="D287">
        <v>6.48</v>
      </c>
      <c r="E287">
        <v>2.5000000000000001E-3</v>
      </c>
      <c r="F287" t="s">
        <v>192</v>
      </c>
      <c r="G287" t="s">
        <v>8</v>
      </c>
      <c r="H287" t="s">
        <v>8</v>
      </c>
      <c r="I287" t="s">
        <v>8</v>
      </c>
      <c r="J287">
        <v>5600000</v>
      </c>
      <c r="K287">
        <v>0.03</v>
      </c>
      <c r="L287" t="s">
        <v>631</v>
      </c>
      <c r="M287" t="s">
        <v>606</v>
      </c>
    </row>
    <row r="288" spans="1:13" hidden="1">
      <c r="A288" s="8" t="str">
        <f>HYPERLINK("http://www.analog.com/zh/ad7111#details", "AD7111A")</f>
        <v>AD7111A</v>
      </c>
      <c r="B288">
        <v>17</v>
      </c>
      <c r="C288">
        <v>1</v>
      </c>
      <c r="D288" t="s">
        <v>8</v>
      </c>
      <c r="E288">
        <v>1E-3</v>
      </c>
      <c r="F288" t="s">
        <v>397</v>
      </c>
      <c r="G288" t="s">
        <v>8</v>
      </c>
      <c r="H288" t="s">
        <v>8</v>
      </c>
      <c r="I288" t="s">
        <v>8</v>
      </c>
      <c r="J288">
        <v>222000</v>
      </c>
      <c r="K288">
        <v>0.01</v>
      </c>
      <c r="L288" t="s">
        <v>631</v>
      </c>
      <c r="M288" t="s">
        <v>608</v>
      </c>
    </row>
    <row r="289" spans="1:13" hidden="1">
      <c r="A289" s="8" t="str">
        <f>HYPERLINK("http://www.analog.com/zh/dac312#details", "DAC312")</f>
        <v>DAC312</v>
      </c>
      <c r="B289">
        <v>12</v>
      </c>
      <c r="C289">
        <v>1</v>
      </c>
      <c r="D289">
        <v>4.7699999999999996</v>
      </c>
      <c r="E289">
        <v>4.0309999999999999E-3</v>
      </c>
      <c r="F289" t="s">
        <v>192</v>
      </c>
      <c r="G289" t="s">
        <v>8</v>
      </c>
      <c r="H289" t="s">
        <v>8</v>
      </c>
      <c r="I289" t="s">
        <v>8</v>
      </c>
      <c r="J289" t="s">
        <v>8</v>
      </c>
      <c r="K289">
        <v>0.26700000000000002</v>
      </c>
      <c r="L289" t="s">
        <v>631</v>
      </c>
      <c r="M289" t="s">
        <v>612</v>
      </c>
    </row>
    <row r="290" spans="1:13" hidden="1">
      <c r="A290" s="8" t="str">
        <f>HYPERLINK("http://www.analog.com/zh/dac10#details", "DAC10")</f>
        <v>DAC10</v>
      </c>
      <c r="B290">
        <v>10</v>
      </c>
      <c r="C290">
        <v>1</v>
      </c>
      <c r="D290">
        <v>3.8</v>
      </c>
      <c r="E290">
        <v>4.0000000000000001E-3</v>
      </c>
      <c r="F290" t="s">
        <v>192</v>
      </c>
      <c r="G290" t="s">
        <v>8</v>
      </c>
      <c r="H290" t="s">
        <v>8</v>
      </c>
      <c r="I290" t="s">
        <v>8</v>
      </c>
      <c r="J290" t="s">
        <v>8</v>
      </c>
      <c r="K290">
        <v>0.23100000000000001</v>
      </c>
      <c r="L290" t="s">
        <v>631</v>
      </c>
      <c r="M290" t="s">
        <v>616</v>
      </c>
    </row>
    <row r="291" spans="1:13" hidden="1">
      <c r="A291" s="8" t="str">
        <f>HYPERLINK("http://www.analog.com/zh/ad7542#details", "AD7542")</f>
        <v>AD7542</v>
      </c>
      <c r="B291">
        <v>12</v>
      </c>
      <c r="C291">
        <v>1</v>
      </c>
      <c r="D291">
        <v>14.34</v>
      </c>
      <c r="E291" t="s">
        <v>8</v>
      </c>
      <c r="F291" t="s">
        <v>88</v>
      </c>
      <c r="G291" t="s">
        <v>8</v>
      </c>
      <c r="H291" t="s">
        <v>8</v>
      </c>
      <c r="I291" t="s">
        <v>8</v>
      </c>
      <c r="J291" t="s">
        <v>8</v>
      </c>
      <c r="K291" t="s">
        <v>8</v>
      </c>
      <c r="L291" t="s">
        <v>631</v>
      </c>
      <c r="M291" t="s">
        <v>618</v>
      </c>
    </row>
    <row r="292" spans="1:13" hidden="1">
      <c r="A292" s="8" t="str">
        <f>HYPERLINK("http://www.analog.com/zh/ad558#details", "AD558")</f>
        <v>AD558</v>
      </c>
      <c r="B292">
        <v>8</v>
      </c>
      <c r="C292">
        <v>1</v>
      </c>
      <c r="D292">
        <v>8.99</v>
      </c>
      <c r="E292">
        <v>5.0000000000000001E-3</v>
      </c>
      <c r="F292" t="s">
        <v>192</v>
      </c>
      <c r="G292" t="s">
        <v>620</v>
      </c>
      <c r="H292">
        <v>0.25</v>
      </c>
      <c r="I292" t="s">
        <v>8</v>
      </c>
      <c r="J292" t="s">
        <v>8</v>
      </c>
      <c r="K292">
        <v>0.375</v>
      </c>
      <c r="L292" t="s">
        <v>12</v>
      </c>
      <c r="M292" t="s">
        <v>622</v>
      </c>
    </row>
    <row r="293" spans="1:13" hidden="1">
      <c r="A293" s="8" t="str">
        <f>HYPERLINK("http://www.analog.com/zh/ad7533#details", "AD7533")</f>
        <v>AD7533</v>
      </c>
      <c r="B293">
        <v>10</v>
      </c>
      <c r="C293">
        <v>1</v>
      </c>
      <c r="D293">
        <v>5.54</v>
      </c>
      <c r="E293">
        <v>1E-3</v>
      </c>
      <c r="F293" t="s">
        <v>192</v>
      </c>
      <c r="G293" t="s">
        <v>8</v>
      </c>
      <c r="H293" t="s">
        <v>8</v>
      </c>
      <c r="I293" t="s">
        <v>8</v>
      </c>
      <c r="J293">
        <v>1700000</v>
      </c>
      <c r="K293">
        <v>0.03</v>
      </c>
      <c r="L293" t="s">
        <v>631</v>
      </c>
      <c r="M293" t="s">
        <v>623</v>
      </c>
    </row>
    <row r="294" spans="1:13" hidden="1">
      <c r="A294" s="8" t="str">
        <f>HYPERLINK("http://www.analog.com/zh/ad7524#details", "AD7524")</f>
        <v>AD7524</v>
      </c>
      <c r="B294">
        <v>8</v>
      </c>
      <c r="C294">
        <v>1</v>
      </c>
      <c r="D294">
        <v>4.3099999999999996</v>
      </c>
      <c r="E294">
        <v>2.5000000000000001E-3</v>
      </c>
      <c r="F294" t="s">
        <v>192</v>
      </c>
      <c r="G294" t="s">
        <v>8</v>
      </c>
      <c r="H294" t="s">
        <v>8</v>
      </c>
      <c r="I294" t="s">
        <v>8</v>
      </c>
      <c r="J294">
        <v>4000000</v>
      </c>
      <c r="K294">
        <v>0.03</v>
      </c>
      <c r="L294" t="s">
        <v>631</v>
      </c>
      <c r="M294" t="s">
        <v>625</v>
      </c>
    </row>
    <row r="295" spans="1:13" hidden="1">
      <c r="A295" s="8" t="str">
        <f>HYPERLINK("http://www.analog.com/zh/dac08#details", "DAC08")</f>
        <v>DAC08</v>
      </c>
      <c r="B295">
        <v>8</v>
      </c>
      <c r="C295">
        <v>1</v>
      </c>
      <c r="D295">
        <v>1.22</v>
      </c>
      <c r="E295">
        <v>2E-3</v>
      </c>
      <c r="F295" t="s">
        <v>192</v>
      </c>
      <c r="G295" t="s">
        <v>8</v>
      </c>
      <c r="H295" t="s">
        <v>8</v>
      </c>
      <c r="I295" t="s">
        <v>8</v>
      </c>
      <c r="J295">
        <v>11800000</v>
      </c>
      <c r="K295">
        <v>3.3000000000000002E-2</v>
      </c>
      <c r="L295" t="s">
        <v>631</v>
      </c>
      <c r="M295" t="s">
        <v>629</v>
      </c>
    </row>
  </sheetData>
  <autoFilter ref="A1:M295">
    <filterColumn colId="1">
      <filters>
        <filter val="18"/>
        <filter val="20"/>
      </filters>
    </filterColumn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Web Display</vt:lpstr>
      <vt:lpstr>Raw Data Display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wangdc</cp:lastModifiedBy>
  <dcterms:modified xsi:type="dcterms:W3CDTF">2017-07-19T04:51:21Z</dcterms:modified>
</cp:coreProperties>
</file>