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tables/table1.xml" ContentType="application/vnd.openxmlformats-officedocument.spreadsheetml.table+xml"/>
  <Override PartName="/xl/comments5.xml" ContentType="application/vnd.openxmlformats-officedocument.spreadsheetml.comments+xml"/>
  <Override PartName="/xl/comments6.xml" ContentType="application/vnd.openxmlformats-officedocument.spreadsheetml.comments+xml"/>
  <Override PartName="/xl/drawings/drawing2.xml" ContentType="application/vnd.openxmlformats-officedocument.drawing+xml"/>
  <Override PartName="/xl/comments7.xml" ContentType="application/vnd.openxmlformats-officedocument.spreadsheetml.comments+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J:\EEH\EMF\ETAIN\06_WP2\back_end_excel\2026\"/>
    </mc:Choice>
  </mc:AlternateContent>
  <xr:revisionPtr revIDLastSave="0" documentId="13_ncr:1_{A164ACFE-C7A2-49F8-B53A-9238F8C24A1E}" xr6:coauthVersionLast="47" xr6:coauthVersionMax="47" xr10:uidLastSave="{00000000-0000-0000-0000-000000000000}"/>
  <bookViews>
    <workbookView xWindow="-110" yWindow="-110" windowWidth="19420" windowHeight="11500" tabRatio="599" activeTab="5" xr2:uid="{00000000-000D-0000-FFFF-FFFF00000000}"/>
  </bookViews>
  <sheets>
    <sheet name="MobileCall" sheetId="2" r:id="rId1"/>
    <sheet name="MobileData" sheetId="1" r:id="rId2"/>
    <sheet name="Cordless" sheetId="3" r:id="rId3"/>
    <sheet name="Laptop" sheetId="4" r:id="rId4"/>
    <sheet name="Tablet" sheetId="5" r:id="rId5"/>
    <sheet name="Farfield" sheetId="7" r:id="rId6"/>
    <sheet name="Wifi" sheetId="8" r:id="rId7"/>
    <sheet name="Other" sheetId="6" r:id="rId8"/>
    <sheet name="Total dose" sheetId="9" r:id="rId9"/>
    <sheet name="Comparing" sheetId="10" r:id="rId10"/>
    <sheet name="Sheet2" sheetId="13" r:id="rId11"/>
    <sheet name="SAR" sheetId="11" state="hidden" r:id="rId12"/>
    <sheet name="SAR_brain" sheetId="14" state="hidden" r:id="rId13"/>
  </sheets>
  <externalReferences>
    <externalReference r:id="rId14"/>
    <externalReference r:id="rId15"/>
    <externalReference r:id="rId16"/>
    <externalReference r:id="rId17"/>
    <externalReference r:id="rId18"/>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5" i="7" l="1"/>
  <c r="H5" i="7" s="1"/>
  <c r="F5" i="7" s="1"/>
  <c r="C5" i="7" s="1"/>
  <c r="I5" i="7"/>
  <c r="G5" i="7"/>
  <c r="AS5" i="7"/>
  <c r="AR5" i="7"/>
  <c r="Q5" i="7"/>
  <c r="O5" i="7"/>
  <c r="BU5" i="7"/>
  <c r="BN5" i="7"/>
  <c r="Q5" i="8"/>
  <c r="I5" i="8"/>
  <c r="M5" i="7"/>
  <c r="J5" i="7" s="1"/>
  <c r="DE5" i="2"/>
  <c r="K5" i="7"/>
  <c r="CT5" i="6"/>
  <c r="CS5" i="6"/>
  <c r="BS5" i="1"/>
  <c r="BU5" i="1"/>
  <c r="CO5" i="6"/>
  <c r="BU33" i="1"/>
  <c r="FN19" i="2"/>
  <c r="FN5" i="2"/>
  <c r="BW33" i="1"/>
  <c r="BV33" i="1"/>
  <c r="BT33" i="1"/>
  <c r="BW5" i="1"/>
  <c r="BV5" i="1"/>
  <c r="BT5" i="1"/>
  <c r="CQ5" i="6"/>
  <c r="DA31" i="6"/>
  <c r="DA28" i="6"/>
  <c r="DA26" i="6"/>
  <c r="DA25" i="6"/>
  <c r="BR5" i="1"/>
  <c r="BR33" i="1"/>
  <c r="BR58" i="1"/>
  <c r="BQ5" i="1"/>
  <c r="BK22" i="1" l="1"/>
  <c r="EG5" i="2"/>
  <c r="EH30" i="2" s="1"/>
  <c r="EH5" i="2" s="1"/>
  <c r="BZ5" i="1"/>
  <c r="BX5" i="1"/>
  <c r="BY5" i="1" s="1"/>
  <c r="EQ5" i="2"/>
  <c r="CH5" i="1" s="1"/>
  <c r="EP5" i="2"/>
  <c r="EM5" i="2"/>
  <c r="DL5" i="2"/>
  <c r="DI21" i="2"/>
  <c r="DI5" i="2"/>
  <c r="DG5" i="2"/>
  <c r="DJ5" i="2" l="1"/>
  <c r="DG21" i="2"/>
  <c r="DE21" i="2"/>
  <c r="EJ30" i="2"/>
  <c r="BD21" i="1"/>
  <c r="FM5" i="2" l="1"/>
  <c r="FH5" i="2"/>
  <c r="CB5" i="1"/>
  <c r="CC5" i="1"/>
  <c r="CF5" i="1" l="1"/>
  <c r="CE5" i="1"/>
  <c r="Q5" i="4" l="1"/>
  <c r="BM5" i="7"/>
  <c r="BL5" i="7"/>
  <c r="BK5" i="7"/>
  <c r="BJ5" i="7"/>
  <c r="BI5" i="7"/>
  <c r="BH5" i="7"/>
  <c r="BG5" i="7"/>
  <c r="BF5" i="7"/>
  <c r="BE5" i="7"/>
  <c r="BW5" i="7" l="1"/>
  <c r="BT5" i="7"/>
  <c r="BS5" i="7"/>
  <c r="BR5" i="7"/>
  <c r="BQ5" i="7"/>
  <c r="FI5" i="2" l="1"/>
  <c r="FI15" i="2"/>
  <c r="FG5" i="2"/>
  <c r="DX5" i="2"/>
  <c r="DQ5" i="2"/>
  <c r="DP21" i="2"/>
  <c r="DH61" i="2"/>
  <c r="DL20" i="2"/>
  <c r="DF61" i="2"/>
  <c r="DD61" i="2"/>
  <c r="DL21" i="2"/>
  <c r="DN21" i="2"/>
  <c r="DF5" i="2"/>
  <c r="DE60" i="2" l="1"/>
  <c r="CV5" i="2"/>
  <c r="CV13" i="2"/>
  <c r="CV19" i="2"/>
  <c r="CV24" i="2"/>
  <c r="CV23" i="2"/>
  <c r="CW13" i="2"/>
  <c r="DK5" i="2" l="1"/>
  <c r="EG19" i="2"/>
  <c r="AC5" i="6"/>
  <c r="AC5" i="5"/>
  <c r="AB5" i="5"/>
  <c r="AA5" i="5"/>
  <c r="AF5" i="4"/>
  <c r="AE5" i="4"/>
  <c r="AD5" i="4"/>
  <c r="D5" i="4" s="1"/>
  <c r="AI5" i="4" s="1"/>
  <c r="J5" i="3"/>
  <c r="D5" i="3"/>
  <c r="AX5" i="1"/>
  <c r="AW5" i="1"/>
  <c r="AV5" i="1"/>
  <c r="IJ5" i="2"/>
  <c r="II5" i="2" s="1"/>
  <c r="IH5" i="2"/>
  <c r="IG5" i="2" s="1"/>
  <c r="IF5" i="2"/>
  <c r="IE5" i="2" s="1"/>
  <c r="AR5" i="2"/>
  <c r="AQ5" i="2"/>
  <c r="J5" i="2"/>
  <c r="GX5" i="2"/>
  <c r="GW5" i="2"/>
  <c r="GV5" i="2"/>
  <c r="GU5" i="2"/>
  <c r="GT5" i="2"/>
  <c r="GS5" i="2"/>
  <c r="GR5" i="2"/>
  <c r="GK5" i="2"/>
  <c r="AV5" i="2" l="1"/>
  <c r="U37" i="2"/>
  <c r="BO5" i="6"/>
  <c r="BK5" i="6"/>
  <c r="BL5" i="6"/>
  <c r="X5" i="4" l="1"/>
  <c r="W5" i="4"/>
  <c r="T5" i="4"/>
  <c r="S5" i="4"/>
  <c r="V5" i="4"/>
  <c r="U5" i="4"/>
  <c r="R5" i="4"/>
  <c r="BI5" i="2"/>
  <c r="BK5" i="2"/>
  <c r="R5" i="5" s="1"/>
  <c r="BL5" i="2"/>
  <c r="IB5" i="2"/>
  <c r="IA5" i="2"/>
  <c r="HZ5" i="2"/>
  <c r="AA39" i="2" s="1"/>
  <c r="HY5" i="2"/>
  <c r="HX5" i="2"/>
  <c r="HW5" i="2"/>
  <c r="HV5" i="2"/>
  <c r="HU5" i="2"/>
  <c r="HT5" i="2"/>
  <c r="HS5" i="2"/>
  <c r="HR5" i="2"/>
  <c r="HQ5" i="2"/>
  <c r="HP5" i="2"/>
  <c r="HO5" i="2"/>
  <c r="HN5" i="2"/>
  <c r="HM5" i="2"/>
  <c r="HL5" i="2"/>
  <c r="HK5" i="2"/>
  <c r="HJ5" i="2"/>
  <c r="HI5" i="2"/>
  <c r="HH5" i="2"/>
  <c r="HG5" i="2"/>
  <c r="HF5" i="2"/>
  <c r="HE5" i="2"/>
  <c r="HD5" i="2"/>
  <c r="HC5" i="2"/>
  <c r="HB5" i="2"/>
  <c r="N5" i="3" s="1"/>
  <c r="HA5" i="2"/>
  <c r="GZ5" i="2"/>
  <c r="GY5" i="2"/>
  <c r="CC5" i="2"/>
  <c r="CF5" i="2"/>
  <c r="CD5" i="2"/>
  <c r="CA5" i="2"/>
  <c r="BT5" i="2"/>
  <c r="BR5" i="2"/>
  <c r="BQ5" i="2"/>
  <c r="BO5" i="2"/>
  <c r="BV5" i="6" s="1"/>
  <c r="AR5" i="1"/>
  <c r="GD5" i="2"/>
  <c r="GQ5" i="2"/>
  <c r="GP5" i="2"/>
  <c r="GO5" i="2"/>
  <c r="GN5" i="2"/>
  <c r="GM5" i="2"/>
  <c r="GL5" i="2"/>
  <c r="GJ5" i="2"/>
  <c r="GI5" i="2"/>
  <c r="GH5" i="2"/>
  <c r="GG5" i="2"/>
  <c r="GF5" i="2"/>
  <c r="GE5" i="2"/>
  <c r="GC5" i="2"/>
  <c r="GB5" i="2"/>
  <c r="GA5" i="2"/>
  <c r="FZ5" i="2"/>
  <c r="L5" i="3" s="1"/>
  <c r="FY5" i="2"/>
  <c r="FX5" i="2"/>
  <c r="FW5" i="2"/>
  <c r="BU5" i="2"/>
  <c r="BZ5" i="2"/>
  <c r="BX5" i="2"/>
  <c r="BW5" i="2"/>
  <c r="BN5" i="2"/>
  <c r="K5" i="3"/>
  <c r="D5" i="1"/>
  <c r="DD5" i="2"/>
  <c r="FE19" i="2"/>
  <c r="BZ5" i="6" l="1"/>
  <c r="BY5" i="6"/>
  <c r="U36" i="2"/>
  <c r="BV5" i="2"/>
  <c r="AE41" i="2" s="1"/>
  <c r="V37" i="2"/>
  <c r="D5" i="5"/>
  <c r="AE5" i="5" s="1"/>
  <c r="BS33" i="1" l="1"/>
  <c r="BP33" i="1"/>
  <c r="BK33" i="1"/>
  <c r="BL33" i="1"/>
  <c r="BO33" i="1"/>
  <c r="DT5" i="2"/>
  <c r="FM19" i="2"/>
  <c r="FL19" i="2"/>
  <c r="FJ19" i="2"/>
  <c r="FH19" i="2"/>
  <c r="FG19" i="2"/>
  <c r="FL5" i="2"/>
  <c r="FJ5" i="2"/>
  <c r="FK19" i="2"/>
  <c r="FI19" i="2"/>
  <c r="DA5" i="2"/>
  <c r="AN5" i="1" s="1"/>
  <c r="DA19" i="2"/>
  <c r="CZ19" i="2"/>
  <c r="CZ5" i="2"/>
  <c r="AM5" i="1" s="1"/>
  <c r="CY19" i="2"/>
  <c r="CY5" i="2"/>
  <c r="DN19" i="2"/>
  <c r="DQ19" i="2" s="1"/>
  <c r="DN5" i="2"/>
  <c r="DL19" i="2"/>
  <c r="DP5" i="2"/>
  <c r="DO5" i="2"/>
  <c r="DK19" i="2"/>
  <c r="DI19" i="2"/>
  <c r="DH19" i="2"/>
  <c r="DG19" i="2"/>
  <c r="DJ19" i="2" s="1"/>
  <c r="DF19" i="2"/>
  <c r="DD19" i="2"/>
  <c r="CT13" i="2"/>
  <c r="CT5" i="2" s="1"/>
  <c r="CU13" i="2"/>
  <c r="CU5" i="2" s="1"/>
  <c r="CU19" i="2"/>
  <c r="CW19" i="2"/>
  <c r="CT19" i="2"/>
  <c r="BP5" i="2" l="1"/>
  <c r="P5" i="2" s="1"/>
  <c r="I5" i="2" s="1"/>
  <c r="M5" i="2"/>
  <c r="F5" i="2" s="1"/>
  <c r="N5" i="2"/>
  <c r="G5" i="2" s="1"/>
  <c r="BP5" i="6" l="1"/>
  <c r="V36" i="2"/>
  <c r="CW5" i="6"/>
  <c r="CV5" i="6" s="1"/>
  <c r="CU5" i="6" s="1"/>
  <c r="CS40" i="6" l="1"/>
  <c r="CR5" i="6"/>
  <c r="CJ5" i="6"/>
  <c r="CL5" i="6"/>
  <c r="CD5" i="6" s="1"/>
  <c r="CK5" i="6"/>
  <c r="CN5" i="6"/>
  <c r="BU5" i="6"/>
  <c r="F5" i="8"/>
  <c r="G5" i="8"/>
  <c r="E5" i="8" s="1"/>
  <c r="W25" i="8"/>
  <c r="W23" i="8"/>
  <c r="BT5" i="6"/>
  <c r="BS5" i="6"/>
  <c r="BR5" i="6"/>
  <c r="BQ5" i="6"/>
  <c r="BM5" i="6"/>
  <c r="CC5" i="6" l="1"/>
  <c r="AR5" i="6" s="1"/>
  <c r="CE5" i="6"/>
  <c r="AP5" i="6"/>
  <c r="AS5" i="6"/>
  <c r="BA5" i="6"/>
  <c r="AZ5" i="6"/>
  <c r="CA5" i="6"/>
  <c r="AJ5" i="6" s="1"/>
  <c r="I5" i="6" s="1"/>
  <c r="CI5" i="6"/>
  <c r="CB5" i="6" s="1"/>
  <c r="CF5" i="6"/>
  <c r="AO5" i="6" l="1"/>
  <c r="BC5" i="6"/>
  <c r="BF5" i="6"/>
  <c r="AT5" i="6"/>
  <c r="N5" i="6" s="1"/>
  <c r="AK5" i="6"/>
  <c r="K5" i="6" s="1"/>
  <c r="AL5" i="6"/>
  <c r="F5" i="6" s="1"/>
  <c r="AM5" i="6"/>
  <c r="G5" i="6" s="1"/>
  <c r="AH5" i="6"/>
  <c r="H5" i="6" s="1"/>
  <c r="E5" i="6" l="1"/>
  <c r="AI5" i="6"/>
  <c r="J5" i="6" s="1"/>
  <c r="D5" i="6" s="1"/>
  <c r="CT21" i="2" l="1"/>
  <c r="S37" i="2"/>
  <c r="S36" i="2"/>
  <c r="N5" i="4" l="1"/>
  <c r="L5" i="4"/>
  <c r="M5" i="4"/>
  <c r="K5" i="4"/>
  <c r="BC5" i="1"/>
  <c r="BB5" i="1" l="1"/>
  <c r="AZ5" i="1"/>
  <c r="BA5" i="1"/>
  <c r="R80" i="1"/>
  <c r="O80" i="1"/>
  <c r="J81" i="5"/>
  <c r="G81" i="5"/>
  <c r="J80" i="5"/>
  <c r="G80" i="5"/>
  <c r="J79" i="5"/>
  <c r="H79" i="5"/>
  <c r="G79" i="5"/>
  <c r="J78" i="5"/>
  <c r="H78" i="5"/>
  <c r="G78" i="5"/>
  <c r="J77" i="5"/>
  <c r="H77" i="5"/>
  <c r="G77" i="5"/>
  <c r="CY5" i="6" l="1"/>
  <c r="CH5" i="6" s="1"/>
  <c r="AY5" i="6" s="1"/>
  <c r="W5" i="6" s="1"/>
  <c r="AX5" i="6"/>
  <c r="V5" i="6" s="1"/>
  <c r="AH5" i="5"/>
  <c r="AF5" i="5"/>
  <c r="AG5" i="5"/>
  <c r="O81" i="1" l="1"/>
  <c r="AF5" i="1"/>
  <c r="R81" i="1"/>
  <c r="S80" i="1"/>
  <c r="O5" i="5" s="1"/>
  <c r="S81" i="1"/>
  <c r="R79" i="1"/>
  <c r="O79" i="1"/>
  <c r="R78" i="1"/>
  <c r="O78" i="1"/>
  <c r="R77" i="1"/>
  <c r="O77" i="1"/>
  <c r="P81" i="1"/>
  <c r="P80" i="1"/>
  <c r="M5" i="5" s="1"/>
  <c r="S38" i="2"/>
  <c r="AD5" i="1" l="1"/>
  <c r="P5" i="5"/>
  <c r="AB5" i="1"/>
  <c r="N5" i="5"/>
  <c r="AA5" i="1"/>
  <c r="AC5" i="1"/>
  <c r="AH5" i="1"/>
  <c r="AA37" i="2" l="1"/>
  <c r="S77" i="1" s="1"/>
  <c r="X5" i="1" s="1"/>
  <c r="AB38" i="2"/>
  <c r="AB37" i="2"/>
  <c r="AD37" i="2"/>
  <c r="Y37" i="2"/>
  <c r="U38" i="2"/>
  <c r="P78" i="1" s="1"/>
  <c r="V5" i="1" s="1"/>
  <c r="P77" i="1"/>
  <c r="U5" i="1" s="1"/>
  <c r="V38" i="2"/>
  <c r="X37" i="2"/>
  <c r="AA36" i="2"/>
  <c r="AB36" i="2"/>
  <c r="AD36" i="2"/>
  <c r="Y36" i="2"/>
  <c r="X36" i="2"/>
  <c r="AD38" i="2"/>
  <c r="AA38" i="2"/>
  <c r="S78" i="1" s="1"/>
  <c r="Y5" i="1" s="1"/>
  <c r="Y38" i="2"/>
  <c r="X38" i="2"/>
  <c r="S39" i="2"/>
  <c r="T38" i="2" l="1"/>
  <c r="K78" i="5" s="1"/>
  <c r="Z36" i="2"/>
  <c r="AL5" i="1" l="1"/>
  <c r="EA5" i="2"/>
  <c r="EB5" i="2"/>
  <c r="CU47" i="2" l="1"/>
  <c r="AH5" i="4" l="1"/>
  <c r="AJ5" i="4"/>
  <c r="AK5" i="4"/>
  <c r="S79" i="1"/>
  <c r="Z5" i="1" s="1"/>
  <c r="AB39" i="2"/>
  <c r="AD39" i="2"/>
  <c r="Y39" i="2"/>
  <c r="CB5" i="2"/>
  <c r="BH5" i="2" s="1"/>
  <c r="U39" i="2"/>
  <c r="P79" i="1" s="1"/>
  <c r="W5" i="1" s="1"/>
  <c r="V39" i="2"/>
  <c r="T36" i="2"/>
  <c r="X39" i="2"/>
  <c r="AW5" i="2" l="1"/>
  <c r="AE36" i="2"/>
  <c r="CG5" i="6"/>
  <c r="Z37" i="2"/>
  <c r="T39" i="2"/>
  <c r="K79" i="5" s="1"/>
  <c r="T37" i="2"/>
  <c r="K77" i="5" s="1"/>
  <c r="Z39" i="2"/>
  <c r="Z38" i="2"/>
  <c r="AB5" i="2" l="1"/>
  <c r="AF39" i="2"/>
  <c r="AV5" i="6"/>
  <c r="P5" i="6" s="1"/>
  <c r="L5" i="6" s="1"/>
  <c r="AW5" i="6"/>
  <c r="Q5" i="6" s="1"/>
  <c r="AE37" i="2"/>
  <c r="AF36" i="2"/>
  <c r="W52" i="2" s="1"/>
  <c r="AF37" i="2"/>
  <c r="AF41" i="2"/>
  <c r="AE39" i="2"/>
  <c r="AX5" i="2"/>
  <c r="AE38" i="2"/>
  <c r="AY5" i="2"/>
  <c r="AZ5" i="2"/>
  <c r="AF38" i="2"/>
  <c r="BC5" i="2"/>
  <c r="BB5" i="2"/>
  <c r="BA5" i="2"/>
  <c r="BD5" i="2"/>
  <c r="CN5" i="1"/>
  <c r="BN23" i="1"/>
  <c r="BJ23" i="1"/>
  <c r="FL15" i="2"/>
  <c r="FJ15" i="2"/>
  <c r="BI23" i="1" s="1"/>
  <c r="BJ5" i="1" l="1"/>
  <c r="BJ33" i="1"/>
  <c r="BN5" i="1"/>
  <c r="BN33" i="1"/>
  <c r="BI33" i="1"/>
  <c r="BI5" i="1"/>
  <c r="BH5" i="1" s="1"/>
  <c r="AG5" i="2"/>
  <c r="BM23" i="1"/>
  <c r="BM5" i="1" s="1"/>
  <c r="N5" i="8"/>
  <c r="M5" i="8" s="1"/>
  <c r="BJ5" i="2"/>
  <c r="O5" i="2" s="1"/>
  <c r="H5" i="2" s="1"/>
  <c r="BL5" i="1" l="1"/>
  <c r="BM33" i="1"/>
  <c r="AE40" i="2"/>
  <c r="K80" i="5"/>
  <c r="BE5" i="2"/>
  <c r="W5" i="5"/>
  <c r="S5" i="8"/>
  <c r="U48" i="2" l="1"/>
  <c r="CR5" i="2"/>
  <c r="AL5" i="2" s="1"/>
  <c r="BO22" i="1"/>
  <c r="DC5" i="6"/>
  <c r="DD5" i="6"/>
  <c r="AN5" i="6" l="1"/>
  <c r="R5" i="6" s="1"/>
  <c r="AQ5" i="6"/>
  <c r="S5" i="6" s="1"/>
  <c r="BX5" i="6"/>
  <c r="BG5" i="6" s="1"/>
  <c r="BE5" i="6" s="1"/>
  <c r="Y5" i="6" s="1"/>
  <c r="BW5" i="6"/>
  <c r="BD5" i="6" s="1"/>
  <c r="BB5" i="6" s="1"/>
  <c r="X5" i="6" s="1"/>
  <c r="K81" i="5" l="1"/>
  <c r="CG5" i="1"/>
  <c r="CI5" i="1"/>
  <c r="CJ5" i="1"/>
  <c r="CK5" i="1"/>
  <c r="CL5" i="1"/>
  <c r="CM5" i="1"/>
  <c r="CO5" i="1"/>
  <c r="CP5" i="1"/>
  <c r="CQ5" i="1"/>
  <c r="CR5" i="1"/>
  <c r="BG5" i="2" l="1"/>
  <c r="BP5" i="1"/>
  <c r="CS5" i="1"/>
  <c r="Z5" i="5" l="1"/>
  <c r="L5" i="5" s="1"/>
  <c r="AC5" i="4"/>
  <c r="CS5" i="2"/>
  <c r="AP5" i="2" s="1"/>
  <c r="U49" i="2"/>
  <c r="U56" i="2" s="1"/>
  <c r="U5" i="5"/>
  <c r="T5" i="5"/>
  <c r="S5" i="5"/>
  <c r="O5" i="3"/>
  <c r="M5" i="3"/>
  <c r="AI5" i="1"/>
  <c r="AG5" i="1"/>
  <c r="AV6" i="10"/>
  <c r="G5" i="3" l="1"/>
  <c r="E5" i="3" s="1"/>
  <c r="B5" i="3" s="1"/>
  <c r="G5" i="4"/>
  <c r="J5" i="4"/>
  <c r="AM5" i="2"/>
  <c r="AK5" i="2" s="1"/>
  <c r="BN5" i="6"/>
  <c r="AU5" i="6" s="1"/>
  <c r="O5" i="6" s="1"/>
  <c r="M5" i="6" s="1"/>
  <c r="AF40" i="2" l="1"/>
  <c r="X56" i="2" s="1"/>
  <c r="H81" i="5"/>
  <c r="BF5" i="2"/>
  <c r="AO5" i="2" s="1"/>
  <c r="AN5" i="2" s="1"/>
  <c r="H5" i="3" l="1"/>
  <c r="F5" i="3" s="1"/>
  <c r="C5" i="3" s="1"/>
  <c r="Q5" i="3" l="1"/>
  <c r="I5" i="3" s="1"/>
  <c r="T5" i="8" l="1"/>
  <c r="X5" i="5"/>
  <c r="AA5" i="4"/>
  <c r="Z5" i="4"/>
  <c r="CT5" i="1"/>
  <c r="AS5" i="1"/>
  <c r="AU5" i="1" l="1"/>
  <c r="T5" i="1" s="1"/>
  <c r="Q5" i="1" l="1"/>
  <c r="I5" i="5" l="1"/>
  <c r="H80" i="5" l="1"/>
  <c r="AC8" i="14" l="1"/>
  <c r="AB8" i="14"/>
  <c r="AC5" i="14" l="1"/>
  <c r="AC3" i="14"/>
  <c r="AC4" i="14"/>
  <c r="AB4" i="14" l="1"/>
  <c r="AP6" i="14"/>
  <c r="AB6" i="14"/>
  <c r="AA5" i="14"/>
  <c r="Z5" i="14"/>
  <c r="AB5" i="14"/>
  <c r="X5" i="14" l="1"/>
  <c r="AC9" i="14"/>
  <c r="AC10" i="14"/>
  <c r="AB9" i="14"/>
  <c r="AB10" i="14"/>
  <c r="AB11" i="14"/>
  <c r="AB12" i="14"/>
  <c r="V8" i="14"/>
  <c r="W8" i="14"/>
  <c r="X8" i="14"/>
  <c r="Y8" i="14"/>
  <c r="Z8" i="14"/>
  <c r="AA8" i="14"/>
  <c r="U8" i="14"/>
  <c r="AO8" i="14" s="1"/>
  <c r="AB3" i="14"/>
  <c r="Y5" i="14"/>
  <c r="W5" i="14"/>
  <c r="V5" i="14"/>
  <c r="AO5" i="14" s="1"/>
  <c r="U5" i="14"/>
  <c r="V4" i="14"/>
  <c r="U4" i="14"/>
  <c r="W4" i="14"/>
  <c r="X4" i="14"/>
  <c r="Y4" i="14"/>
  <c r="Z4" i="14"/>
  <c r="AA4" i="14"/>
  <c r="V3" i="14"/>
  <c r="W3" i="14"/>
  <c r="X3" i="14"/>
  <c r="Y3" i="14"/>
  <c r="Z3" i="14"/>
  <c r="AA3" i="14"/>
  <c r="U3" i="14"/>
  <c r="AA2" i="14"/>
  <c r="Z2" i="14"/>
  <c r="AO3" i="14" l="1"/>
  <c r="AO4" i="14"/>
  <c r="CA5" i="1" l="1"/>
  <c r="EL30" i="2" l="1"/>
  <c r="DI60" i="2" l="1"/>
  <c r="DG60" i="2"/>
  <c r="DH5" i="2" l="1"/>
  <c r="DU5" i="2" l="1"/>
  <c r="DE19" i="2" l="1"/>
  <c r="L47" i="11"/>
  <c r="K36" i="11" l="1"/>
  <c r="L36" i="11"/>
  <c r="E19" i="9" l="1"/>
  <c r="AT5" i="7" l="1"/>
  <c r="L45" i="11" l="1"/>
  <c r="K22" i="11" l="1"/>
  <c r="H7" i="10"/>
  <c r="K47" i="11" l="1"/>
  <c r="K45" i="11" l="1"/>
  <c r="L43" i="11"/>
  <c r="K43" i="11"/>
  <c r="L40" i="11"/>
  <c r="K40" i="11"/>
  <c r="L38" i="11"/>
  <c r="K38" i="11"/>
  <c r="L34" i="11"/>
  <c r="K34" i="11"/>
  <c r="L32" i="11"/>
  <c r="K32" i="11"/>
  <c r="L30" i="11"/>
  <c r="K30" i="11"/>
  <c r="K28" i="11"/>
  <c r="L28" i="11"/>
  <c r="L24" i="11"/>
  <c r="K24" i="11"/>
  <c r="AF43" i="10" l="1"/>
  <c r="AC44" i="10" s="1"/>
  <c r="L14" i="11"/>
  <c r="AD44" i="10" l="1"/>
  <c r="AE44" i="10"/>
  <c r="Y44" i="10"/>
  <c r="Z44" i="10"/>
  <c r="AA44" i="10"/>
  <c r="AB44" i="10"/>
  <c r="L22" i="11"/>
  <c r="L20" i="11"/>
  <c r="L16" i="11"/>
  <c r="K16" i="11"/>
  <c r="K4" i="11"/>
  <c r="K20" i="11"/>
  <c r="K14" i="11"/>
  <c r="L6" i="11"/>
  <c r="L8" i="11"/>
  <c r="L10" i="11"/>
  <c r="L12" i="11"/>
  <c r="L4" i="11"/>
  <c r="K6" i="11"/>
  <c r="K8" i="11"/>
  <c r="K10" i="11"/>
  <c r="K12" i="11"/>
  <c r="AF45" i="10" l="1"/>
  <c r="AF44" i="10"/>
  <c r="AI7" i="10" l="1"/>
  <c r="N7" i="10"/>
  <c r="BO7" i="10"/>
  <c r="BA7" i="10"/>
  <c r="AF7" i="10"/>
  <c r="Y7" i="10"/>
  <c r="R7" i="10"/>
  <c r="K7" i="10"/>
  <c r="D7" i="10"/>
  <c r="CO7" i="10"/>
  <c r="CN7" i="10"/>
  <c r="CE6" i="10"/>
  <c r="CD6" i="10"/>
  <c r="BY6" i="10"/>
  <c r="BX6" i="10"/>
  <c r="BW6" i="10"/>
  <c r="BQ6" i="10"/>
  <c r="BP6" i="10"/>
  <c r="BI6" i="10"/>
  <c r="BJ6" i="10"/>
  <c r="BC6" i="10"/>
  <c r="BB6" i="10"/>
  <c r="AW6" i="10"/>
  <c r="AU6" i="10"/>
  <c r="AN6" i="10"/>
  <c r="S6" i="10"/>
  <c r="R6" i="10"/>
  <c r="D6" i="10"/>
  <c r="BR6" i="10" l="1"/>
  <c r="BK6" i="10"/>
  <c r="BD6" i="10" l="1"/>
  <c r="AF6" i="10"/>
  <c r="K6" i="10" l="1"/>
  <c r="T6" i="10" l="1"/>
  <c r="CF6" i="10" l="1"/>
  <c r="K8" i="7" l="1"/>
  <c r="AD5" i="6" s="1"/>
  <c r="CX5" i="6" s="1"/>
  <c r="L9" i="7"/>
  <c r="L5" i="7" s="1"/>
  <c r="Z13" i="4"/>
  <c r="T5" i="6" l="1"/>
  <c r="U5" i="6"/>
  <c r="C5" i="6" s="1"/>
  <c r="L5" i="8"/>
  <c r="Y6" i="10"/>
  <c r="AA13" i="4"/>
  <c r="BH6" i="10"/>
  <c r="B5" i="6" l="1"/>
  <c r="E13" i="9"/>
  <c r="BM6" i="10"/>
  <c r="BL6" i="10"/>
  <c r="BO6" i="10" l="1"/>
  <c r="K5" i="8" l="1"/>
  <c r="D5" i="8" s="1"/>
  <c r="D5" i="7"/>
  <c r="G3" i="9"/>
  <c r="U6" i="10"/>
  <c r="G2" i="9"/>
  <c r="BV6" i="10"/>
  <c r="BZ6" i="10" s="1"/>
  <c r="BA6" i="10"/>
  <c r="BE6" i="10" s="1"/>
  <c r="BT6" i="10"/>
  <c r="BS6" i="10"/>
  <c r="B5" i="8" l="1"/>
  <c r="AM6" i="10"/>
  <c r="CC6" i="10"/>
  <c r="P5" i="7"/>
  <c r="N5" i="7"/>
  <c r="AT6" i="10"/>
  <c r="AX6" i="10" s="1"/>
  <c r="V6" i="10"/>
  <c r="W6" i="10"/>
  <c r="CA6" i="10"/>
  <c r="BF6" i="10"/>
  <c r="T45" i="2" l="1"/>
  <c r="CO5" i="2"/>
  <c r="ID5" i="2"/>
  <c r="IC5" i="2"/>
  <c r="CH5" i="2" s="1"/>
  <c r="CK5" i="2"/>
  <c r="S5" i="2" s="1"/>
  <c r="CM5" i="2"/>
  <c r="T46" i="2"/>
  <c r="W54" i="2" s="1"/>
  <c r="AO5" i="1"/>
  <c r="S44" i="2"/>
  <c r="S52" i="2" s="1"/>
  <c r="S46" i="2"/>
  <c r="S47" i="2"/>
  <c r="S45" i="2"/>
  <c r="S53" i="2" s="1"/>
  <c r="T47" i="2"/>
  <c r="CQ5" i="2"/>
  <c r="CP5" i="2"/>
  <c r="AP5" i="1"/>
  <c r="AQ5" i="1"/>
  <c r="J5" i="1" s="1"/>
  <c r="CJ5" i="2"/>
  <c r="CL5" i="2"/>
  <c r="CH6" i="10"/>
  <c r="CG6" i="10"/>
  <c r="E12" i="9"/>
  <c r="AY6" i="10"/>
  <c r="E5" i="7" l="1"/>
  <c r="R5" i="2"/>
  <c r="AC5" i="2"/>
  <c r="L5" i="1"/>
  <c r="H5" i="1"/>
  <c r="AK5" i="1"/>
  <c r="CI5" i="2"/>
  <c r="M5" i="1"/>
  <c r="I5" i="1"/>
  <c r="N5" i="1"/>
  <c r="T55" i="2"/>
  <c r="W55" i="2"/>
  <c r="T54" i="2"/>
  <c r="V53" i="2"/>
  <c r="Y5" i="2"/>
  <c r="T5" i="2"/>
  <c r="AD5" i="2"/>
  <c r="AI5" i="2"/>
  <c r="V55" i="2"/>
  <c r="S55" i="2"/>
  <c r="W5" i="2"/>
  <c r="AJ5" i="2"/>
  <c r="AE5" i="2"/>
  <c r="T53" i="2"/>
  <c r="W53" i="2"/>
  <c r="Z5" i="2"/>
  <c r="U5" i="2"/>
  <c r="X5" i="2"/>
  <c r="AH5" i="2"/>
  <c r="V52" i="2"/>
  <c r="V54" i="2"/>
  <c r="S54" i="2"/>
  <c r="AJ5" i="1"/>
  <c r="K2" i="9"/>
  <c r="L3" i="9"/>
  <c r="L2" i="9"/>
  <c r="B5" i="7" l="1"/>
  <c r="E11" i="9" s="1"/>
  <c r="G5" i="1"/>
  <c r="X58" i="2"/>
  <c r="K5" i="1"/>
  <c r="AF5" i="2"/>
  <c r="Q5" i="2"/>
  <c r="V5" i="2"/>
  <c r="W56" i="2"/>
  <c r="W58" i="2" s="1"/>
  <c r="T56" i="2"/>
  <c r="T58" i="2" s="1"/>
  <c r="AA5" i="2"/>
  <c r="U58" i="2"/>
  <c r="S56" i="2"/>
  <c r="S58" i="2" s="1"/>
  <c r="V56" i="2"/>
  <c r="V58" i="2" s="1"/>
  <c r="AP6" i="10"/>
  <c r="AQ6" i="10" s="1"/>
  <c r="CN6" i="10" s="1"/>
  <c r="L5" i="2" l="1"/>
  <c r="E5" i="2" s="1"/>
  <c r="K5" i="2"/>
  <c r="D5" i="2" s="1"/>
  <c r="B5" i="2" s="1"/>
  <c r="R59" i="2"/>
  <c r="R60" i="2"/>
  <c r="F6" i="10"/>
  <c r="M6" i="10"/>
  <c r="E6" i="10"/>
  <c r="L6" i="10"/>
  <c r="E2" i="9" l="1"/>
  <c r="C5" i="2"/>
  <c r="E14" i="9" l="1"/>
  <c r="J2" i="9"/>
  <c r="G6" i="10"/>
  <c r="E3" i="9" l="1"/>
  <c r="I6" i="10"/>
  <c r="H6" i="10"/>
  <c r="CK6" i="10" l="1"/>
  <c r="CL6" i="10"/>
  <c r="CM6" i="10"/>
  <c r="CJ6" i="10"/>
  <c r="N6" i="10"/>
  <c r="O6" i="10" s="1"/>
  <c r="AB6" i="10"/>
  <c r="P6" i="10" l="1"/>
  <c r="Z6" i="10" l="1"/>
  <c r="AC6" i="10" s="1"/>
  <c r="AA6" i="10"/>
  <c r="AD6" i="10" s="1"/>
  <c r="AH6" i="10" l="1"/>
  <c r="AG6" i="10"/>
  <c r="E16" i="9" l="1"/>
  <c r="AB5" i="4"/>
  <c r="I5" i="4" s="1"/>
  <c r="H5" i="4" s="1"/>
  <c r="C5" i="4" s="1"/>
  <c r="H3" i="9" s="1"/>
  <c r="Y5" i="5"/>
  <c r="H5" i="5" s="1"/>
  <c r="G5" i="5" s="1"/>
  <c r="E5" i="5" s="1"/>
  <c r="AT5" i="1"/>
  <c r="S5" i="1" s="1"/>
  <c r="R5" i="1" s="1"/>
  <c r="F5" i="1" s="1"/>
  <c r="C5" i="1" s="1"/>
  <c r="F3" i="9" s="1"/>
  <c r="K5" i="5" l="1"/>
  <c r="J5" i="5" s="1"/>
  <c r="F5" i="5" s="1"/>
  <c r="C5" i="5" s="1"/>
  <c r="I3" i="9" s="1"/>
  <c r="P5" i="1"/>
  <c r="O5" i="1" s="1"/>
  <c r="E5" i="1" s="1"/>
  <c r="B5" i="1" s="1"/>
  <c r="F2" i="9" s="1"/>
  <c r="AI6" i="10"/>
  <c r="B5" i="5"/>
  <c r="I2" i="9" s="1"/>
  <c r="F5" i="4"/>
  <c r="E5" i="4" s="1"/>
  <c r="B5" i="4" s="1"/>
  <c r="H2" i="9" s="1"/>
  <c r="E10" i="9" l="1"/>
  <c r="M2" i="9"/>
  <c r="I5" i="9" s="1"/>
  <c r="AK6" i="10"/>
  <c r="AJ6" i="10"/>
  <c r="H5" i="9" l="1"/>
  <c r="J5" i="9"/>
  <c r="L5" i="9"/>
  <c r="G5" i="9"/>
  <c r="E5" i="9"/>
  <c r="K5" i="9"/>
  <c r="F5" i="9"/>
  <c r="M5" i="9" l="1"/>
  <c r="BX5" i="7"/>
  <c r="BO5" i="7"/>
  <c r="R5" i="8" l="1"/>
  <c r="J5" i="8" s="1"/>
  <c r="H5" i="8" s="1"/>
  <c r="C5" i="8" s="1"/>
  <c r="BV5" i="7"/>
  <c r="E18" i="9" l="1"/>
  <c r="K3" i="9"/>
  <c r="AO6" i="10"/>
  <c r="AR6" i="10" s="1"/>
  <c r="CO6" i="10" s="1"/>
  <c r="E17" i="9" l="1"/>
  <c r="J3" i="9"/>
  <c r="M3" i="9" l="1"/>
  <c r="J6" i="9" s="1"/>
  <c r="H6" i="9" l="1"/>
  <c r="I6" i="9"/>
  <c r="E6" i="9"/>
  <c r="L6" i="9"/>
  <c r="G6" i="9"/>
  <c r="F6" i="9"/>
  <c r="K6" i="9"/>
  <c r="M6" i="9" l="1"/>
  <c r="BQ3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Hamed Jalilian</author>
  </authors>
  <commentList>
    <comment ref="D7" authorId="0" shapeId="0" xr:uid="{00000000-0006-0000-0100-000001000000}">
      <text>
        <r>
          <rPr>
            <b/>
            <sz val="9"/>
            <color indexed="81"/>
            <rFont val="Tahoma"/>
            <family val="2"/>
          </rPr>
          <t>Hamed Jalilian:</t>
        </r>
        <r>
          <rPr>
            <sz val="9"/>
            <color indexed="81"/>
            <rFont val="Tahoma"/>
            <family val="2"/>
          </rPr>
          <t xml:space="preserve">
van Wel 2021</t>
        </r>
      </text>
    </comment>
    <comment ref="D8" authorId="0" shapeId="0" xr:uid="{00000000-0006-0000-0100-000002000000}">
      <text>
        <r>
          <rPr>
            <b/>
            <sz val="9"/>
            <color indexed="81"/>
            <rFont val="Tahoma"/>
            <family val="2"/>
          </rPr>
          <t>Hamed Jalilian:</t>
        </r>
        <r>
          <rPr>
            <sz val="9"/>
            <color indexed="81"/>
            <rFont val="Tahoma"/>
            <family val="2"/>
          </rPr>
          <t xml:space="preserve">
Birks 2021,median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Hamed Jalilian</author>
  </authors>
  <commentList>
    <comment ref="D7" authorId="0" shapeId="0" xr:uid="{00000000-0006-0000-0200-000002000000}">
      <text>
        <r>
          <rPr>
            <b/>
            <sz val="9"/>
            <color indexed="81"/>
            <rFont val="Tahoma"/>
            <family val="2"/>
          </rPr>
          <t>Hamed Jalilian: van wel2021</t>
        </r>
      </text>
    </comment>
    <comment ref="D8" authorId="0" shapeId="0" xr:uid="{00000000-0006-0000-0200-000003000000}">
      <text>
        <r>
          <rPr>
            <b/>
            <sz val="9"/>
            <color indexed="81"/>
            <rFont val="Tahoma"/>
            <family val="2"/>
          </rPr>
          <t>Hamed Jalilian:</t>
        </r>
        <r>
          <rPr>
            <sz val="9"/>
            <color indexed="81"/>
            <rFont val="Tahoma"/>
            <family val="2"/>
          </rPr>
          <t xml:space="preserve">
Birks 2021,median</t>
        </r>
      </text>
    </comment>
    <comment ref="J9" authorId="0" shapeId="0" xr:uid="{00000000-0006-0000-0200-000004000000}">
      <text>
        <r>
          <rPr>
            <b/>
            <sz val="9"/>
            <color indexed="81"/>
            <rFont val="Tahoma"/>
            <family val="2"/>
          </rPr>
          <t>Hamed Jalilian:</t>
        </r>
        <r>
          <rPr>
            <sz val="9"/>
            <color indexed="81"/>
            <rFont val="Tahoma"/>
            <family val="2"/>
          </rPr>
          <t xml:space="preserve">
EJ</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Hamed Jalilian</author>
  </authors>
  <commentList>
    <comment ref="D7" authorId="0" shapeId="0" xr:uid="{00000000-0006-0000-0300-000002000000}">
      <text>
        <r>
          <rPr>
            <b/>
            <sz val="9"/>
            <color indexed="81"/>
            <rFont val="Tahoma"/>
            <family val="2"/>
          </rPr>
          <t>Hamed Jalilian:</t>
        </r>
        <r>
          <rPr>
            <sz val="9"/>
            <color indexed="81"/>
            <rFont val="Tahoma"/>
            <family val="2"/>
          </rPr>
          <t xml:space="preserve">
van Wel 2021</t>
        </r>
      </text>
    </comment>
    <comment ref="D8" authorId="0" shapeId="0" xr:uid="{00000000-0006-0000-0300-000003000000}">
      <text>
        <r>
          <rPr>
            <b/>
            <sz val="9"/>
            <color indexed="81"/>
            <rFont val="Tahoma"/>
            <family val="2"/>
          </rPr>
          <t>Hamed Jalilian:</t>
        </r>
        <r>
          <rPr>
            <sz val="9"/>
            <color indexed="81"/>
            <rFont val="Tahoma"/>
            <family val="2"/>
          </rPr>
          <t xml:space="preserve">
Birks 2021,median</t>
        </r>
      </text>
    </comment>
    <comment ref="J9" authorId="0" shapeId="0" xr:uid="{00000000-0006-0000-0300-000004000000}">
      <text>
        <r>
          <rPr>
            <b/>
            <sz val="9"/>
            <color indexed="81"/>
            <rFont val="Tahoma"/>
            <family val="2"/>
          </rPr>
          <t>Hamed Jalilian:</t>
        </r>
        <r>
          <rPr>
            <sz val="9"/>
            <color indexed="81"/>
            <rFont val="Tahoma"/>
            <family val="2"/>
          </rPr>
          <t xml:space="preserve">
EJ</t>
        </r>
      </text>
    </comment>
    <comment ref="K9" authorId="0" shapeId="0" xr:uid="{00000000-0006-0000-0300-000005000000}">
      <text>
        <r>
          <rPr>
            <b/>
            <sz val="9"/>
            <color indexed="81"/>
            <rFont val="Tahoma"/>
            <family val="2"/>
          </rPr>
          <t>Hamed Jalilian:</t>
        </r>
        <r>
          <rPr>
            <sz val="9"/>
            <color indexed="81"/>
            <rFont val="Tahoma"/>
            <family val="2"/>
          </rPr>
          <t xml:space="preserve">
EJ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Hamed Jalilian</author>
  </authors>
  <commentList>
    <comment ref="D7" authorId="0" shapeId="0" xr:uid="{00000000-0006-0000-0400-000001000000}">
      <text>
        <r>
          <rPr>
            <b/>
            <sz val="9"/>
            <color indexed="81"/>
            <rFont val="Tahoma"/>
            <family val="2"/>
          </rPr>
          <t>Hamed Jalilian:</t>
        </r>
        <r>
          <rPr>
            <sz val="9"/>
            <color indexed="81"/>
            <rFont val="Tahoma"/>
            <family val="2"/>
          </rPr>
          <t xml:space="preserve">
van Wel 2021</t>
        </r>
      </text>
    </comment>
    <comment ref="D8" authorId="0" shapeId="0" xr:uid="{00000000-0006-0000-0400-000002000000}">
      <text>
        <r>
          <rPr>
            <b/>
            <sz val="9"/>
            <color indexed="81"/>
            <rFont val="Tahoma"/>
            <family val="2"/>
          </rPr>
          <t>Hamed Jalilian:</t>
        </r>
        <r>
          <rPr>
            <sz val="9"/>
            <color indexed="81"/>
            <rFont val="Tahoma"/>
            <family val="2"/>
          </rPr>
          <t xml:space="preserve">
Birks 2021,median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Hamed Jalilian</author>
  </authors>
  <commentList>
    <comment ref="AR14" authorId="0" shapeId="0" xr:uid="{00000000-0006-0000-0500-00000B000000}">
      <text>
        <r>
          <rPr>
            <b/>
            <sz val="9"/>
            <color indexed="81"/>
            <rFont val="Tahoma"/>
            <family val="2"/>
          </rPr>
          <t>Hamed Jalilian:</t>
        </r>
        <r>
          <rPr>
            <sz val="9"/>
            <color indexed="81"/>
            <rFont val="Tahoma"/>
            <family val="2"/>
          </rPr>
          <t xml:space="preserve">
&lt;50</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Hamed Jalilian</author>
  </authors>
  <commentList>
    <comment ref="CY5" authorId="0" shapeId="0" xr:uid="{00000000-0006-0000-0700-000001000000}">
      <text>
        <r>
          <rPr>
            <b/>
            <sz val="9"/>
            <color indexed="81"/>
            <rFont val="Tahoma"/>
            <family val="2"/>
          </rPr>
          <t>Hamed Jalilian:</t>
        </r>
        <r>
          <rPr>
            <sz val="9"/>
            <color indexed="81"/>
            <rFont val="Tahoma"/>
            <family val="2"/>
          </rPr>
          <t xml:space="preserve">
Pmax is in range of 20 to 100 mW (mean: 60 mW) during active transmissions. By considering duty cycle of 18% (calculated from Wout 2013), the mean value of output power could be 21 mW</t>
        </r>
      </text>
    </comment>
    <comment ref="CN15" authorId="0" shapeId="0" xr:uid="{00000000-0006-0000-0700-000002000000}">
      <text>
        <r>
          <rPr>
            <b/>
            <sz val="9"/>
            <color indexed="81"/>
            <rFont val="Tahoma"/>
            <family val="2"/>
          </rPr>
          <t>Hamed Jalilian:
kitchen scales
duty cycle: 0.25%</t>
        </r>
      </text>
    </comment>
    <comment ref="CN16" authorId="0" shapeId="0" xr:uid="{00000000-0006-0000-0700-000003000000}">
      <text>
        <r>
          <rPr>
            <b/>
            <sz val="9"/>
            <color indexed="81"/>
            <rFont val="Tahoma"/>
            <family val="2"/>
          </rPr>
          <t>Hamed Jalilian:
LED globe
DC 0.0111%</t>
        </r>
      </text>
    </comment>
    <comment ref="CN17" authorId="0" shapeId="0" xr:uid="{00000000-0006-0000-0700-000004000000}">
      <text>
        <r>
          <rPr>
            <b/>
            <sz val="9"/>
            <color indexed="81"/>
            <rFont val="Tahoma"/>
            <family val="2"/>
          </rPr>
          <t>Hamed Jalilian:</t>
        </r>
        <r>
          <rPr>
            <sz val="9"/>
            <color indexed="81"/>
            <rFont val="Tahoma"/>
            <family val="2"/>
          </rPr>
          <t xml:space="preserve">
Smart Wi‐Fi pwer strip
duty cycle: 0.16%</t>
        </r>
      </text>
    </comment>
    <comment ref="CN18" authorId="0" shapeId="0" xr:uid="{00000000-0006-0000-0700-000005000000}">
      <text>
        <r>
          <rPr>
            <b/>
            <sz val="9"/>
            <color indexed="81"/>
            <rFont val="Tahoma"/>
            <family val="2"/>
          </rPr>
          <t>Hamed Jalilian:</t>
        </r>
        <r>
          <rPr>
            <sz val="9"/>
            <color indexed="81"/>
            <rFont val="Tahoma"/>
            <family val="2"/>
          </rPr>
          <t xml:space="preserve">
Google home
duty cycle: 1.3%</t>
        </r>
      </text>
    </comment>
    <comment ref="CN19" authorId="0" shapeId="0" xr:uid="{00000000-0006-0000-0700-000006000000}">
      <text>
        <r>
          <rPr>
            <b/>
            <sz val="9"/>
            <color indexed="81"/>
            <rFont val="Tahoma"/>
            <family val="2"/>
          </rPr>
          <t>Hamed Jalilian:</t>
        </r>
        <r>
          <rPr>
            <sz val="9"/>
            <color indexed="81"/>
            <rFont val="Tahoma"/>
            <family val="2"/>
          </rPr>
          <t xml:space="preserve">
Google nest doorbell
duty cycle: 2.3%</t>
        </r>
      </text>
    </comment>
    <comment ref="CN20" authorId="0" shapeId="0" xr:uid="{00000000-0006-0000-0700-000007000000}">
      <text>
        <r>
          <rPr>
            <b/>
            <sz val="9"/>
            <color indexed="81"/>
            <rFont val="Tahoma"/>
            <family val="2"/>
          </rPr>
          <t>Hamed Jalilian:</t>
        </r>
        <r>
          <rPr>
            <sz val="9"/>
            <color indexed="81"/>
            <rFont val="Tahoma"/>
            <family val="2"/>
          </rPr>
          <t xml:space="preserve">
security camera
duty cycle:2.2%</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Hamed Jalilian</author>
  </authors>
  <commentList>
    <comment ref="G7" authorId="0" shapeId="0" xr:uid="{00000000-0006-0000-0900-000001000000}">
      <text>
        <r>
          <rPr>
            <b/>
            <sz val="9"/>
            <color indexed="81"/>
            <rFont val="Tahoma"/>
            <family val="2"/>
          </rPr>
          <t>Hamed Jalilian:</t>
        </r>
        <r>
          <rPr>
            <sz val="9"/>
            <color indexed="81"/>
            <rFont val="Tahoma"/>
            <family val="2"/>
          </rPr>
          <t xml:space="preserve">
NR</t>
        </r>
      </text>
    </comment>
    <comment ref="N7" authorId="0" shapeId="0" xr:uid="{00000000-0006-0000-0900-000002000000}">
      <text>
        <r>
          <rPr>
            <b/>
            <sz val="9"/>
            <color indexed="81"/>
            <rFont val="Tahoma"/>
            <family val="2"/>
          </rPr>
          <t>Hamed Jalilian:</t>
        </r>
        <r>
          <rPr>
            <sz val="9"/>
            <color indexed="81"/>
            <rFont val="Tahoma"/>
            <family val="2"/>
          </rPr>
          <t xml:space="preserve">
I calculated a mean value of internet activities</t>
        </r>
      </text>
    </comment>
    <comment ref="U7" authorId="0" shapeId="0" xr:uid="{00000000-0006-0000-0900-000003000000}">
      <text>
        <r>
          <rPr>
            <b/>
            <sz val="9"/>
            <color indexed="81"/>
            <rFont val="Tahoma"/>
            <family val="2"/>
          </rPr>
          <t>Hamed Jalilian:</t>
        </r>
        <r>
          <rPr>
            <sz val="9"/>
            <color indexed="81"/>
            <rFont val="Tahoma"/>
            <family val="2"/>
          </rPr>
          <t xml:space="preserve">
NR</t>
        </r>
      </text>
    </comment>
    <comment ref="AP7" authorId="0" shapeId="0" xr:uid="{00000000-0006-0000-0900-000004000000}">
      <text>
        <r>
          <rPr>
            <b/>
            <sz val="9"/>
            <color indexed="81"/>
            <rFont val="Tahoma"/>
            <family val="2"/>
          </rPr>
          <t>Hamed Jalilian:</t>
        </r>
        <r>
          <rPr>
            <sz val="9"/>
            <color indexed="81"/>
            <rFont val="Tahoma"/>
            <family val="2"/>
          </rPr>
          <t xml:space="preserve">
average of four countries</t>
        </r>
      </text>
    </comment>
  </commentList>
</comments>
</file>

<file path=xl/sharedStrings.xml><?xml version="1.0" encoding="utf-8"?>
<sst xmlns="http://schemas.openxmlformats.org/spreadsheetml/2006/main" count="1864" uniqueCount="695">
  <si>
    <t>ear</t>
  </si>
  <si>
    <t>default</t>
  </si>
  <si>
    <t>data</t>
  </si>
  <si>
    <t>wifi</t>
  </si>
  <si>
    <t>SAR</t>
  </si>
  <si>
    <t>2G</t>
  </si>
  <si>
    <t>3G</t>
  </si>
  <si>
    <t>4G</t>
  </si>
  <si>
    <t>5G</t>
  </si>
  <si>
    <t>Reference</t>
  </si>
  <si>
    <t>variable</t>
  </si>
  <si>
    <t>Summary</t>
  </si>
  <si>
    <t>source</t>
  </si>
  <si>
    <t>single dat</t>
  </si>
  <si>
    <t>Brain</t>
  </si>
  <si>
    <t>WB</t>
  </si>
  <si>
    <t>Remarks</t>
  </si>
  <si>
    <t>p</t>
  </si>
  <si>
    <t>q</t>
  </si>
  <si>
    <t>Wifi_power</t>
  </si>
  <si>
    <t>table</t>
  </si>
  <si>
    <t>power</t>
  </si>
  <si>
    <t>front_of_face</t>
  </si>
  <si>
    <t>watch</t>
  </si>
  <si>
    <t>headphone</t>
  </si>
  <si>
    <t>vr</t>
  </si>
  <si>
    <t>traveling</t>
  </si>
  <si>
    <t>single data</t>
  </si>
  <si>
    <t>user_inputs</t>
  </si>
  <si>
    <t xml:space="preserve">Exposure _Vm: Urban exposure level: (0.23–0.92 V/m) [average=0.57 V/m]; rural exposure level: (0.07–0.26 V/m) [average=0.16 V/m];Transport system: car (0.14 to 0.56 V/m  average~0.35 V/m), buses (0.28 to 0.50 V/m  average~0.40 V/m), in trains (0.34 to 0.75 V/m average~0.55 V/m), in trams from (0.28 to 0.69 V/m average~0.49 V/m) and in stations from (0.89 to 1.97 V/m average~1.43 V/m) [average of average= 0.65 V/m) </t>
  </si>
  <si>
    <t>Eeftens M, Shen C, Sönksen J, Schmutz C, van Wel L, Liorni I, et al. Modelling of daily radiofrequency electromagnetic field dose for a prospective adolescent cohort. Environment International. 2023;172:107737.</t>
  </si>
  <si>
    <t>Birks LE, van Wel L, Liorni I, Pierotti L, Guxens M, Huss A, et al. Radiofrequency electromagnetic fields from mobile communication: Description of modeled dose in brain regions and the body in European children and adolescents. Environmental research. 2021;193:110505</t>
  </si>
  <si>
    <t>Goedhart G, van Wel L, Langer CE, de Llobet Viladoms P, Wiart J, Hours M, et al. Recall of mobile phone usage and laterality in young people: The multinational Mobi-Expo study. Environmental Research. 2018;165:150-7.</t>
  </si>
  <si>
    <t>the proportion of native and internet calls are estimation. However, 27% and 3% are based on this fact people 91% of time we use mobile data and 9% Wi-Fi (so, 91%*0.30=27%) (4). This reference mentioned, “In 2019, approximately 90.6 percent of smartphone users in Mexico had a mobile internet connection, while 9.4 percent accessed the web only via Wi-Fi.”</t>
  </si>
  <si>
    <t>INEGI. Distribution of Smartphone Users in Mexico from 2016 to 2019, by Internet Connection Type. 2020.</t>
  </si>
  <si>
    <t>MOBI-Kids study (2012 to 2014)--&gt; “Participants reported that in ≥50% of call time they use of headset (wired) 17.1% or speaker (17.2%) mode use (high frequent use was not reported for Bluetooth headset)</t>
  </si>
  <si>
    <t>Statista. DIGITAL &amp; TRENDS: Mobile internet usage in  Europe. 2022.</t>
  </si>
  <si>
    <t>IEM</t>
  </si>
  <si>
    <t>Persson T, Törnevik C, Larsson LE, Lovén J. Output power distributions of terminals in a 3G mobile communication network. Bioelectromagnetics. 2012;33(4):320-5.</t>
  </si>
  <si>
    <t>Paljanos A, Miclăuș S, Bechet P, Munteanu C. Assessment of mobile phone user exposure to UMTS and LTE signals: comparative near-field radiated power levels for various data and voice application services. Journal of Electromagnetic Waves and Applications. 2016;30(9):1101-15.</t>
  </si>
  <si>
    <t>Joshi P, Colombi D, Thors B, Larsson LE, Törnevik C. Output Power Levels of 4G User Equipment and Implications on Realistic RF EMF Exposure Assessments. IEEE Access. 2017;5:4545-50.</t>
  </si>
  <si>
    <t>Joshi P, Ghasemifard F, Colombi D, Törnevik C. Actual output power levels of user equipment in 5G commercial networks and implications on realistic RF EMF exposure assessment. IEEE Access. 2020;8:204068-75.</t>
  </si>
  <si>
    <t>skype voce call, mean value of three signal qualities good medium bad</t>
  </si>
  <si>
    <t>Popović M, Koprivica M, Milinković J, Nešković A. Experimental analysis of individual EMF exposure for GSM/UMTS/WLAN user devices. Annals of Telecommunications. 2019 Feb 1;74:79-91.</t>
  </si>
  <si>
    <t>Joseph W, Pareit D, Vermeeren G, Naudts D, Verloock L, Martens L, et al. Determination of the duty cycle of WLAN for realistic radio frequency electromagnetic field exposure assessment. Prog Biophys Mol Biol. 2013;111(1):30-6.</t>
  </si>
  <si>
    <t>van Wel L, Liorni I, Huss A, Thielens A, Wiart J, Joseph W, et al. Radio-frequency electromagnetic field exposure and contribution of sources in the general population: an organ-specific integrative exposure assessment. J Expo Sci Environ Epidemiol. 2021;31(6):999-1007.</t>
  </si>
  <si>
    <t>expert opinion</t>
  </si>
  <si>
    <t>these data has been extracted from graph with estimaation of median value</t>
  </si>
  <si>
    <t>Swerdlow AJ. Health Effects from Radiofrequency Electromagnetic Fields: . UK: Health Protection Agency; 2012.</t>
  </si>
  <si>
    <t>reference</t>
  </si>
  <si>
    <t>remark</t>
  </si>
  <si>
    <t>Last meeting suggestion</t>
  </si>
  <si>
    <t xml:space="preserve">11% of activity with phone has been recorded for wifi. Not only call. </t>
  </si>
  <si>
    <t>Brzozek C, Zeleke BM, Abramson MJ, Benke KK, Benke G. Radiofrequency electromagnetic field exposure assessment: A pilot study on mobile phone signal strength and transmitted power levels. Journal of Exposure Science &amp; Environmental Epidemiology. 2021 Jan;31(1):62-9.</t>
  </si>
  <si>
    <t>expert opinion of authors</t>
  </si>
  <si>
    <t>Eurostat. Majority commuted less than 30 minutes in 2019. European Commission; 2020</t>
  </si>
  <si>
    <t>Eurostat. Majority commuted less than 30 minutes in 2019. European Commission; 2021</t>
  </si>
  <si>
    <t>face to the anttena</t>
  </si>
  <si>
    <t>Foerster M, Thielens A, Joseph W, Eeftens M, Röösli M. A Prospective Cohort Study of Adolescents' Memory Performance and Individual Brain Dose of Microwave Radiation from Wireless Communication. Environ Health Perspect. 2018;126(7):077007.</t>
  </si>
  <si>
    <t>while there is no data call/activity on 2G, 4% and 2% network removed and added to other technologies</t>
  </si>
  <si>
    <t>Agregated_power</t>
  </si>
  <si>
    <t>second</t>
  </si>
  <si>
    <t>Duration</t>
  </si>
  <si>
    <t>vr_dose</t>
  </si>
  <si>
    <t>headphone_dose</t>
  </si>
  <si>
    <t>brain</t>
  </si>
  <si>
    <t>McNeill K, Keith SE, Feder K, Konkle AT, Michaud DS. MP3 player listening habits of 17 to 23 year old university students. the journal of the Acoustical Society of America. 2010 Aug 1;128(2):646-53.</t>
  </si>
  <si>
    <t>Widen SE, Båsjö S, Möller C, Kähäri K. Headphone listening habits and hearing thresholds in swedish adolescents. Noise &amp; health. 2017 May;19(88):125.</t>
  </si>
  <si>
    <t>Ramage-Morin PL, Banks R, Pineault D, Atrach M. Tinnitus in Canada. Health Rep. 2019 Mar 1;30(3):3-11.</t>
  </si>
  <si>
    <t>IEM- Continuous connection BT</t>
  </si>
  <si>
    <t>mW</t>
  </si>
  <si>
    <t>Total_dose_phone</t>
  </si>
  <si>
    <t>urban_outdoor</t>
  </si>
  <si>
    <t>rural_outdoor</t>
  </si>
  <si>
    <t>outdoor</t>
  </si>
  <si>
    <t>An overview analysis of the time people spend outdoors (for time outdoor</t>
  </si>
  <si>
    <t>365 d/y, 30 d holiday, 104 d weekends; [calculation: (365-104-30)*8)/365= 5 h/d]</t>
  </si>
  <si>
    <t>(0.28 of year is weekend*2.38 h spend outdoor)+(5.5*0.08 of year is weekend)+(0.62*1.43)</t>
  </si>
  <si>
    <t>mW/m2</t>
  </si>
  <si>
    <t>From far field results</t>
  </si>
  <si>
    <t>Condition for Urbanicity</t>
  </si>
  <si>
    <t>rural_work</t>
  </si>
  <si>
    <t>default value is 1 for urban and 0 for rural</t>
  </si>
  <si>
    <t>so, if user select one item, the value of that item shoud be 1 and another item 0</t>
  </si>
  <si>
    <t>note</t>
  </si>
  <si>
    <t>Total_dose_call</t>
  </si>
  <si>
    <t>Total_dose_cordless</t>
  </si>
  <si>
    <t>Total_dose_laptop</t>
  </si>
  <si>
    <t>Total_dose_tablet</t>
  </si>
  <si>
    <t>Total_dose_ff</t>
  </si>
  <si>
    <t>Total_dose_wifi</t>
  </si>
  <si>
    <t>Total_dose_other</t>
  </si>
  <si>
    <t>MobileCall</t>
  </si>
  <si>
    <t>MobileData</t>
  </si>
  <si>
    <t>Cordless</t>
  </si>
  <si>
    <t>Laptop</t>
  </si>
  <si>
    <t>Tablet</t>
  </si>
  <si>
    <t>FarField</t>
  </si>
  <si>
    <t>Wifi</t>
  </si>
  <si>
    <t>Other</t>
  </si>
  <si>
    <t>Brain_contribution</t>
  </si>
  <si>
    <t>WB_contribution</t>
  </si>
  <si>
    <t>mJ/kg/day</t>
  </si>
  <si>
    <t>BTS_close</t>
  </si>
  <si>
    <t>yes</t>
  </si>
  <si>
    <t>No</t>
  </si>
  <si>
    <t>no</t>
  </si>
  <si>
    <t>urban_work</t>
  </si>
  <si>
    <t>info/default</t>
  </si>
  <si>
    <t>smart_home</t>
  </si>
  <si>
    <t>smart_home_dose</t>
  </si>
  <si>
    <t>&lt;50 m</t>
  </si>
  <si>
    <t>front_of face</t>
  </si>
  <si>
    <t>far</t>
  </si>
  <si>
    <t>pocket</t>
  </si>
  <si>
    <t>user is free to select all these three items or just one of them or maybe two of them.</t>
  </si>
  <si>
    <t>total</t>
  </si>
  <si>
    <t>if user did not select any item, consider default values (0.333, 0.333, 0.333)</t>
  </si>
  <si>
    <t>Total</t>
  </si>
  <si>
    <t>Assessment of radio frequency fields in the 2.45 GHz band produced by smart home devices</t>
  </si>
  <si>
    <t>if user select one items, it means 100% or 1 for that item and ziro value for the rest (1, 0, 0).considering this numbers atr important because they multipled in other boxes and have effect on other cells. If user select two, it means 50% (0.5) and 50% (0.5) for example for pocket and far</t>
  </si>
  <si>
    <t>network</t>
  </si>
  <si>
    <t>W/kg/W</t>
  </si>
  <si>
    <t>W/kg/W/m2</t>
  </si>
  <si>
    <t>50-250 m</t>
  </si>
  <si>
    <t>Near field dose</t>
  </si>
  <si>
    <t>Far field dose</t>
  </si>
  <si>
    <t>wifi dose</t>
  </si>
  <si>
    <t>Whole body</t>
  </si>
  <si>
    <t>Eftens 2023</t>
  </si>
  <si>
    <t>van Wel 2022</t>
  </si>
  <si>
    <t>Birks 2021</t>
  </si>
  <si>
    <t>simple dose calculator</t>
  </si>
  <si>
    <t>van Wel</t>
  </si>
  <si>
    <t>Brain SAR</t>
  </si>
  <si>
    <t>WB SAR</t>
  </si>
  <si>
    <t>exposure_OP</t>
  </si>
  <si>
    <t>Table</t>
  </si>
  <si>
    <t>Farfield</t>
  </si>
  <si>
    <t>Other-watch</t>
  </si>
  <si>
    <t>Other-tracker</t>
  </si>
  <si>
    <t>Other-vr</t>
  </si>
  <si>
    <t>Other-headphone</t>
  </si>
  <si>
    <t>Other-smarthome</t>
  </si>
  <si>
    <t>brain dose</t>
  </si>
  <si>
    <t>wb dose</t>
  </si>
  <si>
    <t>BrainNF</t>
  </si>
  <si>
    <t>WBNF</t>
  </si>
  <si>
    <t>BrainFF</t>
  </si>
  <si>
    <t>WBFF</t>
  </si>
  <si>
    <t>NA</t>
  </si>
  <si>
    <t>Number</t>
  </si>
  <si>
    <t>Simple Dose Model Scenario</t>
  </si>
  <si>
    <t>Description of Target Sub-Scenario</t>
  </si>
  <si>
    <t>Corresponding Simulations</t>
  </si>
  <si>
    <t>Whole-body averaged SAR for 1 W input power (mW/kg)</t>
  </si>
  <si>
    <t>Whole-brain averaged SAR for 1 W input power (mW/kg)</t>
  </si>
  <si>
    <t>Near-Field Scenarios</t>
  </si>
  <si>
    <t>Phone call (native + internet call)</t>
  </si>
  <si>
    <t>Emulating a phone call at the ear, connected to the network</t>
  </si>
  <si>
    <t>1.8 GHz dipole antenna placed 45° tilted at 1 cm from the right ear of Duke</t>
  </si>
  <si>
    <t>1.8 GHz dipole antenna placed 45° tilted at 1 cm from the right ear of Ella</t>
  </si>
  <si>
    <t>Emulating a phone in front of the mouth, connected to the network</t>
  </si>
  <si>
    <t>1.8 GHz dipole antenna placed vertically at 10 cm in front of Duke’s mouth</t>
  </si>
  <si>
    <t>1.8 GHz dipole antenna placed vertically at 10 cm in front of Ella’s mouth</t>
  </si>
  <si>
    <t>Emulating a phone in the pocket, connected to the network</t>
  </si>
  <si>
    <t>1.8 GHz dipole antenna placed vertically on Duke’s right hip (1 cm separation)</t>
  </si>
  <si>
    <t>1.8 GHz dipole antenna placed vertically on Ella’s right hip (1 cm separation)</t>
  </si>
  <si>
    <t>2.45 GHz dipole antenna placed 45° tilted at 1 cm from the right ear of Duke</t>
  </si>
  <si>
    <t>2.45 GHz dipole antenna placed 45° tilted at 1 cm from the right ear of Ella</t>
  </si>
  <si>
    <t>Emulating a phone in front of the mouth, connected to a Bluetooth device or to the WiFi Network</t>
  </si>
  <si>
    <t>2.45 GHz dipole antenna placed vertically at 10 cm in front of Duke’s mouth</t>
  </si>
  <si>
    <t>2.45 GHz dipole antenna placed vertically at 10 cm in front of Ella’s mouth</t>
  </si>
  <si>
    <t>Emulating a phone in the pocket, connected to a Bluetooth device or to the WiFi Network</t>
  </si>
  <si>
    <t>2.45 GHz dipole antenna placed vertically on Duke’s right hip (1 cm separation)</t>
  </si>
  <si>
    <t>2.45 GHz dipole antenna placed vertically on Ella’s right hip (1 cm separation)</t>
  </si>
  <si>
    <t>Emulating Bluetooth earbuds</t>
  </si>
  <si>
    <t>2.45 GHz dipole antenna placed vertically next to Duke’s right ear (1 mm separation)</t>
  </si>
  <si>
    <t>2.45 GHz dipole antenna placed vertically next to Duke’s left ear (1 mm separation)</t>
  </si>
  <si>
    <t>2.45 GHz dipole antenna placed vertically next to Ella’s right ear (1 mm separation)</t>
  </si>
  <si>
    <t>2.45 GHz dipole antenna placed vertically next to Ella’s left ear (1 mm separation)</t>
  </si>
  <si>
    <t>Phone data activity (internet activities)</t>
  </si>
  <si>
    <t>Emulating a phone in front of the face connected to the network</t>
  </si>
  <si>
    <t>1.8 GHz dipole antenna placed vertically at 30 cm in front of Duke’s mouth</t>
  </si>
  <si>
    <t>1.8 GHz dipole antenna placed vertically at 30 cm in front of Ella’s mouth</t>
  </si>
  <si>
    <t>Emulating a phone in front of the face connected to WiFi</t>
  </si>
  <si>
    <t>2.45 GHz dipole antenna placed vertically at 30 cm in front of Duke’s mouth</t>
  </si>
  <si>
    <t>2.45 GHz dipole antenna placed vertically at 30 cm in front of Ella’s mouth</t>
  </si>
  <si>
    <t>Cordless phone</t>
  </si>
  <si>
    <t>Emulating a phone call at the ear</t>
  </si>
  <si>
    <t>Emulating a phone call in speaker mode</t>
  </si>
  <si>
    <r>
      <t>Laptop</t>
    </r>
    <r>
      <rPr>
        <sz val="8"/>
        <color theme="1"/>
        <rFont val="Calibri"/>
        <family val="2"/>
      </rPr>
      <t> </t>
    </r>
  </si>
  <si>
    <t>Emulating a laptop on a person’s lap</t>
  </si>
  <si>
    <t>2.45 GHz dipole antenna placed vertically on Duke’s legs, Duke in sitting position</t>
  </si>
  <si>
    <t>2.45 GHz dipole antenna placed vertically on Ella’s legs, Ella in sitting position</t>
  </si>
  <si>
    <t>2.45 GHz dipole antenna placed vertically 10 cm higher and 30 cm further from the body than the position described above for Duke</t>
  </si>
  <si>
    <t>2.45 GHz dipole antenna placed vertically 10 cm higher and 30 cm further from the body than the position described above for Ella</t>
  </si>
  <si>
    <t>Other source close to body</t>
  </si>
  <si>
    <t>Emulating a Bluetooth device on a person’s wrist</t>
  </si>
  <si>
    <t>2.45 GHz dipole antenna placed horizontally on Duke’s right wrist (1 mm separation)</t>
  </si>
  <si>
    <t>2.45 GHz dipole antenna placed horizontally on Ella’s right wrist (1 mm separation)</t>
  </si>
  <si>
    <t>Emulating a Bluetooth device near the head</t>
  </si>
  <si>
    <t>Emulating a Bluetooth device on a person’s upper arm</t>
  </si>
  <si>
    <t>2.45 GHz dipole antenna placed horizontally on Duke’s upper right arm in between shoulder and elbow (1 mm separation)</t>
  </si>
  <si>
    <t>2.45 GHz dipole antenna placed horizontally on Ella’s upper right arm in between shoulder and elbow (1 mm separation)</t>
  </si>
  <si>
    <t>Other Scenarios</t>
  </si>
  <si>
    <t>Whole-body averaged SAR for an incident field strength of 1 W/m² (mW/kg/W/m²)</t>
  </si>
  <si>
    <t>Whole-brain averaged SAR for an incident field strength of 1 W/m² (mW/kg/W/m²)</t>
  </si>
  <si>
    <t>Far field</t>
  </si>
  <si>
    <t>Emulating far-field exposure at 1.8 GHz</t>
  </si>
  <si>
    <t>12 plane wave simulations of fields incident from Duke’s main axes</t>
  </si>
  <si>
    <t>12 plane wave simulations of fields incident from Ella’s main axes</t>
  </si>
  <si>
    <t>WiFi</t>
  </si>
  <si>
    <t>Emulating far-field exposure at 2.45 GHz</t>
  </si>
  <si>
    <t>Intermediate field</t>
  </si>
  <si>
    <t>Emulating an indoor WiFi router</t>
  </si>
  <si>
    <t>2.45 GHz dipole placed in front of Duke in the intermediate field</t>
  </si>
  <si>
    <t>2.45 GHz dipole placed in front of Ella in the intermediate field</t>
  </si>
  <si>
    <r>
      <t> </t>
    </r>
    <r>
      <rPr>
        <sz val="10"/>
        <color theme="1"/>
        <rFont val="Calibri"/>
        <family val="2"/>
      </rPr>
      <t>This was a interesting comment from Hanne. In the report, Tablet is now seen as something that is similar to a phone that is using data. However, it might be smarter to mirror it to laptop usage, so then Tablet would move here.</t>
    </r>
  </si>
  <si>
    <t>Updated with new SAR</t>
  </si>
  <si>
    <t>gaming</t>
  </si>
  <si>
    <t>video call</t>
  </si>
  <si>
    <t>upload</t>
  </si>
  <si>
    <t>download</t>
  </si>
  <si>
    <t>voice message</t>
  </si>
  <si>
    <t>text</t>
  </si>
  <si>
    <t>social media</t>
  </si>
  <si>
    <t>output power</t>
  </si>
  <si>
    <t>%</t>
  </si>
  <si>
    <t>duration (min)</t>
  </si>
  <si>
    <t>time weighted average for internet activities output power</t>
  </si>
  <si>
    <t>Emulating a laptop on a Table</t>
  </si>
  <si>
    <t>SCAMP</t>
  </si>
  <si>
    <t>-</t>
  </si>
  <si>
    <t>smart home</t>
  </si>
  <si>
    <t>Scenario</t>
  </si>
  <si>
    <t>Usage* (min)</t>
  </si>
  <si>
    <t xml:space="preserve">Brain dose </t>
  </si>
  <si>
    <t>WB dose (mJ/kg/day)</t>
  </si>
  <si>
    <t>(mJ/kg/day)</t>
  </si>
  <si>
    <t xml:space="preserve">Proportion (%) </t>
  </si>
  <si>
    <t>Mobile call</t>
  </si>
  <si>
    <t>(Eeftens et al., 2023, Birks et al., 2021, Foerster et al., 2018)</t>
  </si>
  <si>
    <t>van Wel (2021)</t>
  </si>
  <si>
    <t>(van Wel et al., 2021)</t>
  </si>
  <si>
    <t>SCAMP (2023)</t>
  </si>
  <si>
    <t>(Eeftens et al., 2023)</t>
  </si>
  <si>
    <t>Mobile data</t>
  </si>
  <si>
    <t>(Statista, 2022, van Wel et al., 2021, Birks et al., 2021, Foerster et al., 2018)</t>
  </si>
  <si>
    <t>(van Wel et al., 2021, Birks et al., 2021)</t>
  </si>
  <si>
    <t>0.29 (V/m)</t>
  </si>
  <si>
    <t>(De Giudici et al., 2021, Jalilian et al., 2019)</t>
  </si>
  <si>
    <t>Wi-Fi</t>
  </si>
  <si>
    <t>0.03 (V/m)</t>
  </si>
  <si>
    <t>(Jalilian et al., 2019)</t>
  </si>
  <si>
    <t>SCAMP (2023)**</t>
  </si>
  <si>
    <t>van Wel (2021)***</t>
  </si>
  <si>
    <t>Total dose</t>
  </si>
  <si>
    <t>Far and intermediate fields dose</t>
  </si>
  <si>
    <t xml:space="preserve">Other (details) </t>
  </si>
  <si>
    <t xml:space="preserve">  Smart watch</t>
  </si>
  <si>
    <t>Expert opinion</t>
  </si>
  <si>
    <t xml:space="preserve">  Fitness tracker</t>
  </si>
  <si>
    <t xml:space="preserve">  VR</t>
  </si>
  <si>
    <t xml:space="preserve">  Headphone (airbuds)</t>
  </si>
  <si>
    <t>(Widen et al., 2017, Ramage-Morin et al., 2019)</t>
  </si>
  <si>
    <t xml:space="preserve">  Smart home**</t>
  </si>
  <si>
    <t>(McKenzie et al., 2023)</t>
  </si>
  <si>
    <t>0.24 (V/m)</t>
  </si>
  <si>
    <t>SDC</t>
  </si>
  <si>
    <t>b</t>
  </si>
  <si>
    <t>w</t>
  </si>
  <si>
    <t>Usage</t>
  </si>
  <si>
    <t>cordless phone</t>
  </si>
  <si>
    <t>Simple dose calculator</t>
  </si>
  <si>
    <t>Adults</t>
  </si>
  <si>
    <t>Adolescents</t>
  </si>
  <si>
    <t>no-default</t>
  </si>
  <si>
    <t>new calculation</t>
  </si>
  <si>
    <t>duration_data_transfer</t>
  </si>
  <si>
    <t>important point</t>
  </si>
  <si>
    <t>if user changes the time durations for low or high, the total duration (D5) will be sum up of these two low and high durations</t>
  </si>
  <si>
    <t>The default value is 4629. but if the user change the sliders, please sum up the slider values and consider it as Duration (D5 cell)</t>
  </si>
  <si>
    <t xml:space="preserve">I considered 50-50 for data activities with high and low data transfer. If the user changes this, </t>
  </si>
  <si>
    <t>for default value, D5 is an average of internet activies. Addtionally we assumed that this activity is 50-50 low and high data transfer</t>
  </si>
  <si>
    <t>if user changes the time durations for low or high, the total duration (D5) will be sum up of these two low and high durations, otherwise we keep the defulat value</t>
  </si>
  <si>
    <t>Brain_absolute</t>
  </si>
  <si>
    <t>whole_body_absolute</t>
  </si>
  <si>
    <t>250-500</t>
  </si>
  <si>
    <t>suburban_outdoor</t>
  </si>
  <si>
    <t>suburban_work</t>
  </si>
  <si>
    <t>hotspot</t>
  </si>
  <si>
    <t>Microsoft Word - SEWM23110000471RG02_FCC SAR Report.docx</t>
  </si>
  <si>
    <t>7137527.pdf (fcc.report)</t>
  </si>
  <si>
    <t>phone_front_of_face</t>
  </si>
  <si>
    <t>https://fcc.report/FCC-ID/ZCASMT500/4834826.pdf</t>
  </si>
  <si>
    <t>GetApplicationAttachment.html (fcc.gov)</t>
  </si>
  <si>
    <t>expert opinion (controlling the volume and selecting the songs, video calls with higher duty cycle)</t>
  </si>
  <si>
    <t>BT_phone_or_headphone_active</t>
  </si>
  <si>
    <t>BT_phone_or_headphone_passive</t>
  </si>
  <si>
    <t>three_phone_positions</t>
  </si>
  <si>
    <t>Buckus R, Strukčinskienė B, Raistenskis J, Stukas R, Šidlauskienė A, Čerkauskienė R, Isopescu DN, Stabryla J, Cretescu I. A technical approach to the evaluation of radiofrequency radiation emissions from mobile telephony base stations. International journal of environmental research and public health. 2017 Mar;14(3):244.</t>
  </si>
  <si>
    <t>hotspot_AND_phone_headphone</t>
  </si>
  <si>
    <t xml:space="preserve">tablet, laptop and phone </t>
  </si>
  <si>
    <t>audio</t>
  </si>
  <si>
    <t>we assume that user uses headphone/buds during phone mobile data activities, laptop, and tablet usage. Addtionally, user can use headphone/buds for listening music.</t>
  </si>
  <si>
    <t>*2 because we have 2 ear!</t>
  </si>
  <si>
    <t>phone position also applicable for phone_headphone situations</t>
  </si>
  <si>
    <t>passiveBT</t>
  </si>
  <si>
    <t>same as smartwatch</t>
  </si>
  <si>
    <t>default is 0 minuts</t>
  </si>
  <si>
    <t>Kheirkhahan M, Nair S, Davoudi A, Rashidi P, Wanigatunga AA, Corbett DB, Mendoza T, Manini TM, Ranka S. A smartwatch-based framework for real-time and online assessment and mobility monitoring. Journal of biomedical informatics. 2019 Jan 1;89:29-40.</t>
  </si>
  <si>
    <t>sum of far and intermediate</t>
  </si>
  <si>
    <t>Khalid M, Mee T, Peyman A, Addison D, Calderon C, Maslanyj M, Mann S. Exposure to radio frequency electromagnetic fields from wireless computer networks: duty factors of Wi-Fi devices operating in schools. Progress in Biophysics and Molecular Biology. 2011 Dec 1;107(3):412-20.</t>
  </si>
  <si>
    <t>Karipidis K, Henderson S, Wijayasinghe D, Tjong L, Tinker R. Exposure to radiofrequency electromagnetic fields from Wi-Fi in Australian schools. Radiation protection dosimetry. 2017 Aug 1;175(4):432-9.</t>
  </si>
  <si>
    <t>I considered 50-50 for data activities with high and low data transfer.</t>
  </si>
  <si>
    <t xml:space="preserve">Pmax is in range of 20 to 100 mW (mean: 60 mW) during active transmissions. </t>
  </si>
  <si>
    <t>Joseph W, Pareit D, Vermeeren G, Naudts D, Verloock L, Martens L, et al. Determination of the duty cycle of WLAN for realistic radio frequency electromagnetic field exposure assessment. Prog Biophys Mol Biol. 2013;111(1):30-6.[by calculatingweighted average of low and high data transmissions]</t>
  </si>
  <si>
    <t>Popović M, Koprivica M, Milinković J, Nešković A. Experimental analysis of individual EMF exposure for GSM/UMTS/WLAN user devices. Annals of Telecommunications. 2019 Feb 1;74:79-91. [by calculating weighted average of low and high data transmissions] 0.5*low datatransmisson duty cycle+0.5* high data transmission duty cycle</t>
  </si>
  <si>
    <t>Total_dose_headphone_BT</t>
  </si>
  <si>
    <t>Total_dose_phone_BT</t>
  </si>
  <si>
    <t>mW/kg/mW/m2</t>
  </si>
  <si>
    <t>mW/kg/mW/m3</t>
  </si>
  <si>
    <t>urban_indoor</t>
  </si>
  <si>
    <t>rural_indoor</t>
  </si>
  <si>
    <t>duty_cycle</t>
  </si>
  <si>
    <t>native_call</t>
  </si>
  <si>
    <t>data_call</t>
  </si>
  <si>
    <t>suburban_indoor</t>
  </si>
  <si>
    <t>default for outdoor</t>
  </si>
  <si>
    <t>default for indoor (work and home)</t>
  </si>
  <si>
    <t>wifi5</t>
  </si>
  <si>
    <t>call</t>
  </si>
  <si>
    <t>Calderón C, Castano-Vinyals G, Maslanyj M, Wiart J, Lee AK, Taki M, Wake K, Abert A, Badia F, Hadjem A, Kromhout H. Estimation of RF and ELF dose by anatomical location in the brain from wireless phones in the MOBI-Kids study. Environment international. 2022 May 1;163:107189.</t>
  </si>
  <si>
    <t>good UMTS 2100 connection</t>
  </si>
  <si>
    <t>medium UMTS 2100 connection</t>
  </si>
  <si>
    <t>bad UMTS 2100 connection</t>
  </si>
  <si>
    <t>Gati A, Hadjem A, Wong MF, Wiart J. Exposure induced by WCDMA mobiles phones in operating networks. IEEE Transactions on wireless communications. 2009 Dec 11;8(12):5723-7.</t>
  </si>
  <si>
    <t>urban</t>
  </si>
  <si>
    <t>suburban</t>
  </si>
  <si>
    <t>rural</t>
  </si>
  <si>
    <t>Joshi P, Agrawal M, Thors B, Colombi D, Kumar A, Törnevik C. Power level distributions of radio base station equipment and user devices in a 3G mobile communication network in India and the impact on assessments of realistic RF EMF exposure. IEEE Access. 2015 Jul 7;3:1051-9.</t>
  </si>
  <si>
    <t>Vrijheid M, Mann S, Vecchia P, Wiart J, Taki M, Ardoino L, Armstrong BK, Auvinen A, Bédard D, Berg-Beckhoff G, Brown J. Determinants of mobile phone output power in a multinational study: implications for exposure assessment. Occupational and environmental medicine. 2009 Oct 1;66(10):664-71.</t>
  </si>
  <si>
    <t>Kelsh MA, Shum M, Sheppard AR, Mcneely M, Kuster N, Lau E, Weidling R, Fordyce T, Kühn S, Sulser C. Measured radiofrequency exposure during various mobile-phone use scenarios. Journal of Exposure Science &amp; Environmental Epidemiology. 2011 Jul;21(4):343-54.</t>
  </si>
  <si>
    <t>with considering DC</t>
  </si>
  <si>
    <t>Bürgi A, Frei P, Theis G, Mohler E, Braun‐Fahrländer C, Fröhlich J, Neubauer G, Egger M, Röösli M. A model for radiofrequency electromagnetic field predictions at outdoor and indoor locations in the context of epidemiological research. Bioelectromagnetics: Journal of the Bioelectromagnetics Society, The Society for Physical Regulation in Biology and Medicine, The European Bioelectromagnetics Association. 2010 Apr;31(3):226-36.</t>
  </si>
  <si>
    <t xml:space="preserve">3.7 dB damping factor indoor-outdoor </t>
  </si>
  <si>
    <t>Nekane data</t>
  </si>
  <si>
    <t>=power/duty cycle</t>
  </si>
  <si>
    <t>Jovanovic D, Bragard G, Picard D, Chauvin S. Mobile telephones: A comparison of radiated power between 3G VoIP calls and 3G VoCS calls. Journal of Exposure Science &amp; Environmental Epidemiology. 2015 Jan;25(1):80-3.</t>
  </si>
  <si>
    <t>=power*(10^(4.3/10))</t>
  </si>
  <si>
    <t>same as outdoor</t>
  </si>
  <si>
    <t>suburban outdoor</t>
  </si>
  <si>
    <t>indoor</t>
  </si>
  <si>
    <t>same as suburban outdoor</t>
  </si>
  <si>
    <t>voice</t>
  </si>
  <si>
    <t>video</t>
  </si>
  <si>
    <t>online activity contribution</t>
  </si>
  <si>
    <t>brwosing</t>
  </si>
  <si>
    <t>3G_duty_cycle</t>
  </si>
  <si>
    <t>4G_duty_cycle</t>
  </si>
  <si>
    <t>5G_duty_cycle</t>
  </si>
  <si>
    <t>wifi2_duty_cycle</t>
  </si>
  <si>
    <t>wifi5_duty_cycle</t>
  </si>
  <si>
    <t>1/10 of voice</t>
  </si>
  <si>
    <t>frequency contribution</t>
  </si>
  <si>
    <t>dipole antenna placed 45° tilted at 1 cm from the right ear</t>
  </si>
  <si>
    <t>dipole antenna placed vertically at 10 cm in front of the mouth</t>
  </si>
  <si>
    <t>dipole antenna placed vertically on the right hip (1 cm separation)</t>
  </si>
  <si>
    <t>dipole antenna placed vertically next to the right ear (1 mm separation)</t>
  </si>
  <si>
    <t>dipole antenna placed vertically next to the left ear (1 mm separation)</t>
  </si>
  <si>
    <t>dipole antenna placed vertically at 30 cm in front of the mouth</t>
  </si>
  <si>
    <t>dipole antenna placed vertically on the legs, phantom sitting position</t>
  </si>
  <si>
    <t xml:space="preserve">dipole antenna placed vertically 10 cm higher and 30 cm further from the body than the position described above </t>
  </si>
  <si>
    <t>dipole antenna placed horizontally on right wrist (1 mm separation)</t>
  </si>
  <si>
    <t>dipole antenna placed horizontally on upper right arm in between shoulder and elbow (1 mm separation)</t>
  </si>
  <si>
    <t>pocket mode</t>
  </si>
  <si>
    <t>speaker mode</t>
  </si>
  <si>
    <t>lap</t>
  </si>
  <si>
    <t>wrist</t>
  </si>
  <si>
    <t>scenario</t>
  </si>
  <si>
    <t>at ear_MP</t>
  </si>
  <si>
    <t>at right ear_BT</t>
  </si>
  <si>
    <t>at left ear_BT</t>
  </si>
  <si>
    <t>upper arm</t>
  </si>
  <si>
    <t>frq_contribution</t>
  </si>
  <si>
    <t>SAR_Duke_(male)_mW/kg/W</t>
  </si>
  <si>
    <t>SAR_Ella_(female)_mW/kg/W</t>
  </si>
  <si>
    <t>SAR_gender_weighted_W/kg/W</t>
  </si>
  <si>
    <t>SAR_weihted_W/kh/W</t>
  </si>
  <si>
    <t>mobile</t>
  </si>
  <si>
    <t>wifi2</t>
  </si>
  <si>
    <t>to_ear</t>
  </si>
  <si>
    <t>speaker</t>
  </si>
  <si>
    <t>front of face</t>
  </si>
  <si>
    <t xml:space="preserve">4.3 dB factor indoor-outdoor </t>
  </si>
  <si>
    <t xml:space="preserve">3.7 dB factor indoor-outdoor </t>
  </si>
  <si>
    <t>technology_contribution</t>
  </si>
  <si>
    <t>technology_power</t>
  </si>
  <si>
    <t>Wifi_contribution</t>
  </si>
  <si>
    <t>kitchen scale</t>
  </si>
  <si>
    <t>smart LED</t>
  </si>
  <si>
    <t>power strip</t>
  </si>
  <si>
    <t>google home</t>
  </si>
  <si>
    <t>doorbell</t>
  </si>
  <si>
    <t>camera</t>
  </si>
  <si>
    <t>total_smarthome_activetime/day</t>
  </si>
  <si>
    <t>Wifi_exposure_mW</t>
  </si>
  <si>
    <t>Nekane_V/m</t>
  </si>
  <si>
    <t>duty cycle already included in calculation of these values</t>
  </si>
  <si>
    <t xml:space="preserve">default for outdoor </t>
  </si>
  <si>
    <t>high_data_outputpower__mW</t>
  </si>
  <si>
    <t>Health effects of RF-EMF  Report of the independent Advisory Group on Non-ionising Radiation ... independent research groups have found no such effect on this; uk health protection agancy</t>
  </si>
  <si>
    <t>e during browsing or other very low data transfer activities (such as texting, emailing, etc.) over a wifi 2.4 GHz</t>
  </si>
  <si>
    <t>Young people spend a lot of time on their smartphones every day</t>
  </si>
  <si>
    <t>Smartphone Usage Statistics for 2025 (Surprising)</t>
  </si>
  <si>
    <t>Aktuelle Aspekte der Internetnutzung in Deutschland ARD/ZDF-Onlinestudie: Weitergehende Normalisierung der Internetnutzung nach Wegfall aller Corona-Schutzmaßnahmen Von Natalie Beisch* und Wolfgang Koch*</t>
  </si>
  <si>
    <t>Basic Data Children and Media 2024 Current surveys and research on media use among children in Germany Compiled by</t>
  </si>
  <si>
    <t>Basic Data Adolescents and Media 2024 Current surveys and research on media use among Adolescents in Germany Compiled by Heike vom Orde (IZI) and Dr. Alexandra Durner</t>
  </si>
  <si>
    <t>a</t>
  </si>
  <si>
    <t>average of Nekane and Bram data</t>
  </si>
  <si>
    <t>Bram</t>
  </si>
  <si>
    <t>average</t>
  </si>
  <si>
    <t>new number</t>
  </si>
  <si>
    <t>&lt;700</t>
  </si>
  <si>
    <t>new column</t>
  </si>
  <si>
    <t>new numbers</t>
  </si>
  <si>
    <t>I USED SUBURBAN OUTDOOR HERE BECAUSE I DID NOT FIND VALUE FOR THIS SCENARIO</t>
  </si>
  <si>
    <t>WHY THI IS HIGH? BECAUSE WE SPENT MORE TIME INDOOR</t>
  </si>
  <si>
    <t>NEW NUMBERS</t>
  </si>
  <si>
    <t>proportion</t>
  </si>
  <si>
    <t>Positions</t>
  </si>
  <si>
    <t>SAR_wifi2</t>
  </si>
  <si>
    <t>SAR_wifi5</t>
  </si>
  <si>
    <t>Connectivity_mode</t>
  </si>
  <si>
    <t>wifi_technology</t>
  </si>
  <si>
    <t>wifi_tech is expert opinion</t>
  </si>
  <si>
    <t>max power over network</t>
  </si>
  <si>
    <t>Duration_env</t>
  </si>
  <si>
    <t>home</t>
  </si>
  <si>
    <t>urban_home</t>
  </si>
  <si>
    <t>suburban_home</t>
  </si>
  <si>
    <t>rural_home</t>
  </si>
  <si>
    <t>De Giudici P, Genier J-C, Martin S, Doré J-F, Ducimetière P, Evrard A-S, et al. Radiofrequency exposure of people home near mobile-phone base stations in France. Environmental Research. 2021;194:110500.</t>
  </si>
  <si>
    <t>user only can select one item: urban/suburban or rual; means if user select home in urban/suburban, the value for this will be 1 and for home for rural should be 0</t>
  </si>
  <si>
    <t>work</t>
  </si>
  <si>
    <t>Eurostat: official website of the European Union; https://ec.europa.eu/eurostat/statistics-explained/index.php?oldid=473885#:~:text=In%20the%20EU%2C%20in%202022%2C,actual%20and%20usual%20work%20hours</t>
  </si>
  <si>
    <t>proportion_env</t>
  </si>
  <si>
    <t>Agregated_exposure</t>
  </si>
  <si>
    <t>Urbanicity</t>
  </si>
  <si>
    <t>exposure</t>
  </si>
  <si>
    <t>Wifi_technology</t>
  </si>
  <si>
    <t>W/m2</t>
  </si>
  <si>
    <t>power/exposure</t>
  </si>
  <si>
    <t>hotspot_max</t>
  </si>
  <si>
    <t>Nominal_power_BT</t>
  </si>
  <si>
    <t>propotion</t>
  </si>
  <si>
    <t>active_BT_phone_and_headphone</t>
  </si>
  <si>
    <t>agregated_phone_position_(during headset use)</t>
  </si>
  <si>
    <t>headset_position of phone during call over heaadphone</t>
  </si>
  <si>
    <t>network_technology_native</t>
  </si>
  <si>
    <t>network_technology_data_call</t>
  </si>
  <si>
    <t>power_data_call</t>
  </si>
  <si>
    <t>power_wifi_call</t>
  </si>
  <si>
    <t>wifi_technology_call</t>
  </si>
  <si>
    <t>power_native call</t>
  </si>
  <si>
    <t>SAR_native_call</t>
  </si>
  <si>
    <t>SAR_wifi</t>
  </si>
  <si>
    <t>Total_dose_mobile_data</t>
  </si>
  <si>
    <t>SAR_earware_BT_wifi2</t>
  </si>
  <si>
    <t>cell addressed to a another cell</t>
  </si>
  <si>
    <t>cell addressed to another</t>
  </si>
  <si>
    <t>A Survey of IEEE 802.11ax WLAN Temporal Duty Cycle for the Assessment of RF Electromagnetic Exposure</t>
  </si>
  <si>
    <t>Broadband Radio Access Networks (BRAN); 5 GHz high performance RLAN; Harmonized EN covering the essential requirements of article 3.2 of the R&amp;TTE Directive</t>
  </si>
  <si>
    <t>poor and good wifi 5 GHz connection dc average; A Survey of IEEE 802.11ax WLAN Temporal Duty Cycle for the
Assessment of RF Electromagnetic Exposure
Yizhen Yang 1,* , Günter Vermeeren 1
, Leen Verloock 1
, Mònica Guxens 2,3,4,5,6 and Wout Joseph 1,*</t>
  </si>
  <si>
    <r>
      <t>Yang, Y., Vermeeren, G., Verloock, L., Guxens, M., &amp; Joseph, W. (2025). A Survey of IEEE 802.11ax WLAN Temporal Duty Cycle for the Assessment of RF Electromagnetic Exposure. </t>
    </r>
    <r>
      <rPr>
        <i/>
        <sz val="9"/>
        <color rgb="FF222222"/>
        <rFont val="Arial"/>
        <family val="2"/>
      </rPr>
      <t>Applied Sciences</t>
    </r>
    <r>
      <rPr>
        <sz val="9"/>
        <color rgb="FF222222"/>
        <rFont val="Arial"/>
        <family val="2"/>
      </rPr>
      <t>, </t>
    </r>
    <r>
      <rPr>
        <i/>
        <sz val="9"/>
        <color rgb="FF222222"/>
        <rFont val="Arial"/>
        <family val="2"/>
      </rPr>
      <t>15</t>
    </r>
    <r>
      <rPr>
        <sz val="9"/>
        <color rgb="FF222222"/>
        <rFont val="Arial"/>
        <family val="2"/>
      </rPr>
      <t>(5), 2858. https://doi.org/10.3390/app15052858</t>
    </r>
  </si>
  <si>
    <r>
      <t>Yang, Y., Vermeeren, G., Verloock, L., Guxens, M., &amp; Joseph, W. (2025). A Survey of IEEE 802.11ax WLAN Temporal Duty Cycle for the Assessment of RF Electromagnetic Exposure. </t>
    </r>
    <r>
      <rPr>
        <i/>
        <sz val="9"/>
        <color rgb="FF222222"/>
        <rFont val="Arial"/>
        <family val="2"/>
      </rPr>
      <t>Applied Sciences</t>
    </r>
    <r>
      <rPr>
        <sz val="9"/>
        <color rgb="FF222222"/>
        <rFont val="Arial"/>
        <family val="2"/>
      </rPr>
      <t>, </t>
    </r>
    <r>
      <rPr>
        <i/>
        <sz val="9"/>
        <color rgb="FF222222"/>
        <rFont val="Arial"/>
        <family val="2"/>
      </rPr>
      <t>15</t>
    </r>
    <r>
      <rPr>
        <sz val="9"/>
        <color rgb="FF222222"/>
        <rFont val="Arial"/>
        <family val="2"/>
      </rPr>
      <t>(5), 2858. https://doi.org/10.3390/app15052859</t>
    </r>
    <r>
      <rPr>
        <sz val="11"/>
        <color theme="1"/>
        <rFont val="Arial"/>
        <family val="2"/>
      </rPr>
      <t/>
    </r>
  </si>
  <si>
    <r>
      <t>Yang, Y., Vermeeren, G., Verloock, L., Guxens, M., &amp; Joseph, W. (2025). A Survey of IEEE 802.11ax WLAN Temporal Duty Cycle for the Assessment of RF Electromagnetic Exposure. </t>
    </r>
    <r>
      <rPr>
        <i/>
        <sz val="9"/>
        <color rgb="FF222222"/>
        <rFont val="Arial"/>
        <family val="2"/>
      </rPr>
      <t>Applied Sciences</t>
    </r>
    <r>
      <rPr>
        <sz val="9"/>
        <color rgb="FF222222"/>
        <rFont val="Arial"/>
        <family val="2"/>
      </rPr>
      <t>, </t>
    </r>
    <r>
      <rPr>
        <i/>
        <sz val="9"/>
        <color rgb="FF222222"/>
        <rFont val="Arial"/>
        <family val="2"/>
      </rPr>
      <t>15</t>
    </r>
    <r>
      <rPr>
        <sz val="9"/>
        <color rgb="FF222222"/>
        <rFont val="Arial"/>
        <family val="2"/>
      </rPr>
      <t>(5), 2858. https://doi.org/10.3390/app15052860</t>
    </r>
    <r>
      <rPr>
        <sz val="11"/>
        <color theme="1"/>
        <rFont val="Arial"/>
        <family val="2"/>
      </rPr>
      <t/>
    </r>
  </si>
  <si>
    <r>
      <t>Yang, Y., Vermeeren, G., Verloock, L., Guxens, M., &amp; Joseph, W. (2025). A Survey of IEEE 802.11ax WLAN Temporal Duty Cycle for the Assessment of RF Electromagnetic Exposure. </t>
    </r>
    <r>
      <rPr>
        <i/>
        <sz val="9"/>
        <color rgb="FF222222"/>
        <rFont val="Arial"/>
        <family val="2"/>
      </rPr>
      <t>Applied Sciences</t>
    </r>
    <r>
      <rPr>
        <sz val="9"/>
        <color rgb="FF222222"/>
        <rFont val="Arial"/>
        <family val="2"/>
      </rPr>
      <t>, </t>
    </r>
    <r>
      <rPr>
        <i/>
        <sz val="9"/>
        <color rgb="FF222222"/>
        <rFont val="Arial"/>
        <family val="2"/>
      </rPr>
      <t>15</t>
    </r>
    <r>
      <rPr>
        <sz val="9"/>
        <color rgb="FF222222"/>
        <rFont val="Arial"/>
        <family val="2"/>
      </rPr>
      <t>(5), 2858. https://doi.org/10.3390/app15052861</t>
    </r>
    <r>
      <rPr>
        <sz val="11"/>
        <color theme="1"/>
        <rFont val="Arial"/>
        <family val="2"/>
      </rPr>
      <t/>
    </r>
  </si>
  <si>
    <r>
      <t>Yang, Y., Vermeeren, G., Verloock, L., Guxens, M., &amp; Joseph, W. (2025). A Survey of IEEE 802.11ax WLAN Temporal Duty Cycle for the Assessment of RF Electromagnetic Exposure. </t>
    </r>
    <r>
      <rPr>
        <i/>
        <sz val="9"/>
        <color rgb="FF222222"/>
        <rFont val="Arial"/>
        <family val="2"/>
      </rPr>
      <t>Applied Sciences</t>
    </r>
    <r>
      <rPr>
        <sz val="9"/>
        <color rgb="FF222222"/>
        <rFont val="Arial"/>
        <family val="2"/>
      </rPr>
      <t>, </t>
    </r>
    <r>
      <rPr>
        <i/>
        <sz val="9"/>
        <color rgb="FF222222"/>
        <rFont val="Arial"/>
        <family val="2"/>
      </rPr>
      <t>15</t>
    </r>
    <r>
      <rPr>
        <sz val="9"/>
        <color rgb="FF222222"/>
        <rFont val="Arial"/>
        <family val="2"/>
      </rPr>
      <t>(5), 2858. https://doi.org/10.3390/app15052862</t>
    </r>
    <r>
      <rPr>
        <sz val="11"/>
        <color theme="1"/>
        <rFont val="Arial"/>
        <family val="2"/>
      </rPr>
      <t/>
    </r>
  </si>
  <si>
    <r>
      <t>Yang, Y., Vermeeren, G., Verloock, L., Guxens, M., &amp; Joseph, W. (2025). A Survey of IEEE 802.11ax WLAN Temporal Duty Cycle for the Assessment of RF Electromagnetic Exposure. </t>
    </r>
    <r>
      <rPr>
        <i/>
        <sz val="9"/>
        <color rgb="FF222222"/>
        <rFont val="Arial"/>
        <family val="2"/>
      </rPr>
      <t>Applied Sciences</t>
    </r>
    <r>
      <rPr>
        <sz val="9"/>
        <color rgb="FF222222"/>
        <rFont val="Arial"/>
        <family val="2"/>
      </rPr>
      <t>, </t>
    </r>
    <r>
      <rPr>
        <i/>
        <sz val="9"/>
        <color rgb="FF222222"/>
        <rFont val="Arial"/>
        <family val="2"/>
      </rPr>
      <t>15</t>
    </r>
    <r>
      <rPr>
        <sz val="9"/>
        <color rgb="FF222222"/>
        <rFont val="Arial"/>
        <family val="2"/>
      </rPr>
      <t>(5), 2858. https://doi.org/10.3390/app15052863</t>
    </r>
    <r>
      <rPr>
        <sz val="11"/>
        <color theme="1"/>
        <rFont val="Arial"/>
        <family val="2"/>
      </rPr>
      <t/>
    </r>
  </si>
  <si>
    <t>average of online game and twitch stream for poor and good connection over wifi 5 ghz</t>
  </si>
  <si>
    <t>10 min duration at home</t>
  </si>
  <si>
    <t>damping factor of 3.7 dB</t>
  </si>
  <si>
    <t>Power_BT_call</t>
  </si>
  <si>
    <t>BT</t>
  </si>
  <si>
    <t>portable_gaming</t>
  </si>
  <si>
    <t>portalble_gaming</t>
  </si>
  <si>
    <t>Nominal_power_wifi2</t>
  </si>
  <si>
    <t>A Survey of IEEE 802.11ax WLAN Temporal Duty Cycle for the
Assessment of RF Electromagnetic Exposure</t>
  </si>
  <si>
    <t>wifi_technology_portable</t>
  </si>
  <si>
    <t>online</t>
  </si>
  <si>
    <t>offline</t>
  </si>
  <si>
    <t>Adriana_2023_EU</t>
  </si>
  <si>
    <t>Adriana measurment_2023_EU</t>
  </si>
  <si>
    <t>Adrian_GOLIAT_2023_EU</t>
  </si>
  <si>
    <t>school</t>
  </si>
  <si>
    <t>Chiaramello E, Bonato M, Fiocchi S, Tognola G, Parazzini M, Ravazzani P, Wiart J. Radio frequency electromagnetic fields exposure assessment in indoor environments: a review. International journal of environmental research and public health. 2019 Mar;16(6):955.; Jalilian H, Eeftens M, Ziaei M, Röösli M. Public exposure to radiofrequency electromagnetic fields in everyday microenvironments: An updated systematic review for Europe. Environmental Research. 2019;176:108517</t>
  </si>
  <si>
    <t>numbers rplaced here</t>
  </si>
  <si>
    <t>commuting</t>
  </si>
  <si>
    <t>conectivity_mode</t>
  </si>
  <si>
    <t>duration</t>
  </si>
  <si>
    <t>prop_wifi_usage</t>
  </si>
  <si>
    <t>Country</t>
  </si>
  <si>
    <t>Urban</t>
  </si>
  <si>
    <t>Suburban</t>
  </si>
  <si>
    <t>Rural</t>
  </si>
  <si>
    <t>urban_school</t>
  </si>
  <si>
    <t>suburban_school</t>
  </si>
  <si>
    <t>rural_school</t>
  </si>
  <si>
    <t>Austria</t>
  </si>
  <si>
    <t>Belgium</t>
  </si>
  <si>
    <t>France</t>
  </si>
  <si>
    <t>Hungary</t>
  </si>
  <si>
    <t>Italy</t>
  </si>
  <si>
    <t>Netherlands</t>
  </si>
  <si>
    <t>Poland</t>
  </si>
  <si>
    <t>Spain</t>
  </si>
  <si>
    <t>Switzerland</t>
  </si>
  <si>
    <t>UK</t>
  </si>
  <si>
    <t>Default</t>
  </si>
  <si>
    <t>School/outdoor ratio calculation</t>
  </si>
  <si>
    <t>Outdoor/indoor damping factor (DF)</t>
  </si>
  <si>
    <t>ratio_city</t>
  </si>
  <si>
    <t>ratio_village</t>
  </si>
  <si>
    <t xml:space="preserve">outdoor/indoor damping (FM, 800, 900, 2100 MHz) </t>
  </si>
  <si>
    <t>Buergi et al</t>
  </si>
  <si>
    <t>Total bands, formula</t>
  </si>
  <si>
    <t>Color coding</t>
  </si>
  <si>
    <t>Measurments, Adriana 2023</t>
  </si>
  <si>
    <t>Indoor/outdoor damping factor applied</t>
  </si>
  <si>
    <t>School/outdoor ratio from measurments applied</t>
  </si>
  <si>
    <t>Average of urban and rural areas</t>
  </si>
  <si>
    <t>Average ratio</t>
  </si>
  <si>
    <t>Pinoor= Poutdoor*10(-DF/10)</t>
  </si>
  <si>
    <t>Column1</t>
  </si>
  <si>
    <t>Column2</t>
  </si>
  <si>
    <t>Column3</t>
  </si>
  <si>
    <t>Column4</t>
  </si>
  <si>
    <t>Column5</t>
  </si>
  <si>
    <t>Column6</t>
  </si>
  <si>
    <t>Column7</t>
  </si>
  <si>
    <t>Column8</t>
  </si>
  <si>
    <t>Column9</t>
  </si>
  <si>
    <t>Column10</t>
  </si>
  <si>
    <t>Column11</t>
  </si>
  <si>
    <r>
      <t>D5*E5*</t>
    </r>
    <r>
      <rPr>
        <sz val="11"/>
        <color rgb="FFFF0000"/>
        <rFont val="Arial"/>
        <family val="2"/>
      </rPr>
      <t>G5</t>
    </r>
  </si>
  <si>
    <r>
      <t>D5*</t>
    </r>
    <r>
      <rPr>
        <sz val="11"/>
        <color rgb="FFFF0000"/>
        <rFont val="Arial"/>
        <family val="2"/>
      </rPr>
      <t>G5</t>
    </r>
    <r>
      <rPr>
        <sz val="11"/>
        <rFont val="Arial"/>
        <family val="2"/>
      </rPr>
      <t>*F5</t>
    </r>
  </si>
  <si>
    <t>online_portable_gaming</t>
  </si>
  <si>
    <t>online_vr_gaming</t>
  </si>
  <si>
    <t>new calculations</t>
  </si>
  <si>
    <r>
      <t>D5*</t>
    </r>
    <r>
      <rPr>
        <sz val="11"/>
        <color rgb="FFFF0000"/>
        <rFont val="Arial"/>
        <family val="2"/>
      </rPr>
      <t>G5</t>
    </r>
    <r>
      <rPr>
        <sz val="11"/>
        <color theme="1"/>
        <rFont val="Arial"/>
        <family val="2"/>
      </rPr>
      <t>*F5</t>
    </r>
  </si>
  <si>
    <t>Nekane</t>
  </si>
  <si>
    <t xml:space="preserve">Bram, </t>
  </si>
  <si>
    <t>Application-dependent transmit power
for auto-induced uplink exposure
assessment from in-situ mobile phone
usage in four European countries</t>
  </si>
  <si>
    <t>bram</t>
  </si>
  <si>
    <t>new values</t>
  </si>
  <si>
    <t>max_power_wifi5</t>
  </si>
  <si>
    <t>new value</t>
  </si>
  <si>
    <t>high quality music 320 kbps=0.32 Mb/s; with assumption 2 Mb/s for BT, duty cycle is 16%.</t>
  </si>
  <si>
    <t>Assume:
1 keep-alive event every 1 s
T = 1 s
On-air time per event:
t_on = 1–3 ms = 0.001–0.003 s
Duty cycle:
DC_idle = t_on / T
DC_idle = 0.001–0.003 / 1
DC_idle = 0.001–0.003
Idle duty cycle ≈ 0.1%–0.3%
Recommended modelling value:
DC_idle = 0.002 (0.2%)</t>
  </si>
  <si>
    <t>Active transmission time per day = 60 s
Idle time per day = 86400 − 60 = 86340 s
Assume idle duty cycle DC_idle = 0.002
Idle transmitted time = 0.002 × 86340 = 172.68 s
Total transmitted time per day = 60 + 172.68 = 232.68 s
DC_total = 232.68 / 86400
DC_total = 0.00269
≈ 0.0027
≈ 0.27%</t>
  </si>
  <si>
    <t>Bluetooth Radio - an overview | ScienceDirect Topics</t>
  </si>
  <si>
    <t>rfernec for BT info</t>
  </si>
  <si>
    <t>Ear</t>
  </si>
  <si>
    <t>4G ( 700 to 2600)</t>
  </si>
  <si>
    <t>5G (3500)</t>
  </si>
  <si>
    <t>Weighted_total SAR</t>
  </si>
  <si>
    <t>Far</t>
  </si>
  <si>
    <t>Outputpower</t>
  </si>
  <si>
    <t>Momentary SAR</t>
  </si>
  <si>
    <t>Dose calculation</t>
  </si>
  <si>
    <t>Output power</t>
  </si>
  <si>
    <t>Native_call</t>
  </si>
  <si>
    <t>Call_SAR</t>
  </si>
  <si>
    <t>weighted_total</t>
  </si>
  <si>
    <t>WiFi 2.4 GHz</t>
  </si>
  <si>
    <t>WiFi 5 GHz</t>
  </si>
  <si>
    <t>WiFi_call</t>
  </si>
  <si>
    <t>Brain dose</t>
  </si>
  <si>
    <t>momentary_SAR</t>
  </si>
  <si>
    <t>Native_call_brain</t>
  </si>
  <si>
    <t>data_call_brain</t>
  </si>
  <si>
    <t>WiFi_call_brain</t>
  </si>
  <si>
    <t>Native_call_WB</t>
  </si>
  <si>
    <t>data_call_WB</t>
  </si>
  <si>
    <t>WiFi_call_WB</t>
  </si>
  <si>
    <t>Sources dose</t>
  </si>
  <si>
    <t>WB dose</t>
  </si>
  <si>
    <t>browsing</t>
  </si>
  <si>
    <t>new calcuation</t>
  </si>
  <si>
    <t>the result same as before</t>
  </si>
  <si>
    <t>Agregated_mSAR</t>
  </si>
  <si>
    <t>just to remind you that you make connection between this wifi and mobile dat awifi</t>
  </si>
  <si>
    <t>Duration_total</t>
  </si>
  <si>
    <t>wb</t>
  </si>
  <si>
    <t>Native call</t>
  </si>
  <si>
    <t>data call</t>
  </si>
  <si>
    <t>native call</t>
  </si>
  <si>
    <t>wifi call</t>
  </si>
  <si>
    <t>transmitter_weighted_m_SAR</t>
  </si>
  <si>
    <t>connection mode_transmitter_weighted_m_SAR</t>
  </si>
  <si>
    <t>transmitter_position_weighted_SAR</t>
  </si>
  <si>
    <t>Ericsson Mobility Report, November 2025. west European countries</t>
  </si>
  <si>
    <t>Ericsson Mobility Report, November 2025. Central and Eastern European Countries</t>
  </si>
  <si>
    <t>DC*∑ environment prob*power</t>
  </si>
  <si>
    <t>2G (900, 1800)</t>
  </si>
  <si>
    <t>3G (900, 2100)</t>
  </si>
  <si>
    <t>Frequency contribution in different technology</t>
  </si>
  <si>
    <t>belly</t>
  </si>
  <si>
    <t>WiFi2</t>
  </si>
  <si>
    <t>WiFi5</t>
  </si>
  <si>
    <t xml:space="preserve">nSAR_belly </t>
  </si>
  <si>
    <t>These values are for pocket. Needs to be updated by belly or calacute an average of belly and pocket etain and goliat</t>
  </si>
  <si>
    <t>fof</t>
  </si>
  <si>
    <t>transmitter_weighted_mSAR</t>
  </si>
  <si>
    <t>mobile_data</t>
  </si>
  <si>
    <t>calculation based on the laptop inputs (durations proportion)</t>
  </si>
  <si>
    <t>r</t>
  </si>
  <si>
    <t>d</t>
  </si>
  <si>
    <t>postion_aggregated_nSAR</t>
  </si>
  <si>
    <t>mSAR</t>
  </si>
  <si>
    <t>Agregated_nSAR</t>
  </si>
  <si>
    <t>transmitter_aggregated_mSAR</t>
  </si>
  <si>
    <t xml:space="preserve">Home wifi2_rms = 0.01496315 </t>
  </si>
  <si>
    <t>Home wifi5     = 0.009309571</t>
  </si>
  <si>
    <t>School wifi2_rms = 0.02166558</t>
  </si>
  <si>
    <t>School wifi5     = 0.01652925</t>
  </si>
  <si>
    <t>HERMES3 personal measurment results</t>
  </si>
  <si>
    <t>average of voice call (same category of gaming, low to medium) Determination of the duty cycle of WLAN for realistic radio frequency
electromagnetic field exposure assessment</t>
  </si>
  <si>
    <t>avergae of voice call and youtuble 360p video stream for good and bad connection</t>
  </si>
  <si>
    <t>Determination of the duty cycle of WLAN for realistic radio frequency</t>
  </si>
  <si>
    <t>electromagnetic field exposure assessment</t>
  </si>
  <si>
    <t>120 Mb per day, how many MB for less than a day</t>
  </si>
  <si>
    <t>total_smartwaatch_active second/day</t>
  </si>
  <si>
    <t>total_smartwatch_file Mb/day</t>
  </si>
  <si>
    <t>totola volumn/ nominal Mb/sec (2)</t>
  </si>
  <si>
    <t>active</t>
  </si>
  <si>
    <t>passive</t>
  </si>
  <si>
    <r>
      <t xml:space="preserve">3.50 MB sensors data + 1.5 MB notifications + 10 MB other (including keep- alive bytes per day)
= 15 MB/day
15 MB × 8 = 120 Mb/day
</t>
    </r>
    <r>
      <rPr>
        <sz val="11"/>
        <color rgb="FFFF0000"/>
        <rFont val="Arial"/>
        <family val="2"/>
      </rPr>
      <t>120 (Mb) / 2 (Mb/s nominal data transmission)
= 60 seconds of data transmission per day
60 / 86400
= 0.000694 duty cycle
≈ 0.0007 this is active transmmision per day</t>
    </r>
  </si>
  <si>
    <t>smartwatch_dose_active</t>
  </si>
  <si>
    <t>smartwatch_dose_passive</t>
  </si>
  <si>
    <t>watch_phone_BT</t>
  </si>
  <si>
    <t>phone_headphone_BT(active)</t>
  </si>
  <si>
    <t>phone_smartwatch_BT(passive)</t>
  </si>
  <si>
    <t>passive_BT_phone_and_headphone</t>
  </si>
  <si>
    <t>total_headphone_dose</t>
  </si>
  <si>
    <t>total_smartwatch_dose</t>
  </si>
  <si>
    <t>phone_smartwatch</t>
  </si>
  <si>
    <t>active_smart_home</t>
  </si>
  <si>
    <t>for smart home,default is no, other response will be yes. In this case duration is indeed 600</t>
  </si>
  <si>
    <t>x</t>
  </si>
  <si>
    <t>BT(2.4GHz)</t>
  </si>
  <si>
    <t>headphone_(passive)</t>
  </si>
  <si>
    <t>VR</t>
  </si>
  <si>
    <t>total_smartwatch_passive time second/day</t>
  </si>
  <si>
    <t>phone_headphone_dose</t>
  </si>
  <si>
    <t>At the moment 5 GHz intermediate is not avalible and we need to take far field value for it.</t>
  </si>
  <si>
    <t>aggregated_BT_mSAR</t>
  </si>
  <si>
    <t>phone</t>
  </si>
  <si>
    <t>sd</t>
  </si>
  <si>
    <t>?</t>
  </si>
  <si>
    <t>sam as pure 5G</t>
  </si>
  <si>
    <t>Check the milstone in YODA folder</t>
  </si>
  <si>
    <t xml:space="preserve">2.4 GHz intermediate </t>
  </si>
  <si>
    <t>speaker(front of mouth)</t>
  </si>
  <si>
    <t>speaker(front of mouth)(FoF)</t>
  </si>
  <si>
    <t>1.9 1.96 3.51</t>
  </si>
  <si>
    <t>8.77 13.41 20.32</t>
  </si>
  <si>
    <t>streamin</t>
  </si>
  <si>
    <t>skype video</t>
  </si>
  <si>
    <t>Category</t>
  </si>
  <si>
    <t>Application</t>
  </si>
  <si>
    <t>54 Mbps duty cycle (%)</t>
  </si>
  <si>
    <t>6 Mbps duty cycle (%)</t>
  </si>
  <si>
    <t>Average duty cycle (%)</t>
  </si>
  <si>
    <t>Browsing</t>
  </si>
  <si>
    <t>Surfing news site</t>
  </si>
  <si>
    <t>Voice</t>
  </si>
  <si>
    <t>Skype voice</t>
  </si>
  <si>
    <t>Spotify</t>
  </si>
  <si>
    <t>Video</t>
  </si>
  <si>
    <t>Skype video</t>
  </si>
  <si>
    <t>YouTube 360p</t>
  </si>
  <si>
    <t>YouTube 1080p</t>
  </si>
  <si>
    <t>File transfer</t>
  </si>
  <si>
    <t>activity proportion</t>
  </si>
  <si>
    <t>poor</t>
  </si>
  <si>
    <t>good</t>
  </si>
  <si>
    <t>20MHz</t>
  </si>
  <si>
    <t>80MHz</t>
  </si>
  <si>
    <t>voice call</t>
  </si>
  <si>
    <t>other</t>
  </si>
  <si>
    <t>(W/kg)/(W/m2)</t>
  </si>
  <si>
    <t>(W*mW)/(kg*W)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</si>
</sst>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0"/>
    <numFmt numFmtId="165" formatCode="0.0000"/>
    <numFmt numFmtId="166" formatCode="0.0"/>
    <numFmt numFmtId="167" formatCode="0.000000"/>
    <numFmt numFmtId="168" formatCode="0.00000"/>
    <numFmt numFmtId="169" formatCode="0.00000000"/>
    <numFmt numFmtId="170" formatCode="0.000000000"/>
    <numFmt numFmtId="171" formatCode="0.0000000"/>
    <numFmt numFmtId="172" formatCode="0.000000000000"/>
  </numFmts>
  <fonts count="36" x14ac:knownFonts="1">
    <font>
      <sz val="11"/>
      <color theme="1"/>
      <name val="Arial"/>
      <family val="2"/>
    </font>
    <font>
      <b/>
      <sz val="11"/>
      <color theme="1"/>
      <name val="Arial"/>
      <family val="2"/>
    </font>
    <font>
      <sz val="9"/>
      <color indexed="81"/>
      <name val="Tahoma"/>
      <family val="2"/>
    </font>
    <font>
      <b/>
      <sz val="9"/>
      <color indexed="81"/>
      <name val="Tahoma"/>
      <family val="2"/>
    </font>
    <font>
      <i/>
      <sz val="11"/>
      <color theme="1"/>
      <name val="Arial"/>
      <family val="2"/>
    </font>
    <font>
      <sz val="11"/>
      <color theme="1"/>
      <name val="Calibri"/>
      <family val="2"/>
    </font>
    <font>
      <sz val="10"/>
      <color rgb="FF222222"/>
      <name val="Arial"/>
      <family val="2"/>
    </font>
    <font>
      <b/>
      <i/>
      <sz val="11"/>
      <color theme="1"/>
      <name val="Arial"/>
      <family val="2"/>
    </font>
    <font>
      <sz val="11"/>
      <name val="Calibri"/>
      <family val="2"/>
    </font>
    <font>
      <sz val="22"/>
      <color theme="1"/>
      <name val="Arial"/>
      <family val="2"/>
    </font>
    <font>
      <b/>
      <sz val="11"/>
      <color theme="1"/>
      <name val="Calibri"/>
      <family val="2"/>
    </font>
    <font>
      <b/>
      <i/>
      <sz val="11"/>
      <color theme="1"/>
      <name val="Calibri"/>
      <family val="2"/>
    </font>
    <font>
      <sz val="8"/>
      <color theme="1"/>
      <name val="Calibri"/>
      <family val="2"/>
    </font>
    <font>
      <sz val="10"/>
      <color theme="1"/>
      <name val="Calibri"/>
      <family val="2"/>
    </font>
    <font>
      <sz val="15"/>
      <color rgb="FF040C28"/>
      <name val="Arial"/>
      <family val="2"/>
    </font>
    <font>
      <sz val="11"/>
      <color theme="1"/>
      <name val="Arial"/>
      <family val="2"/>
    </font>
    <font>
      <sz val="11"/>
      <name val="Arial"/>
      <family val="2"/>
    </font>
    <font>
      <u/>
      <sz val="11"/>
      <color theme="10"/>
      <name val="Arial"/>
      <family val="2"/>
    </font>
    <font>
      <sz val="11"/>
      <color theme="5"/>
      <name val="Arial"/>
      <family val="2"/>
    </font>
    <font>
      <sz val="10"/>
      <color theme="1"/>
      <name val="Arial"/>
      <family val="2"/>
    </font>
    <font>
      <sz val="11"/>
      <color theme="4"/>
      <name val="Arial"/>
      <family val="2"/>
    </font>
    <font>
      <sz val="11"/>
      <color rgb="FF7030A0"/>
      <name val="Arial"/>
      <family val="2"/>
    </font>
    <font>
      <b/>
      <sz val="11"/>
      <color rgb="FFFA7D00"/>
      <name val="Arial"/>
      <family val="2"/>
      <charset val="1"/>
    </font>
    <font>
      <b/>
      <sz val="11"/>
      <name val="Arial"/>
      <family val="2"/>
    </font>
    <font>
      <sz val="8"/>
      <name val="Arial"/>
      <family val="2"/>
    </font>
    <font>
      <sz val="9"/>
      <color rgb="FF222222"/>
      <name val="Arial"/>
      <family val="2"/>
    </font>
    <font>
      <i/>
      <sz val="9"/>
      <color rgb="FF222222"/>
      <name val="Arial"/>
      <family val="2"/>
    </font>
    <font>
      <i/>
      <sz val="11"/>
      <name val="Arial"/>
      <family val="2"/>
    </font>
    <font>
      <b/>
      <i/>
      <sz val="11"/>
      <name val="Arial"/>
      <family val="2"/>
    </font>
    <font>
      <sz val="10"/>
      <name val="Arial"/>
      <family val="2"/>
    </font>
    <font>
      <sz val="11"/>
      <color rgb="FFFF0000"/>
      <name val="Arial"/>
      <family val="2"/>
    </font>
    <font>
      <sz val="11"/>
      <color rgb="FF00B050"/>
      <name val="Arial"/>
      <family val="2"/>
    </font>
    <font>
      <sz val="11"/>
      <color theme="0"/>
      <name val="Arial"/>
      <family val="2"/>
    </font>
    <font>
      <sz val="8"/>
      <color theme="1"/>
      <name val="Aptos"/>
      <family val="2"/>
    </font>
    <font>
      <sz val="11"/>
      <color rgb="FF000000"/>
      <name val="Calibri"/>
      <family val="2"/>
    </font>
    <font>
      <sz val="11"/>
      <color theme="1"/>
      <name val="Calibri"/>
      <family val="2"/>
      <scheme val="minor"/>
    </font>
  </fonts>
  <fills count="33">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theme="2"/>
        <bgColor indexed="64"/>
      </patternFill>
    </fill>
    <fill>
      <patternFill patternType="solid">
        <fgColor theme="2" tint="-9.9978637043366805E-2"/>
        <bgColor indexed="64"/>
      </patternFill>
    </fill>
    <fill>
      <patternFill patternType="solid">
        <fgColor rgb="FF00B050"/>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rgb="FFBDD6EE"/>
        <bgColor indexed="64"/>
      </patternFill>
    </fill>
    <fill>
      <patternFill patternType="solid">
        <fgColor rgb="FFDEEAF6"/>
        <bgColor indexed="64"/>
      </patternFill>
    </fill>
    <fill>
      <patternFill patternType="solid">
        <fgColor rgb="FFFFF2CC"/>
        <bgColor indexed="64"/>
      </patternFill>
    </fill>
    <fill>
      <patternFill patternType="solid">
        <fgColor rgb="FFFFFFFF"/>
        <bgColor indexed="64"/>
      </patternFill>
    </fill>
    <fill>
      <patternFill patternType="solid">
        <fgColor theme="7" tint="0.59999389629810485"/>
        <bgColor indexed="64"/>
      </patternFill>
    </fill>
    <fill>
      <patternFill patternType="solid">
        <fgColor rgb="FFF2F2F2"/>
      </patternFill>
    </fill>
    <fill>
      <patternFill patternType="solid">
        <fgColor theme="7" tint="0.79998168889431442"/>
        <bgColor indexed="64"/>
      </patternFill>
    </fill>
    <fill>
      <patternFill patternType="solid">
        <fgColor theme="5" tint="0.79998168889431442"/>
        <bgColor indexed="64"/>
      </patternFill>
    </fill>
    <fill>
      <patternFill patternType="solid">
        <fgColor rgb="FFFF66FF"/>
        <bgColor indexed="64"/>
      </patternFill>
    </fill>
    <fill>
      <patternFill patternType="solid">
        <fgColor rgb="FFFFC000"/>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theme="5"/>
        <bgColor indexed="64"/>
      </patternFill>
    </fill>
    <fill>
      <patternFill patternType="solid">
        <fgColor theme="4" tint="0.39997558519241921"/>
        <bgColor indexed="64"/>
      </patternFill>
    </fill>
    <fill>
      <patternFill patternType="solid">
        <fgColor rgb="FF227ACB"/>
        <bgColor indexed="64"/>
      </patternFill>
    </fill>
    <fill>
      <patternFill patternType="solid">
        <fgColor theme="4"/>
        <bgColor indexed="64"/>
      </patternFill>
    </fill>
    <fill>
      <patternFill patternType="solid">
        <fgColor rgb="FFFF99FF"/>
        <bgColor indexed="64"/>
      </patternFill>
    </fill>
    <fill>
      <patternFill patternType="solid">
        <fgColor theme="7" tint="0.39997558519241921"/>
        <bgColor indexed="64"/>
      </patternFill>
    </fill>
    <fill>
      <patternFill patternType="solid">
        <fgColor theme="3" tint="0.79998168889431442"/>
        <bgColor indexed="64"/>
      </patternFill>
    </fill>
    <fill>
      <patternFill patternType="solid">
        <fgColor rgb="FFFF0066"/>
        <bgColor indexed="64"/>
      </patternFill>
    </fill>
    <fill>
      <patternFill patternType="solid">
        <fgColor theme="9"/>
        <bgColor indexed="64"/>
      </patternFill>
    </fill>
  </fills>
  <borders count="80">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ck">
        <color indexed="64"/>
      </right>
      <top/>
      <bottom/>
      <diagonal/>
    </border>
    <border>
      <left/>
      <right style="thick">
        <color indexed="64"/>
      </right>
      <top/>
      <bottom style="thin">
        <color indexed="64"/>
      </bottom>
      <diagonal/>
    </border>
    <border>
      <left/>
      <right style="thick">
        <color indexed="64"/>
      </right>
      <top style="thin">
        <color indexed="64"/>
      </top>
      <bottom style="thin">
        <color indexed="64"/>
      </bottom>
      <diagonal/>
    </border>
    <border>
      <left style="thick">
        <color indexed="64"/>
      </left>
      <right/>
      <top/>
      <bottom style="thin">
        <color indexed="64"/>
      </bottom>
      <diagonal/>
    </border>
    <border>
      <left/>
      <right style="thin">
        <color indexed="64"/>
      </right>
      <top/>
      <bottom/>
      <diagonal/>
    </border>
    <border>
      <left/>
      <right/>
      <top/>
      <bottom style="thick">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style="thick">
        <color indexed="64"/>
      </left>
      <right/>
      <top/>
      <bottom style="thick">
        <color indexed="64"/>
      </bottom>
      <diagonal/>
    </border>
    <border>
      <left/>
      <right style="thick">
        <color indexed="64"/>
      </right>
      <top/>
      <bottom style="thick">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medium">
        <color indexed="64"/>
      </right>
      <top style="thick">
        <color indexed="64"/>
      </top>
      <bottom style="thick">
        <color indexed="64"/>
      </bottom>
      <diagonal/>
    </border>
    <border>
      <left/>
      <right style="medium">
        <color indexed="64"/>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medium">
        <color indexed="64"/>
      </right>
      <top/>
      <bottom style="thick">
        <color indexed="64"/>
      </bottom>
      <diagonal/>
    </border>
    <border>
      <left/>
      <right style="medium">
        <color indexed="64"/>
      </right>
      <top/>
      <bottom style="thick">
        <color indexed="64"/>
      </bottom>
      <diagonal/>
    </border>
    <border>
      <left style="thick">
        <color indexed="64"/>
      </left>
      <right style="thick">
        <color indexed="64"/>
      </right>
      <top/>
      <bottom style="thick">
        <color indexed="64"/>
      </bottom>
      <diagonal/>
    </border>
    <border>
      <left style="thick">
        <color indexed="64"/>
      </left>
      <right style="thick">
        <color indexed="64"/>
      </right>
      <top/>
      <bottom/>
      <diagonal/>
    </border>
    <border>
      <left/>
      <right style="thick">
        <color indexed="64"/>
      </right>
      <top/>
      <bottom style="medium">
        <color indexed="64"/>
      </bottom>
      <diagonal/>
    </border>
    <border>
      <left style="thick">
        <color indexed="64"/>
      </left>
      <right style="thick">
        <color indexed="64"/>
      </right>
      <top/>
      <bottom style="medium">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style="thick">
        <color indexed="64"/>
      </left>
      <right style="thick">
        <color indexed="64"/>
      </right>
      <top style="thick">
        <color indexed="64"/>
      </top>
      <bottom/>
      <diagonal/>
    </border>
    <border>
      <left style="thick">
        <color indexed="64"/>
      </left>
      <right style="medium">
        <color indexed="64"/>
      </right>
      <top style="thick">
        <color indexed="64"/>
      </top>
      <bottom/>
      <diagonal/>
    </border>
    <border>
      <left style="thick">
        <color indexed="64"/>
      </left>
      <right style="medium">
        <color indexed="64"/>
      </right>
      <top/>
      <bottom style="medium">
        <color indexed="64"/>
      </bottom>
      <diagonal/>
    </border>
    <border>
      <left style="thick">
        <color indexed="64"/>
      </left>
      <right style="medium">
        <color indexed="64"/>
      </right>
      <top style="medium">
        <color indexed="64"/>
      </top>
      <bottom/>
      <diagonal/>
    </border>
    <border>
      <left style="thick">
        <color indexed="64"/>
      </left>
      <right style="medium">
        <color indexed="64"/>
      </right>
      <top/>
      <bottom/>
      <diagonal/>
    </border>
    <border>
      <left style="thick">
        <color indexed="64"/>
      </left>
      <right style="thick">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ck">
        <color indexed="64"/>
      </bottom>
      <diagonal/>
    </border>
    <border>
      <left/>
      <right/>
      <top style="medium">
        <color indexed="64"/>
      </top>
      <bottom style="medium">
        <color indexed="64"/>
      </bottom>
      <diagonal/>
    </border>
    <border>
      <left/>
      <right/>
      <top/>
      <bottom style="medium">
        <color theme="2" tint="-9.9978637043366805E-2"/>
      </bottom>
      <diagonal/>
    </border>
    <border>
      <left style="thin">
        <color rgb="FF7F7F7F"/>
      </left>
      <right style="thin">
        <color rgb="FF7F7F7F"/>
      </right>
      <top style="thin">
        <color rgb="FF7F7F7F"/>
      </top>
      <bottom style="thin">
        <color rgb="FF7F7F7F"/>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rgb="FF7F7F7F"/>
      </left>
      <right style="thin">
        <color rgb="FF7F7F7F"/>
      </right>
      <top style="thin">
        <color rgb="FF7F7F7F"/>
      </top>
      <bottom/>
      <diagonal/>
    </border>
    <border>
      <left style="thin">
        <color rgb="FF7F7F7F"/>
      </left>
      <right style="thin">
        <color rgb="FF7F7F7F"/>
      </right>
      <top/>
      <bottom style="thin">
        <color rgb="FF7F7F7F"/>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ck">
        <color indexed="64"/>
      </left>
      <right/>
      <top style="thin">
        <color indexed="64"/>
      </top>
      <bottom style="thin">
        <color indexed="64"/>
      </bottom>
      <diagonal/>
    </border>
    <border>
      <left style="thick">
        <color indexed="64"/>
      </left>
      <right/>
      <top style="thin">
        <color indexed="64"/>
      </top>
      <bottom style="medium">
        <color indexed="64"/>
      </bottom>
      <diagonal/>
    </border>
    <border>
      <left/>
      <right style="thin">
        <color indexed="64"/>
      </right>
      <top style="thick">
        <color indexed="64"/>
      </top>
      <bottom/>
      <diagonal/>
    </border>
    <border>
      <left style="thick">
        <color indexed="64"/>
      </left>
      <right/>
      <top style="thin">
        <color indexed="64"/>
      </top>
      <bottom style="thick">
        <color indexed="64"/>
      </bottom>
      <diagonal/>
    </border>
    <border>
      <left/>
      <right/>
      <top style="thin">
        <color indexed="64"/>
      </top>
      <bottom style="thick">
        <color indexed="64"/>
      </bottom>
      <diagonal/>
    </border>
    <border>
      <left/>
      <right style="thick">
        <color indexed="64"/>
      </right>
      <top style="thin">
        <color indexed="64"/>
      </top>
      <bottom style="thick">
        <color indexed="64"/>
      </bottom>
      <diagonal/>
    </border>
    <border>
      <left style="thin">
        <color indexed="64"/>
      </left>
      <right/>
      <top style="thick">
        <color indexed="64"/>
      </top>
      <bottom/>
      <diagonal/>
    </border>
    <border>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bottom style="medium">
        <color indexed="64"/>
      </bottom>
      <diagonal/>
    </border>
  </borders>
  <cellStyleXfs count="5">
    <xf numFmtId="0" fontId="0" fillId="0" borderId="0"/>
    <xf numFmtId="9" fontId="15" fillId="0" borderId="0" applyFont="0" applyFill="0" applyBorder="0" applyAlignment="0" applyProtection="0"/>
    <xf numFmtId="0" fontId="17" fillId="0" borderId="0" applyNumberFormat="0" applyFill="0" applyBorder="0" applyAlignment="0" applyProtection="0"/>
    <xf numFmtId="0" fontId="22" fillId="17" borderId="57" applyNumberFormat="0" applyAlignment="0" applyProtection="0"/>
    <xf numFmtId="0" fontId="35" fillId="0" borderId="0"/>
  </cellStyleXfs>
  <cellXfs count="432">
    <xf numFmtId="0" fontId="0" fillId="0" borderId="0" xfId="0"/>
    <xf numFmtId="0" fontId="0" fillId="0" borderId="1" xfId="0" applyBorder="1"/>
    <xf numFmtId="0" fontId="0" fillId="0" borderId="2" xfId="0" applyBorder="1"/>
    <xf numFmtId="0" fontId="5" fillId="0" borderId="0" xfId="0" applyFont="1"/>
    <xf numFmtId="0" fontId="0" fillId="0" borderId="8" xfId="0" applyBorder="1"/>
    <xf numFmtId="2" fontId="0" fillId="0" borderId="0" xfId="0" applyNumberFormat="1"/>
    <xf numFmtId="2" fontId="0" fillId="6" borderId="14" xfId="0" applyNumberFormat="1" applyFill="1" applyBorder="1"/>
    <xf numFmtId="2" fontId="0" fillId="6" borderId="15" xfId="0" applyNumberFormat="1" applyFill="1" applyBorder="1"/>
    <xf numFmtId="0" fontId="0" fillId="6" borderId="15" xfId="0" applyFill="1" applyBorder="1"/>
    <xf numFmtId="2" fontId="0" fillId="6" borderId="17" xfId="0" applyNumberFormat="1" applyFill="1" applyBorder="1"/>
    <xf numFmtId="2" fontId="0" fillId="6" borderId="0" xfId="0" applyNumberFormat="1" applyFill="1"/>
    <xf numFmtId="2" fontId="9" fillId="6" borderId="0" xfId="0" applyNumberFormat="1" applyFont="1" applyFill="1"/>
    <xf numFmtId="0" fontId="0" fillId="6" borderId="0" xfId="0" applyFill="1"/>
    <xf numFmtId="0" fontId="0" fillId="6" borderId="17" xfId="0" applyFill="1" applyBorder="1"/>
    <xf numFmtId="0" fontId="0" fillId="6" borderId="18" xfId="0" applyFill="1" applyBorder="1"/>
    <xf numFmtId="0" fontId="0" fillId="6" borderId="13" xfId="0" applyFill="1" applyBorder="1"/>
    <xf numFmtId="0" fontId="0" fillId="7" borderId="15" xfId="0" applyFill="1" applyBorder="1"/>
    <xf numFmtId="2" fontId="9" fillId="7" borderId="0" xfId="0" applyNumberFormat="1" applyFont="1" applyFill="1"/>
    <xf numFmtId="0" fontId="0" fillId="7" borderId="0" xfId="0" applyFill="1"/>
    <xf numFmtId="0" fontId="0" fillId="7" borderId="13" xfId="0" applyFill="1" applyBorder="1"/>
    <xf numFmtId="2" fontId="9" fillId="7" borderId="15" xfId="0" applyNumberFormat="1" applyFont="1" applyFill="1" applyBorder="1"/>
    <xf numFmtId="0" fontId="0" fillId="2" borderId="15" xfId="0" applyFill="1" applyBorder="1"/>
    <xf numFmtId="0" fontId="0" fillId="2" borderId="0" xfId="0" applyFill="1"/>
    <xf numFmtId="2" fontId="9" fillId="2" borderId="0" xfId="0" applyNumberFormat="1" applyFont="1" applyFill="1"/>
    <xf numFmtId="0" fontId="0" fillId="2" borderId="13" xfId="0" applyFill="1" applyBorder="1"/>
    <xf numFmtId="0" fontId="0" fillId="2" borderId="16" xfId="0" applyFill="1" applyBorder="1"/>
    <xf numFmtId="0" fontId="0" fillId="2" borderId="8" xfId="0" applyFill="1" applyBorder="1"/>
    <xf numFmtId="0" fontId="0" fillId="2" borderId="19" xfId="0" applyFill="1"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9" borderId="23" xfId="0" applyFill="1" applyBorder="1"/>
    <xf numFmtId="0" fontId="0" fillId="9" borderId="0" xfId="0" applyFill="1"/>
    <xf numFmtId="0" fontId="0" fillId="9" borderId="24" xfId="0" applyFill="1" applyBorder="1"/>
    <xf numFmtId="2" fontId="0" fillId="9" borderId="0" xfId="0" applyNumberFormat="1" applyFill="1"/>
    <xf numFmtId="2" fontId="0" fillId="9" borderId="24" xfId="0" applyNumberFormat="1" applyFill="1" applyBorder="1"/>
    <xf numFmtId="0" fontId="0" fillId="9" borderId="28" xfId="0" applyFill="1" applyBorder="1"/>
    <xf numFmtId="2" fontId="0" fillId="9" borderId="28" xfId="0" applyNumberFormat="1" applyFill="1" applyBorder="1"/>
    <xf numFmtId="0" fontId="0" fillId="11" borderId="21" xfId="0" applyFill="1" applyBorder="1" applyAlignment="1">
      <alignment horizontal="center"/>
    </xf>
    <xf numFmtId="0" fontId="0" fillId="11" borderId="22" xfId="0" applyFill="1" applyBorder="1" applyAlignment="1">
      <alignment horizontal="center"/>
    </xf>
    <xf numFmtId="0" fontId="0" fillId="3" borderId="28" xfId="0" applyFill="1" applyBorder="1"/>
    <xf numFmtId="0" fontId="10" fillId="12" borderId="30" xfId="0" applyFont="1" applyFill="1" applyBorder="1" applyAlignment="1">
      <alignment horizontal="center" vertical="center" wrapText="1"/>
    </xf>
    <xf numFmtId="0" fontId="10" fillId="12" borderId="31" xfId="0" applyFont="1" applyFill="1" applyBorder="1" applyAlignment="1">
      <alignment horizontal="center" vertical="center" wrapText="1"/>
    </xf>
    <xf numFmtId="0" fontId="10" fillId="12" borderId="32" xfId="0" applyFont="1" applyFill="1" applyBorder="1" applyAlignment="1">
      <alignment horizontal="center" vertical="center" wrapText="1"/>
    </xf>
    <xf numFmtId="0" fontId="10" fillId="13" borderId="33" xfId="0" applyFont="1" applyFill="1" applyBorder="1" applyAlignment="1">
      <alignment horizontal="center" vertical="center" wrapText="1"/>
    </xf>
    <xf numFmtId="0" fontId="10" fillId="13" borderId="34" xfId="0" applyFont="1" applyFill="1" applyBorder="1" applyAlignment="1">
      <alignment horizontal="center" vertical="center" wrapText="1"/>
    </xf>
    <xf numFmtId="0" fontId="10" fillId="13" borderId="19" xfId="0" applyFont="1" applyFill="1" applyBorder="1" applyAlignment="1">
      <alignment horizontal="center" vertical="center" wrapText="1"/>
    </xf>
    <xf numFmtId="0" fontId="5" fillId="14" borderId="27" xfId="0" applyFont="1" applyFill="1" applyBorder="1" applyAlignment="1">
      <alignment horizontal="center" vertical="center" wrapText="1"/>
    </xf>
    <xf numFmtId="0" fontId="5" fillId="14" borderId="37" xfId="0" applyFont="1" applyFill="1" applyBorder="1" applyAlignment="1">
      <alignment horizontal="center" vertical="center" wrapText="1"/>
    </xf>
    <xf numFmtId="0" fontId="5" fillId="0" borderId="27" xfId="0" applyFont="1" applyBorder="1" applyAlignment="1">
      <alignment horizontal="center" vertical="center" wrapText="1"/>
    </xf>
    <xf numFmtId="0" fontId="5" fillId="0" borderId="37" xfId="0" applyFont="1" applyBorder="1" applyAlignment="1">
      <alignment horizontal="center" vertical="center" wrapText="1"/>
    </xf>
    <xf numFmtId="11" fontId="5" fillId="14" borderId="37" xfId="0" applyNumberFormat="1" applyFont="1" applyFill="1" applyBorder="1" applyAlignment="1">
      <alignment horizontal="center" vertical="center" wrapText="1"/>
    </xf>
    <xf numFmtId="11" fontId="5" fillId="0" borderId="37" xfId="0" applyNumberFormat="1" applyFont="1" applyBorder="1" applyAlignment="1">
      <alignment horizontal="center" vertical="center" wrapText="1"/>
    </xf>
    <xf numFmtId="0" fontId="5" fillId="14" borderId="34" xfId="0" applyFont="1" applyFill="1" applyBorder="1" applyAlignment="1">
      <alignment horizontal="center" vertical="center" wrapText="1"/>
    </xf>
    <xf numFmtId="0" fontId="5" fillId="14" borderId="19" xfId="0" applyFont="1" applyFill="1" applyBorder="1" applyAlignment="1">
      <alignment horizontal="center" vertical="center" wrapText="1"/>
    </xf>
    <xf numFmtId="0" fontId="11" fillId="0" borderId="8" xfId="0" applyFont="1" applyBorder="1" applyAlignment="1">
      <alignment horizontal="center" vertical="center" wrapText="1"/>
    </xf>
    <xf numFmtId="0" fontId="5" fillId="0" borderId="34" xfId="0" applyFont="1" applyBorder="1" applyAlignment="1">
      <alignment horizontal="center" vertical="center" wrapText="1"/>
    </xf>
    <xf numFmtId="0" fontId="5" fillId="0" borderId="19" xfId="0" applyFont="1" applyBorder="1" applyAlignment="1">
      <alignment horizontal="center" vertical="center" wrapText="1"/>
    </xf>
    <xf numFmtId="0" fontId="5" fillId="15" borderId="27" xfId="0" applyFont="1" applyFill="1" applyBorder="1" applyAlignment="1">
      <alignment horizontal="center" vertical="center" wrapText="1"/>
    </xf>
    <xf numFmtId="0" fontId="5" fillId="15" borderId="37" xfId="0" applyFont="1" applyFill="1" applyBorder="1" applyAlignment="1">
      <alignment horizontal="center" vertical="center" wrapText="1"/>
    </xf>
    <xf numFmtId="0" fontId="5" fillId="15" borderId="34" xfId="0" applyFont="1" applyFill="1" applyBorder="1" applyAlignment="1">
      <alignment horizontal="center" vertical="center" wrapText="1"/>
    </xf>
    <xf numFmtId="0" fontId="5" fillId="15" borderId="19" xfId="0" applyFont="1" applyFill="1" applyBorder="1" applyAlignment="1">
      <alignment horizontal="center" vertical="center" wrapText="1"/>
    </xf>
    <xf numFmtId="0" fontId="11" fillId="0" borderId="37" xfId="0" applyFont="1" applyBorder="1" applyAlignment="1">
      <alignment horizontal="center" vertical="center" wrapText="1"/>
    </xf>
    <xf numFmtId="0" fontId="12" fillId="0" borderId="0" xfId="0" applyFont="1" applyAlignment="1">
      <alignment vertical="center"/>
    </xf>
    <xf numFmtId="0" fontId="10" fillId="12" borderId="0" xfId="0" applyFont="1" applyFill="1" applyAlignment="1">
      <alignment horizontal="center" vertical="center" wrapText="1"/>
    </xf>
    <xf numFmtId="0" fontId="0" fillId="8" borderId="0" xfId="0" applyFill="1"/>
    <xf numFmtId="0" fontId="0" fillId="10" borderId="23" xfId="0" applyFill="1" applyBorder="1"/>
    <xf numFmtId="0" fontId="0" fillId="10" borderId="0" xfId="0" applyFill="1"/>
    <xf numFmtId="0" fontId="0" fillId="10" borderId="24" xfId="0" applyFill="1" applyBorder="1"/>
    <xf numFmtId="0" fontId="0" fillId="10" borderId="28" xfId="0" applyFill="1" applyBorder="1"/>
    <xf numFmtId="0" fontId="0" fillId="0" borderId="0" xfId="0" applyAlignment="1">
      <alignment horizontal="center"/>
    </xf>
    <xf numFmtId="0" fontId="0" fillId="11" borderId="48" xfId="0" applyFill="1" applyBorder="1" applyAlignment="1">
      <alignment horizontal="center"/>
    </xf>
    <xf numFmtId="0" fontId="0" fillId="11" borderId="49" xfId="0" applyFill="1" applyBorder="1" applyAlignment="1">
      <alignment horizontal="center"/>
    </xf>
    <xf numFmtId="0" fontId="0" fillId="5" borderId="28" xfId="0" applyFill="1" applyBorder="1"/>
    <xf numFmtId="0" fontId="14" fillId="0" borderId="0" xfId="0" applyFont="1"/>
    <xf numFmtId="0" fontId="0" fillId="8" borderId="3" xfId="0" applyFill="1" applyBorder="1"/>
    <xf numFmtId="0" fontId="0" fillId="5" borderId="4" xfId="0" applyFill="1" applyBorder="1"/>
    <xf numFmtId="0" fontId="0" fillId="8" borderId="6" xfId="0" applyFill="1" applyBorder="1"/>
    <xf numFmtId="0" fontId="0" fillId="5" borderId="50" xfId="0" applyFill="1" applyBorder="1"/>
    <xf numFmtId="11" fontId="0" fillId="5" borderId="4" xfId="0" applyNumberFormat="1" applyFill="1" applyBorder="1"/>
    <xf numFmtId="0" fontId="0" fillId="8" borderId="5" xfId="0" applyFill="1" applyBorder="1"/>
    <xf numFmtId="0" fontId="0" fillId="5" borderId="12" xfId="0" applyFill="1" applyBorder="1"/>
    <xf numFmtId="0" fontId="0" fillId="5" borderId="3" xfId="0" applyFill="1" applyBorder="1"/>
    <xf numFmtId="2" fontId="1" fillId="0" borderId="0" xfId="0" applyNumberFormat="1" applyFont="1"/>
    <xf numFmtId="0" fontId="16" fillId="0" borderId="0" xfId="0" applyFont="1"/>
    <xf numFmtId="0" fontId="16" fillId="0" borderId="23" xfId="0" applyFont="1" applyBorder="1"/>
    <xf numFmtId="0" fontId="16" fillId="0" borderId="24" xfId="0" applyFont="1" applyBorder="1"/>
    <xf numFmtId="0" fontId="16" fillId="3" borderId="28" xfId="0" applyFont="1" applyFill="1" applyBorder="1"/>
    <xf numFmtId="0" fontId="16" fillId="16" borderId="0" xfId="0" applyFont="1" applyFill="1"/>
    <xf numFmtId="0" fontId="16" fillId="16" borderId="23" xfId="0" applyFont="1" applyFill="1" applyBorder="1"/>
    <xf numFmtId="0" fontId="16" fillId="16" borderId="24" xfId="0" applyFont="1" applyFill="1" applyBorder="1"/>
    <xf numFmtId="165" fontId="0" fillId="8" borderId="3" xfId="0" applyNumberFormat="1" applyFill="1" applyBorder="1"/>
    <xf numFmtId="164" fontId="0" fillId="5" borderId="4" xfId="0" applyNumberFormat="1" applyFill="1" applyBorder="1"/>
    <xf numFmtId="2" fontId="0" fillId="0" borderId="3" xfId="0" applyNumberFormat="1" applyBorder="1"/>
    <xf numFmtId="2" fontId="0" fillId="0" borderId="51" xfId="0" applyNumberFormat="1" applyBorder="1"/>
    <xf numFmtId="2" fontId="0" fillId="0" borderId="4" xfId="0" applyNumberFormat="1" applyBorder="1"/>
    <xf numFmtId="2" fontId="0" fillId="0" borderId="6" xfId="0" applyNumberFormat="1" applyBorder="1"/>
    <xf numFmtId="2" fontId="0" fillId="0" borderId="1" xfId="0" applyNumberFormat="1" applyBorder="1"/>
    <xf numFmtId="2" fontId="0" fillId="0" borderId="50" xfId="0" applyNumberFormat="1" applyBorder="1"/>
    <xf numFmtId="2" fontId="0" fillId="16" borderId="28" xfId="0" applyNumberFormat="1" applyFill="1" applyBorder="1"/>
    <xf numFmtId="0" fontId="0" fillId="4" borderId="28" xfId="0" applyFill="1" applyBorder="1"/>
    <xf numFmtId="2" fontId="0" fillId="4" borderId="28" xfId="0" applyNumberFormat="1" applyFill="1" applyBorder="1"/>
    <xf numFmtId="0" fontId="5" fillId="0" borderId="52" xfId="0" applyFont="1" applyBorder="1" applyAlignment="1">
      <alignment horizontal="center" vertical="center" wrapText="1"/>
    </xf>
    <xf numFmtId="0" fontId="5" fillId="0" borderId="53" xfId="0" applyFont="1" applyBorder="1" applyAlignment="1">
      <alignment horizontal="center" vertical="center" wrapText="1"/>
    </xf>
    <xf numFmtId="0" fontId="5" fillId="0" borderId="54" xfId="0" applyFont="1" applyBorder="1" applyAlignment="1">
      <alignment horizontal="center" vertical="center" wrapText="1"/>
    </xf>
    <xf numFmtId="0" fontId="1" fillId="0" borderId="0" xfId="0" applyFont="1"/>
    <xf numFmtId="0" fontId="0" fillId="0" borderId="12" xfId="0" applyBorder="1"/>
    <xf numFmtId="0" fontId="17" fillId="0" borderId="0" xfId="2" applyFill="1"/>
    <xf numFmtId="0" fontId="6" fillId="0" borderId="0" xfId="0" applyFont="1"/>
    <xf numFmtId="0" fontId="4" fillId="0" borderId="0" xfId="0" applyFont="1"/>
    <xf numFmtId="0" fontId="8" fillId="0" borderId="0" xfId="0" applyFont="1" applyAlignment="1">
      <alignment horizontal="left" vertical="center"/>
    </xf>
    <xf numFmtId="0" fontId="19" fillId="0" borderId="0" xfId="0" applyFont="1" applyAlignment="1">
      <alignment vertical="center"/>
    </xf>
    <xf numFmtId="0" fontId="0" fillId="0" borderId="0" xfId="0" applyAlignment="1">
      <alignment vertical="center" wrapText="1"/>
    </xf>
    <xf numFmtId="0" fontId="20" fillId="0" borderId="0" xfId="0" applyFont="1" applyAlignment="1">
      <alignment vertical="center" wrapText="1"/>
    </xf>
    <xf numFmtId="0" fontId="21" fillId="0" borderId="0" xfId="0" applyFont="1"/>
    <xf numFmtId="2" fontId="0" fillId="0" borderId="0" xfId="0" applyNumberFormat="1" applyAlignment="1">
      <alignment horizontal="center"/>
    </xf>
    <xf numFmtId="0" fontId="10" fillId="13" borderId="0" xfId="0" applyFont="1" applyFill="1" applyAlignment="1">
      <alignment horizontal="center" vertical="center" wrapText="1"/>
    </xf>
    <xf numFmtId="0" fontId="5" fillId="14" borderId="0" xfId="0" applyFont="1" applyFill="1" applyAlignment="1">
      <alignment horizontal="center" vertical="center" wrapText="1"/>
    </xf>
    <xf numFmtId="0" fontId="5" fillId="0" borderId="0" xfId="0" applyFont="1" applyAlignment="1">
      <alignment horizontal="center" vertical="center" wrapText="1"/>
    </xf>
    <xf numFmtId="11" fontId="5" fillId="14" borderId="0" xfId="0" applyNumberFormat="1" applyFont="1" applyFill="1" applyAlignment="1">
      <alignment horizontal="center" vertical="center" wrapText="1"/>
    </xf>
    <xf numFmtId="11" fontId="5" fillId="0" borderId="0" xfId="0" applyNumberFormat="1" applyFont="1" applyAlignment="1">
      <alignment horizontal="center" vertical="center" wrapText="1"/>
    </xf>
    <xf numFmtId="0" fontId="5" fillId="15" borderId="0" xfId="0" applyFont="1" applyFill="1" applyAlignment="1">
      <alignment horizontal="center" vertical="center" wrapText="1"/>
    </xf>
    <xf numFmtId="164" fontId="0" fillId="0" borderId="0" xfId="0" applyNumberFormat="1"/>
    <xf numFmtId="1" fontId="0" fillId="0" borderId="0" xfId="0" applyNumberFormat="1"/>
    <xf numFmtId="165" fontId="0" fillId="0" borderId="0" xfId="0" applyNumberFormat="1"/>
    <xf numFmtId="167" fontId="0" fillId="0" borderId="0" xfId="0" applyNumberFormat="1"/>
    <xf numFmtId="2" fontId="0" fillId="18" borderId="28" xfId="0" applyNumberFormat="1" applyFill="1" applyBorder="1"/>
    <xf numFmtId="1" fontId="0" fillId="18" borderId="28" xfId="0" applyNumberFormat="1" applyFill="1" applyBorder="1"/>
    <xf numFmtId="1" fontId="0" fillId="18" borderId="58" xfId="0" applyNumberFormat="1" applyFill="1" applyBorder="1"/>
    <xf numFmtId="1" fontId="0" fillId="18" borderId="59" xfId="0" applyNumberFormat="1" applyFill="1" applyBorder="1"/>
    <xf numFmtId="1" fontId="0" fillId="18" borderId="47" xfId="0" applyNumberFormat="1" applyFill="1" applyBorder="1"/>
    <xf numFmtId="1" fontId="0" fillId="18" borderId="49" xfId="0" applyNumberFormat="1" applyFill="1" applyBorder="1"/>
    <xf numFmtId="2" fontId="0" fillId="18" borderId="7" xfId="0" applyNumberFormat="1" applyFill="1" applyBorder="1"/>
    <xf numFmtId="2" fontId="0" fillId="18" borderId="29" xfId="0" applyNumberFormat="1" applyFill="1" applyBorder="1"/>
    <xf numFmtId="2" fontId="0" fillId="18" borderId="47" xfId="0" applyNumberFormat="1" applyFill="1" applyBorder="1"/>
    <xf numFmtId="2" fontId="0" fillId="18" borderId="49" xfId="0" applyNumberFormat="1" applyFill="1" applyBorder="1"/>
    <xf numFmtId="1" fontId="0" fillId="18" borderId="48" xfId="0" applyNumberFormat="1" applyFill="1" applyBorder="1"/>
    <xf numFmtId="0" fontId="0" fillId="18" borderId="20" xfId="0" applyFill="1" applyBorder="1"/>
    <xf numFmtId="0" fontId="0" fillId="18" borderId="22" xfId="0" applyFill="1" applyBorder="1"/>
    <xf numFmtId="0" fontId="22" fillId="17" borderId="57" xfId="3"/>
    <xf numFmtId="167" fontId="22" fillId="17" borderId="57" xfId="3" applyNumberFormat="1"/>
    <xf numFmtId="170" fontId="22" fillId="17" borderId="57" xfId="3" applyNumberFormat="1"/>
    <xf numFmtId="2" fontId="22" fillId="17" borderId="57" xfId="3" applyNumberFormat="1"/>
    <xf numFmtId="170" fontId="0" fillId="0" borderId="0" xfId="0" applyNumberFormat="1"/>
    <xf numFmtId="171" fontId="22" fillId="17" borderId="57" xfId="3" applyNumberFormat="1"/>
    <xf numFmtId="169" fontId="22" fillId="17" borderId="57" xfId="3" applyNumberFormat="1"/>
    <xf numFmtId="0" fontId="16" fillId="0" borderId="1" xfId="0" applyFont="1" applyBorder="1"/>
    <xf numFmtId="0" fontId="21" fillId="0" borderId="56" xfId="0" applyFont="1" applyBorder="1"/>
    <xf numFmtId="10" fontId="0" fillId="0" borderId="3" xfId="1" applyNumberFormat="1" applyFont="1" applyBorder="1"/>
    <xf numFmtId="10" fontId="0" fillId="0" borderId="51" xfId="1" applyNumberFormat="1" applyFont="1" applyBorder="1"/>
    <xf numFmtId="10" fontId="0" fillId="0" borderId="6" xfId="1" applyNumberFormat="1" applyFont="1" applyBorder="1"/>
    <xf numFmtId="10" fontId="0" fillId="0" borderId="1" xfId="1" applyNumberFormat="1" applyFont="1" applyBorder="1"/>
    <xf numFmtId="0" fontId="17" fillId="0" borderId="0" xfId="2"/>
    <xf numFmtId="0" fontId="21" fillId="20" borderId="0" xfId="0" applyFont="1" applyFill="1"/>
    <xf numFmtId="0" fontId="25" fillId="0" borderId="0" xfId="0" applyFont="1" applyAlignment="1">
      <alignment horizontal="left"/>
    </xf>
    <xf numFmtId="0" fontId="16" fillId="0" borderId="0" xfId="0" applyFont="1" applyAlignment="1">
      <alignment horizontal="center"/>
    </xf>
    <xf numFmtId="164" fontId="16" fillId="0" borderId="0" xfId="0" applyNumberFormat="1" applyFont="1"/>
    <xf numFmtId="0" fontId="16" fillId="0" borderId="8" xfId="0" applyFont="1" applyBorder="1"/>
    <xf numFmtId="0" fontId="24" fillId="0" borderId="0" xfId="0" applyFont="1"/>
    <xf numFmtId="0" fontId="16" fillId="0" borderId="5" xfId="0" applyFont="1" applyBorder="1"/>
    <xf numFmtId="167" fontId="16" fillId="0" borderId="0" xfId="0" applyNumberFormat="1" applyFont="1"/>
    <xf numFmtId="0" fontId="8" fillId="0" borderId="0" xfId="0" applyFont="1"/>
    <xf numFmtId="2" fontId="16" fillId="0" borderId="0" xfId="0" applyNumberFormat="1" applyFont="1"/>
    <xf numFmtId="0" fontId="16" fillId="3" borderId="0" xfId="0" applyFont="1" applyFill="1"/>
    <xf numFmtId="0" fontId="28" fillId="0" borderId="0" xfId="0" applyFont="1"/>
    <xf numFmtId="0" fontId="29" fillId="0" borderId="0" xfId="0" applyFont="1"/>
    <xf numFmtId="169" fontId="16" fillId="0" borderId="0" xfId="0" applyNumberFormat="1" applyFont="1"/>
    <xf numFmtId="0" fontId="29" fillId="0" borderId="0" xfId="0" applyFont="1" applyAlignment="1">
      <alignment vertical="center"/>
    </xf>
    <xf numFmtId="0" fontId="29" fillId="0" borderId="0" xfId="0" applyFont="1" applyAlignment="1">
      <alignment horizontal="left"/>
    </xf>
    <xf numFmtId="0" fontId="16" fillId="0" borderId="0" xfId="0" quotePrefix="1" applyFont="1"/>
    <xf numFmtId="171" fontId="16" fillId="0" borderId="0" xfId="0" applyNumberFormat="1" applyFont="1"/>
    <xf numFmtId="0" fontId="30" fillId="0" borderId="0" xfId="0" applyFont="1"/>
    <xf numFmtId="0" fontId="0" fillId="21" borderId="0" xfId="0" applyFill="1"/>
    <xf numFmtId="0" fontId="16" fillId="21" borderId="0" xfId="0" applyFont="1" applyFill="1"/>
    <xf numFmtId="0" fontId="31" fillId="0" borderId="0" xfId="0" applyFont="1"/>
    <xf numFmtId="164" fontId="21" fillId="21" borderId="0" xfId="0" applyNumberFormat="1" applyFont="1" applyFill="1"/>
    <xf numFmtId="164" fontId="16" fillId="21" borderId="0" xfId="0" applyNumberFormat="1" applyFont="1" applyFill="1"/>
    <xf numFmtId="2" fontId="21" fillId="0" borderId="56" xfId="0" applyNumberFormat="1" applyFont="1" applyBorder="1"/>
    <xf numFmtId="2" fontId="21" fillId="0" borderId="0" xfId="0" applyNumberFormat="1" applyFont="1"/>
    <xf numFmtId="164" fontId="21" fillId="0" borderId="0" xfId="0" applyNumberFormat="1" applyFont="1"/>
    <xf numFmtId="165" fontId="16" fillId="0" borderId="0" xfId="0" applyNumberFormat="1" applyFont="1"/>
    <xf numFmtId="168" fontId="16" fillId="0" borderId="0" xfId="0" applyNumberFormat="1" applyFont="1"/>
    <xf numFmtId="0" fontId="16" fillId="19" borderId="0" xfId="0" applyFont="1" applyFill="1" applyAlignment="1">
      <alignment horizontal="center"/>
    </xf>
    <xf numFmtId="0" fontId="16" fillId="22" borderId="0" xfId="0" applyFont="1" applyFill="1" applyAlignment="1">
      <alignment horizontal="center"/>
    </xf>
    <xf numFmtId="0" fontId="16" fillId="10" borderId="0" xfId="0" applyFont="1" applyFill="1" applyAlignment="1">
      <alignment horizontal="center"/>
    </xf>
    <xf numFmtId="0" fontId="16" fillId="23" borderId="0" xfId="0" applyFont="1" applyFill="1"/>
    <xf numFmtId="0" fontId="0" fillId="26" borderId="0" xfId="0" applyFill="1"/>
    <xf numFmtId="0" fontId="0" fillId="28" borderId="0" xfId="0" applyFill="1"/>
    <xf numFmtId="0" fontId="16" fillId="24" borderId="0" xfId="0" applyFont="1" applyFill="1"/>
    <xf numFmtId="168" fontId="16" fillId="29" borderId="0" xfId="0" applyNumberFormat="1" applyFont="1" applyFill="1"/>
    <xf numFmtId="0" fontId="16" fillId="29" borderId="0" xfId="0" applyFont="1" applyFill="1"/>
    <xf numFmtId="171" fontId="16" fillId="29" borderId="0" xfId="0" applyNumberFormat="1" applyFont="1" applyFill="1"/>
    <xf numFmtId="169" fontId="16" fillId="29" borderId="0" xfId="0" applyNumberFormat="1" applyFont="1" applyFill="1"/>
    <xf numFmtId="167" fontId="16" fillId="29" borderId="0" xfId="0" applyNumberFormat="1" applyFont="1" applyFill="1"/>
    <xf numFmtId="0" fontId="16" fillId="0" borderId="20" xfId="0" applyFont="1" applyBorder="1"/>
    <xf numFmtId="0" fontId="16" fillId="0" borderId="26" xfId="0" applyFont="1" applyBorder="1"/>
    <xf numFmtId="0" fontId="16" fillId="0" borderId="27" xfId="0" applyFont="1" applyBorder="1"/>
    <xf numFmtId="0" fontId="16" fillId="28" borderId="23" xfId="0" applyFont="1" applyFill="1" applyBorder="1"/>
    <xf numFmtId="0" fontId="16" fillId="28" borderId="25" xfId="0" applyFont="1" applyFill="1" applyBorder="1"/>
    <xf numFmtId="170" fontId="0" fillId="0" borderId="1" xfId="0" applyNumberFormat="1" applyBorder="1"/>
    <xf numFmtId="0" fontId="0" fillId="0" borderId="50" xfId="0" applyBorder="1"/>
    <xf numFmtId="0" fontId="0" fillId="30" borderId="6" xfId="0" applyFill="1" applyBorder="1"/>
    <xf numFmtId="0" fontId="0" fillId="19" borderId="3" xfId="0" applyFill="1" applyBorder="1"/>
    <xf numFmtId="0" fontId="0" fillId="19" borderId="5" xfId="0" applyFill="1" applyBorder="1"/>
    <xf numFmtId="0" fontId="0" fillId="19" borderId="0" xfId="0" applyFill="1"/>
    <xf numFmtId="0" fontId="0" fillId="19" borderId="12" xfId="0" applyFill="1" applyBorder="1"/>
    <xf numFmtId="0" fontId="0" fillId="30" borderId="7" xfId="0" applyFill="1" applyBorder="1"/>
    <xf numFmtId="169" fontId="0" fillId="0" borderId="2" xfId="0" applyNumberFormat="1" applyBorder="1"/>
    <xf numFmtId="0" fontId="0" fillId="0" borderId="29" xfId="0" applyBorder="1"/>
    <xf numFmtId="170" fontId="0" fillId="0" borderId="2" xfId="0" applyNumberFormat="1" applyBorder="1"/>
    <xf numFmtId="1" fontId="16" fillId="0" borderId="0" xfId="0" applyNumberFormat="1" applyFont="1"/>
    <xf numFmtId="0" fontId="0" fillId="27" borderId="0" xfId="0" applyFill="1"/>
    <xf numFmtId="0" fontId="23" fillId="0" borderId="0" xfId="0" applyFont="1" applyAlignment="1">
      <alignment horizontal="center"/>
    </xf>
    <xf numFmtId="0" fontId="16" fillId="0" borderId="2" xfId="0" applyFont="1" applyBorder="1"/>
    <xf numFmtId="0" fontId="23" fillId="0" borderId="0" xfId="0" applyFont="1"/>
    <xf numFmtId="0" fontId="27" fillId="0" borderId="0" xfId="0" applyFont="1" applyAlignment="1">
      <alignment horizontal="center"/>
    </xf>
    <xf numFmtId="0" fontId="16" fillId="0" borderId="28" xfId="0" applyFont="1" applyBorder="1" applyAlignment="1">
      <alignment horizontal="center"/>
    </xf>
    <xf numFmtId="0" fontId="16" fillId="0" borderId="9" xfId="0" applyFont="1" applyBorder="1"/>
    <xf numFmtId="0" fontId="16" fillId="0" borderId="6" xfId="0" applyFont="1" applyBorder="1"/>
    <xf numFmtId="0" fontId="16" fillId="0" borderId="1" xfId="0" applyFont="1" applyBorder="1" applyAlignment="1">
      <alignment horizontal="center"/>
    </xf>
    <xf numFmtId="0" fontId="16" fillId="0" borderId="28" xfId="0" applyFont="1" applyBorder="1"/>
    <xf numFmtId="0" fontId="16" fillId="0" borderId="7" xfId="0" applyFont="1" applyBorder="1"/>
    <xf numFmtId="0" fontId="16" fillId="0" borderId="10" xfId="0" applyFont="1" applyBorder="1"/>
    <xf numFmtId="2" fontId="16" fillId="0" borderId="2" xfId="0" applyNumberFormat="1" applyFont="1" applyBorder="1"/>
    <xf numFmtId="2" fontId="16" fillId="0" borderId="7" xfId="0" applyNumberFormat="1" applyFont="1" applyBorder="1"/>
    <xf numFmtId="2" fontId="16" fillId="0" borderId="10" xfId="0" applyNumberFormat="1" applyFont="1" applyBorder="1"/>
    <xf numFmtId="167" fontId="16" fillId="0" borderId="28" xfId="0" applyNumberFormat="1" applyFont="1" applyBorder="1"/>
    <xf numFmtId="164" fontId="16" fillId="0" borderId="2" xfId="0" applyNumberFormat="1" applyFont="1" applyBorder="1"/>
    <xf numFmtId="167" fontId="16" fillId="0" borderId="2" xfId="0" applyNumberFormat="1" applyFont="1" applyBorder="1"/>
    <xf numFmtId="0" fontId="0" fillId="0" borderId="1" xfId="0" applyBorder="1" applyAlignment="1">
      <alignment horizontal="center"/>
    </xf>
    <xf numFmtId="167" fontId="16" fillId="0" borderId="7" xfId="0" applyNumberFormat="1" applyFont="1" applyBorder="1"/>
    <xf numFmtId="171" fontId="0" fillId="0" borderId="7" xfId="0" applyNumberFormat="1" applyBorder="1"/>
    <xf numFmtId="0" fontId="16" fillId="0" borderId="56" xfId="0" applyFont="1" applyBorder="1"/>
    <xf numFmtId="164" fontId="16" fillId="0" borderId="56" xfId="0" applyNumberFormat="1" applyFont="1" applyBorder="1"/>
    <xf numFmtId="169" fontId="16" fillId="0" borderId="28" xfId="0" applyNumberFormat="1" applyFont="1" applyBorder="1"/>
    <xf numFmtId="170" fontId="16" fillId="0" borderId="28" xfId="0" applyNumberFormat="1" applyFont="1" applyBorder="1"/>
    <xf numFmtId="0" fontId="0" fillId="0" borderId="5" xfId="0" applyBorder="1"/>
    <xf numFmtId="0" fontId="0" fillId="0" borderId="9" xfId="0" applyBorder="1"/>
    <xf numFmtId="0" fontId="0" fillId="0" borderId="10" xfId="0" applyBorder="1"/>
    <xf numFmtId="171" fontId="16" fillId="0" borderId="2" xfId="0" applyNumberFormat="1" applyFont="1" applyBorder="1"/>
    <xf numFmtId="2" fontId="16" fillId="0" borderId="65" xfId="0" applyNumberFormat="1" applyFont="1" applyBorder="1"/>
    <xf numFmtId="2" fontId="16" fillId="0" borderId="66" xfId="0" applyNumberFormat="1" applyFont="1" applyBorder="1"/>
    <xf numFmtId="0" fontId="1" fillId="0" borderId="0" xfId="0" applyFont="1" applyAlignment="1">
      <alignment horizontal="center"/>
    </xf>
    <xf numFmtId="0" fontId="18" fillId="0" borderId="2" xfId="0" applyFont="1" applyBorder="1"/>
    <xf numFmtId="0" fontId="7" fillId="0" borderId="0" xfId="0" applyFont="1"/>
    <xf numFmtId="0" fontId="0" fillId="0" borderId="5" xfId="0" applyBorder="1" applyAlignment="1">
      <alignment horizontal="center"/>
    </xf>
    <xf numFmtId="0" fontId="0" fillId="0" borderId="50" xfId="0" applyBorder="1" applyAlignment="1">
      <alignment horizontal="center"/>
    </xf>
    <xf numFmtId="0" fontId="0" fillId="0" borderId="9" xfId="0" applyBorder="1" applyAlignment="1">
      <alignment horizontal="center"/>
    </xf>
    <xf numFmtId="0" fontId="0" fillId="0" borderId="11" xfId="0" applyBorder="1"/>
    <xf numFmtId="0" fontId="0" fillId="0" borderId="6" xfId="0" applyBorder="1"/>
    <xf numFmtId="0" fontId="0" fillId="0" borderId="67" xfId="0" applyBorder="1"/>
    <xf numFmtId="0" fontId="0" fillId="0" borderId="7" xfId="0" applyBorder="1"/>
    <xf numFmtId="2" fontId="0" fillId="0" borderId="2" xfId="0" applyNumberFormat="1" applyBorder="1"/>
    <xf numFmtId="2" fontId="0" fillId="0" borderId="70" xfId="0" applyNumberFormat="1" applyBorder="1"/>
    <xf numFmtId="2" fontId="0" fillId="0" borderId="74" xfId="0" applyNumberFormat="1" applyBorder="1"/>
    <xf numFmtId="167" fontId="0" fillId="0" borderId="2" xfId="0" applyNumberFormat="1" applyBorder="1"/>
    <xf numFmtId="171" fontId="0" fillId="0" borderId="2" xfId="0" applyNumberFormat="1" applyBorder="1"/>
    <xf numFmtId="1" fontId="16" fillId="0" borderId="2" xfId="0" applyNumberFormat="1" applyFont="1" applyBorder="1"/>
    <xf numFmtId="0" fontId="0" fillId="0" borderId="76" xfId="0" applyBorder="1"/>
    <xf numFmtId="169" fontId="0" fillId="0" borderId="0" xfId="0" applyNumberFormat="1"/>
    <xf numFmtId="0" fontId="16" fillId="3" borderId="1" xfId="0" applyFont="1" applyFill="1" applyBorder="1"/>
    <xf numFmtId="0" fontId="16" fillId="3" borderId="2" xfId="0" applyFont="1" applyFill="1" applyBorder="1"/>
    <xf numFmtId="164" fontId="32" fillId="31" borderId="0" xfId="0" applyNumberFormat="1" applyFont="1" applyFill="1"/>
    <xf numFmtId="2" fontId="32" fillId="31" borderId="0" xfId="0" applyNumberFormat="1" applyFont="1" applyFill="1"/>
    <xf numFmtId="0" fontId="32" fillId="31" borderId="0" xfId="0" applyFont="1" applyFill="1"/>
    <xf numFmtId="0" fontId="16" fillId="32" borderId="2" xfId="0" applyFont="1" applyFill="1" applyBorder="1"/>
    <xf numFmtId="1" fontId="0" fillId="32" borderId="0" xfId="0" applyNumberFormat="1" applyFill="1"/>
    <xf numFmtId="0" fontId="0" fillId="32" borderId="2" xfId="0" applyFill="1" applyBorder="1"/>
    <xf numFmtId="0" fontId="16" fillId="8" borderId="0" xfId="0" applyFont="1" applyFill="1"/>
    <xf numFmtId="2" fontId="32" fillId="31" borderId="0" xfId="0" applyNumberFormat="1" applyFont="1" applyFill="1" applyAlignment="1">
      <alignment horizontal="left" indent="2"/>
    </xf>
    <xf numFmtId="1" fontId="0" fillId="8" borderId="0" xfId="0" applyNumberFormat="1" applyFill="1"/>
    <xf numFmtId="2" fontId="16" fillId="8" borderId="0" xfId="0" applyNumberFormat="1" applyFont="1" applyFill="1"/>
    <xf numFmtId="170" fontId="16" fillId="8" borderId="0" xfId="0" applyNumberFormat="1" applyFont="1" applyFill="1"/>
    <xf numFmtId="164" fontId="16" fillId="8" borderId="0" xfId="0" applyNumberFormat="1" applyFont="1" applyFill="1"/>
    <xf numFmtId="0" fontId="16" fillId="8" borderId="2" xfId="0" applyFont="1" applyFill="1" applyBorder="1"/>
    <xf numFmtId="172" fontId="16" fillId="8" borderId="0" xfId="0" applyNumberFormat="1" applyFont="1" applyFill="1"/>
    <xf numFmtId="165" fontId="16" fillId="8" borderId="2" xfId="0" applyNumberFormat="1" applyFont="1" applyFill="1" applyBorder="1"/>
    <xf numFmtId="167" fontId="16" fillId="8" borderId="2" xfId="0" applyNumberFormat="1" applyFont="1" applyFill="1" applyBorder="1"/>
    <xf numFmtId="169" fontId="16" fillId="8" borderId="2" xfId="0" applyNumberFormat="1" applyFont="1" applyFill="1" applyBorder="1"/>
    <xf numFmtId="168" fontId="16" fillId="8" borderId="2" xfId="0" applyNumberFormat="1" applyFont="1" applyFill="1" applyBorder="1"/>
    <xf numFmtId="167" fontId="16" fillId="8" borderId="0" xfId="0" applyNumberFormat="1" applyFont="1" applyFill="1"/>
    <xf numFmtId="171" fontId="16" fillId="8" borderId="2" xfId="0" applyNumberFormat="1" applyFont="1" applyFill="1" applyBorder="1"/>
    <xf numFmtId="11" fontId="16" fillId="0" borderId="2" xfId="0" applyNumberFormat="1" applyFont="1" applyBorder="1"/>
    <xf numFmtId="11" fontId="16" fillId="8" borderId="2" xfId="0" applyNumberFormat="1" applyFont="1" applyFill="1" applyBorder="1"/>
    <xf numFmtId="11" fontId="16" fillId="8" borderId="0" xfId="0" applyNumberFormat="1" applyFont="1" applyFill="1"/>
    <xf numFmtId="11" fontId="16" fillId="0" borderId="0" xfId="0" applyNumberFormat="1" applyFont="1"/>
    <xf numFmtId="11" fontId="33" fillId="0" borderId="0" xfId="0" applyNumberFormat="1" applyFont="1"/>
    <xf numFmtId="2" fontId="16" fillId="32" borderId="2" xfId="0" applyNumberFormat="1" applyFont="1" applyFill="1" applyBorder="1"/>
    <xf numFmtId="2" fontId="16" fillId="32" borderId="28" xfId="0" applyNumberFormat="1" applyFont="1" applyFill="1" applyBorder="1"/>
    <xf numFmtId="1" fontId="16" fillId="32" borderId="2" xfId="0" applyNumberFormat="1" applyFont="1" applyFill="1" applyBorder="1"/>
    <xf numFmtId="1" fontId="0" fillId="0" borderId="2" xfId="0" applyNumberFormat="1" applyBorder="1"/>
    <xf numFmtId="0" fontId="16" fillId="0" borderId="0" xfId="0" applyFont="1" applyAlignment="1">
      <alignment wrapText="1"/>
    </xf>
    <xf numFmtId="164" fontId="16" fillId="28" borderId="0" xfId="0" applyNumberFormat="1" applyFont="1" applyFill="1"/>
    <xf numFmtId="167" fontId="16" fillId="0" borderId="28" xfId="0" applyNumberFormat="1" applyFont="1" applyBorder="1" applyAlignment="1">
      <alignment horizontal="left"/>
    </xf>
    <xf numFmtId="2" fontId="16" fillId="28" borderId="0" xfId="0" applyNumberFormat="1" applyFont="1" applyFill="1"/>
    <xf numFmtId="166" fontId="16" fillId="0" borderId="0" xfId="0" applyNumberFormat="1" applyFont="1"/>
    <xf numFmtId="164" fontId="16" fillId="8" borderId="56" xfId="0" applyNumberFormat="1" applyFont="1" applyFill="1" applyBorder="1"/>
    <xf numFmtId="167" fontId="0" fillId="8" borderId="2" xfId="0" applyNumberFormat="1" applyFill="1" applyBorder="1"/>
    <xf numFmtId="167" fontId="0" fillId="0" borderId="68" xfId="0" applyNumberFormat="1" applyBorder="1"/>
    <xf numFmtId="167" fontId="0" fillId="0" borderId="77" xfId="0" applyNumberFormat="1" applyBorder="1"/>
    <xf numFmtId="167" fontId="0" fillId="0" borderId="78" xfId="0" applyNumberFormat="1" applyBorder="1"/>
    <xf numFmtId="167" fontId="0" fillId="0" borderId="79" xfId="0" applyNumberFormat="1" applyBorder="1"/>
    <xf numFmtId="167" fontId="0" fillId="0" borderId="26" xfId="0" applyNumberFormat="1" applyBorder="1"/>
    <xf numFmtId="167" fontId="0" fillId="0" borderId="37" xfId="0" applyNumberFormat="1" applyBorder="1"/>
    <xf numFmtId="167" fontId="0" fillId="0" borderId="74" xfId="0" applyNumberFormat="1" applyBorder="1"/>
    <xf numFmtId="167" fontId="0" fillId="0" borderId="71" xfId="0" applyNumberFormat="1" applyBorder="1"/>
    <xf numFmtId="167" fontId="0" fillId="0" borderId="72" xfId="0" applyNumberFormat="1" applyBorder="1"/>
    <xf numFmtId="167" fontId="0" fillId="0" borderId="75" xfId="0" applyNumberFormat="1" applyBorder="1"/>
    <xf numFmtId="167" fontId="0" fillId="0" borderId="13" xfId="0" applyNumberFormat="1" applyBorder="1"/>
    <xf numFmtId="167" fontId="0" fillId="0" borderId="29" xfId="0" applyNumberFormat="1" applyBorder="1"/>
    <xf numFmtId="0" fontId="34" fillId="0" borderId="0" xfId="0" applyFont="1"/>
    <xf numFmtId="164" fontId="16" fillId="8" borderId="2" xfId="0" applyNumberFormat="1" applyFont="1" applyFill="1" applyBorder="1"/>
    <xf numFmtId="0" fontId="0" fillId="0" borderId="0" xfId="0" applyAlignment="1">
      <alignment wrapText="1"/>
    </xf>
    <xf numFmtId="164" fontId="0" fillId="0" borderId="2" xfId="0" applyNumberFormat="1" applyBorder="1"/>
    <xf numFmtId="164" fontId="0" fillId="8" borderId="2" xfId="0" applyNumberFormat="1" applyFill="1" applyBorder="1"/>
    <xf numFmtId="0" fontId="35" fillId="0" borderId="0" xfId="4"/>
    <xf numFmtId="166" fontId="16" fillId="32" borderId="2" xfId="0" applyNumberFormat="1" applyFont="1" applyFill="1" applyBorder="1"/>
    <xf numFmtId="165" fontId="16" fillId="0" borderId="2" xfId="0" applyNumberFormat="1" applyFont="1" applyBorder="1"/>
    <xf numFmtId="165" fontId="16" fillId="0" borderId="10" xfId="0" applyNumberFormat="1" applyFont="1" applyBorder="1"/>
    <xf numFmtId="169" fontId="0" fillId="8" borderId="0" xfId="0" applyNumberFormat="1" applyFill="1"/>
    <xf numFmtId="165" fontId="16" fillId="8" borderId="0" xfId="0" applyNumberFormat="1" applyFont="1" applyFill="1"/>
    <xf numFmtId="165" fontId="16" fillId="0" borderId="56" xfId="0" applyNumberFormat="1" applyFont="1" applyBorder="1"/>
    <xf numFmtId="165" fontId="16" fillId="8" borderId="56" xfId="0" applyNumberFormat="1" applyFont="1" applyFill="1" applyBorder="1"/>
    <xf numFmtId="167" fontId="16" fillId="32" borderId="2" xfId="0" applyNumberFormat="1" applyFont="1" applyFill="1" applyBorder="1"/>
    <xf numFmtId="164" fontId="16" fillId="0" borderId="0" xfId="0" applyNumberFormat="1" applyFont="1" applyAlignment="1">
      <alignment horizontal="center" vertical="center"/>
    </xf>
    <xf numFmtId="164" fontId="16" fillId="0" borderId="1" xfId="0" applyNumberFormat="1" applyFont="1" applyBorder="1" applyAlignment="1">
      <alignment horizontal="center" vertical="center"/>
    </xf>
    <xf numFmtId="164" fontId="16" fillId="0" borderId="55" xfId="0" applyNumberFormat="1" applyFont="1" applyBorder="1" applyAlignment="1">
      <alignment horizontal="center" vertical="center"/>
    </xf>
    <xf numFmtId="0" fontId="23" fillId="0" borderId="0" xfId="0" applyFont="1" applyAlignment="1">
      <alignment horizontal="center"/>
    </xf>
    <xf numFmtId="0" fontId="16" fillId="0" borderId="0" xfId="0" applyFont="1" applyAlignment="1">
      <alignment horizontal="center"/>
    </xf>
    <xf numFmtId="0" fontId="16" fillId="0" borderId="1" xfId="0" applyFont="1" applyBorder="1" applyAlignment="1">
      <alignment horizontal="center"/>
    </xf>
    <xf numFmtId="0" fontId="16" fillId="0" borderId="7" xfId="0" applyFont="1" applyBorder="1" applyAlignment="1">
      <alignment horizontal="center"/>
    </xf>
    <xf numFmtId="0" fontId="16" fillId="0" borderId="2" xfId="0" applyFont="1" applyBorder="1" applyAlignment="1">
      <alignment horizontal="center"/>
    </xf>
    <xf numFmtId="0" fontId="16" fillId="0" borderId="29" xfId="0" applyFont="1" applyBorder="1" applyAlignment="1">
      <alignment horizontal="center"/>
    </xf>
    <xf numFmtId="0" fontId="16" fillId="22" borderId="0" xfId="0" applyFont="1" applyFill="1" applyAlignment="1">
      <alignment horizontal="center"/>
    </xf>
    <xf numFmtId="0" fontId="16" fillId="19" borderId="0" xfId="0" applyFont="1" applyFill="1" applyAlignment="1">
      <alignment horizontal="center"/>
    </xf>
    <xf numFmtId="0" fontId="16" fillId="0" borderId="28" xfId="0" applyFont="1" applyBorder="1" applyAlignment="1">
      <alignment horizontal="center"/>
    </xf>
    <xf numFmtId="0" fontId="23" fillId="0" borderId="28" xfId="0" applyFont="1" applyBorder="1" applyAlignment="1">
      <alignment horizontal="center"/>
    </xf>
    <xf numFmtId="0" fontId="16" fillId="10" borderId="0" xfId="0" applyFont="1" applyFill="1" applyAlignment="1">
      <alignment horizontal="center"/>
    </xf>
    <xf numFmtId="0" fontId="16" fillId="25" borderId="0" xfId="0" applyFont="1" applyFill="1" applyAlignment="1">
      <alignment horizontal="center"/>
    </xf>
    <xf numFmtId="0" fontId="16" fillId="0" borderId="1" xfId="0" applyFont="1" applyBorder="1" applyAlignment="1">
      <alignment horizontal="left"/>
    </xf>
    <xf numFmtId="0" fontId="16" fillId="0" borderId="3" xfId="0" applyFont="1" applyBorder="1" applyAlignment="1">
      <alignment horizontal="center"/>
    </xf>
    <xf numFmtId="0" fontId="16" fillId="0" borderId="4" xfId="0" applyFont="1" applyBorder="1" applyAlignment="1">
      <alignment horizontal="center"/>
    </xf>
    <xf numFmtId="0" fontId="16" fillId="0" borderId="51" xfId="0" applyFont="1" applyBorder="1" applyAlignment="1">
      <alignment horizontal="center"/>
    </xf>
    <xf numFmtId="0" fontId="16" fillId="0" borderId="5" xfId="0" applyFont="1" applyBorder="1" applyAlignment="1">
      <alignment horizontal="center"/>
    </xf>
    <xf numFmtId="0" fontId="16" fillId="0" borderId="12" xfId="0" applyFont="1" applyBorder="1" applyAlignment="1">
      <alignment horizontal="center"/>
    </xf>
    <xf numFmtId="0" fontId="23" fillId="3" borderId="0" xfId="0" applyFont="1" applyFill="1" applyAlignment="1">
      <alignment horizontal="center"/>
    </xf>
    <xf numFmtId="0" fontId="23" fillId="3" borderId="12" xfId="0" applyFont="1" applyFill="1" applyBorder="1" applyAlignment="1">
      <alignment horizontal="center"/>
    </xf>
    <xf numFmtId="2" fontId="16" fillId="0" borderId="0" xfId="0" applyNumberFormat="1" applyFont="1" applyAlignment="1">
      <alignment horizontal="center"/>
    </xf>
    <xf numFmtId="0" fontId="16" fillId="0" borderId="28" xfId="0" applyFont="1" applyBorder="1" applyAlignment="1">
      <alignment horizontal="center" wrapText="1"/>
    </xf>
    <xf numFmtId="0" fontId="16" fillId="11" borderId="21" xfId="0" applyFont="1" applyFill="1" applyBorder="1" applyAlignment="1">
      <alignment horizontal="center"/>
    </xf>
    <xf numFmtId="0" fontId="16" fillId="11" borderId="22" xfId="0" applyFont="1" applyFill="1" applyBorder="1" applyAlignment="1">
      <alignment horizontal="center"/>
    </xf>
    <xf numFmtId="0" fontId="16" fillId="3" borderId="0" xfId="0" applyFont="1" applyFill="1" applyAlignment="1">
      <alignment horizontal="center"/>
    </xf>
    <xf numFmtId="0" fontId="16" fillId="3" borderId="12" xfId="0" applyFont="1" applyFill="1" applyBorder="1" applyAlignment="1">
      <alignment horizontal="center"/>
    </xf>
    <xf numFmtId="0" fontId="30" fillId="5" borderId="0" xfId="0" applyFont="1" applyFill="1" applyAlignment="1">
      <alignment horizontal="center"/>
    </xf>
    <xf numFmtId="0" fontId="0" fillId="0" borderId="1" xfId="0" applyBorder="1" applyAlignment="1">
      <alignment horizontal="center"/>
    </xf>
    <xf numFmtId="0" fontId="0" fillId="0" borderId="0" xfId="0" applyAlignment="1">
      <alignment horizontal="center"/>
    </xf>
    <xf numFmtId="0" fontId="27" fillId="0" borderId="0" xfId="0" applyFont="1" applyAlignment="1">
      <alignment horizontal="center"/>
    </xf>
    <xf numFmtId="0" fontId="0" fillId="19" borderId="51" xfId="0" applyFill="1" applyBorder="1" applyAlignment="1">
      <alignment horizontal="center"/>
    </xf>
    <xf numFmtId="0" fontId="0" fillId="19" borderId="4" xfId="0" applyFill="1" applyBorder="1" applyAlignment="1">
      <alignment horizontal="center"/>
    </xf>
    <xf numFmtId="0" fontId="23" fillId="0" borderId="7" xfId="0" applyFont="1" applyBorder="1" applyAlignment="1">
      <alignment horizontal="center"/>
    </xf>
    <xf numFmtId="0" fontId="23" fillId="0" borderId="2" xfId="0" applyFont="1" applyBorder="1" applyAlignment="1">
      <alignment horizontal="center"/>
    </xf>
    <xf numFmtId="0" fontId="23" fillId="0" borderId="29" xfId="0" applyFont="1" applyBorder="1" applyAlignment="1">
      <alignment horizontal="center"/>
    </xf>
    <xf numFmtId="0" fontId="23" fillId="0" borderId="1" xfId="0" applyFont="1" applyBorder="1" applyAlignment="1">
      <alignment horizontal="center"/>
    </xf>
    <xf numFmtId="0" fontId="1" fillId="0" borderId="0" xfId="0" applyFont="1" applyAlignment="1">
      <alignment horizontal="center"/>
    </xf>
    <xf numFmtId="0" fontId="1" fillId="0" borderId="1" xfId="0" applyFont="1" applyBorder="1" applyAlignment="1">
      <alignment horizontal="center"/>
    </xf>
    <xf numFmtId="0" fontId="0" fillId="0" borderId="2" xfId="0" applyBorder="1" applyAlignment="1">
      <alignment horizontal="center"/>
    </xf>
    <xf numFmtId="0" fontId="0" fillId="0" borderId="11" xfId="0" applyBorder="1" applyAlignment="1">
      <alignment horizontal="center"/>
    </xf>
    <xf numFmtId="0" fontId="0" fillId="0" borderId="50" xfId="0" applyBorder="1" applyAlignment="1">
      <alignment horizontal="center"/>
    </xf>
    <xf numFmtId="0" fontId="0" fillId="0" borderId="6" xfId="0" applyBorder="1" applyAlignment="1">
      <alignment horizontal="center"/>
    </xf>
    <xf numFmtId="0" fontId="0" fillId="0" borderId="14" xfId="0" applyBorder="1" applyAlignment="1">
      <alignment horizontal="center"/>
    </xf>
    <xf numFmtId="0" fontId="0" fillId="0" borderId="69" xfId="0" applyBorder="1" applyAlignment="1">
      <alignment horizontal="center"/>
    </xf>
    <xf numFmtId="0" fontId="0" fillId="0" borderId="12" xfId="0" applyBorder="1" applyAlignment="1">
      <alignment horizontal="center"/>
    </xf>
    <xf numFmtId="0" fontId="0" fillId="0" borderId="15" xfId="0" applyBorder="1" applyAlignment="1">
      <alignment horizontal="center"/>
    </xf>
    <xf numFmtId="0" fontId="0" fillId="0" borderId="73" xfId="0" applyBorder="1" applyAlignment="1">
      <alignment horizontal="center"/>
    </xf>
    <xf numFmtId="0" fontId="0" fillId="0" borderId="17" xfId="0" applyBorder="1" applyAlignment="1">
      <alignment horizontal="center"/>
    </xf>
    <xf numFmtId="0" fontId="0" fillId="0" borderId="9" xfId="0" applyBorder="1" applyAlignment="1">
      <alignment horizontal="center"/>
    </xf>
    <xf numFmtId="0" fontId="0" fillId="0" borderId="16" xfId="0" applyBorder="1" applyAlignment="1">
      <alignment horizontal="center"/>
    </xf>
    <xf numFmtId="0" fontId="0" fillId="0" borderId="5" xfId="0" applyBorder="1" applyAlignment="1">
      <alignment horizontal="center"/>
    </xf>
    <xf numFmtId="0" fontId="0" fillId="0" borderId="8" xfId="0" applyBorder="1" applyAlignment="1">
      <alignment horizontal="center"/>
    </xf>
    <xf numFmtId="2" fontId="0" fillId="0" borderId="0" xfId="0" applyNumberFormat="1" applyAlignment="1">
      <alignment horizontal="center"/>
    </xf>
    <xf numFmtId="0" fontId="0" fillId="11" borderId="20" xfId="0" applyFill="1" applyBorder="1" applyAlignment="1">
      <alignment horizontal="center"/>
    </xf>
    <xf numFmtId="0" fontId="0" fillId="11" borderId="21" xfId="0" applyFill="1" applyBorder="1" applyAlignment="1">
      <alignment horizontal="center"/>
    </xf>
    <xf numFmtId="0" fontId="0" fillId="5" borderId="7" xfId="0" applyFill="1" applyBorder="1" applyAlignment="1">
      <alignment horizontal="center"/>
    </xf>
    <xf numFmtId="0" fontId="0" fillId="5" borderId="2" xfId="0" applyFill="1" applyBorder="1" applyAlignment="1">
      <alignment horizontal="center"/>
    </xf>
    <xf numFmtId="0" fontId="0" fillId="5" borderId="29" xfId="0" applyFill="1" applyBorder="1" applyAlignment="1">
      <alignment horizontal="center"/>
    </xf>
    <xf numFmtId="0" fontId="0" fillId="5" borderId="0" xfId="0" applyFill="1" applyAlignment="1">
      <alignment horizontal="center"/>
    </xf>
    <xf numFmtId="0" fontId="0" fillId="11" borderId="47" xfId="0" applyFill="1" applyBorder="1" applyAlignment="1">
      <alignment horizontal="center"/>
    </xf>
    <xf numFmtId="0" fontId="0" fillId="11" borderId="48" xfId="0" applyFill="1" applyBorder="1" applyAlignment="1">
      <alignment horizontal="center"/>
    </xf>
    <xf numFmtId="0" fontId="11" fillId="0" borderId="46" xfId="0" applyFont="1" applyBorder="1" applyAlignment="1">
      <alignment horizontal="center" vertical="center" wrapText="1"/>
    </xf>
    <xf numFmtId="0" fontId="11" fillId="0" borderId="35" xfId="0" applyFont="1" applyBorder="1" applyAlignment="1">
      <alignment horizontal="center" vertical="center" wrapText="1"/>
    </xf>
    <xf numFmtId="0" fontId="5" fillId="0" borderId="44" xfId="0" applyFont="1" applyBorder="1" applyAlignment="1">
      <alignment horizontal="center" vertical="center" wrapText="1"/>
    </xf>
    <xf numFmtId="0" fontId="5" fillId="0" borderId="33"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36" xfId="0" applyFont="1" applyBorder="1" applyAlignment="1">
      <alignment horizontal="center" vertical="center" wrapText="1"/>
    </xf>
    <xf numFmtId="0" fontId="10" fillId="13" borderId="39" xfId="0" applyFont="1" applyFill="1" applyBorder="1" applyAlignment="1">
      <alignment horizontal="center" vertical="center" wrapText="1"/>
    </xf>
    <xf numFmtId="0" fontId="10" fillId="13" borderId="40" xfId="0" applyFont="1" applyFill="1" applyBorder="1" applyAlignment="1">
      <alignment horizontal="center" vertical="center" wrapText="1"/>
    </xf>
    <xf numFmtId="0" fontId="10" fillId="13" borderId="31" xfId="0" applyFont="1" applyFill="1" applyBorder="1" applyAlignment="1">
      <alignment horizontal="center" vertical="center" wrapText="1"/>
    </xf>
    <xf numFmtId="0" fontId="5" fillId="15" borderId="42" xfId="0" applyFont="1" applyFill="1" applyBorder="1" applyAlignment="1">
      <alignment horizontal="center" vertical="center" wrapText="1"/>
    </xf>
    <xf numFmtId="0" fontId="5" fillId="15" borderId="33" xfId="0" applyFont="1" applyFill="1" applyBorder="1" applyAlignment="1">
      <alignment horizontal="center" vertical="center" wrapText="1"/>
    </xf>
    <xf numFmtId="0" fontId="11" fillId="0" borderId="38" xfId="0" applyFont="1" applyBorder="1" applyAlignment="1">
      <alignment horizontal="center" vertical="center" wrapText="1"/>
    </xf>
    <xf numFmtId="0" fontId="5" fillId="14" borderId="42" xfId="0" applyFont="1" applyFill="1" applyBorder="1" applyAlignment="1">
      <alignment horizontal="center" vertical="center" wrapText="1"/>
    </xf>
    <xf numFmtId="0" fontId="5" fillId="14" borderId="43" xfId="0" applyFont="1" applyFill="1" applyBorder="1" applyAlignment="1">
      <alignment horizontal="center" vertical="center" wrapText="1"/>
    </xf>
    <xf numFmtId="0" fontId="5" fillId="15" borderId="44" xfId="0" applyFont="1" applyFill="1" applyBorder="1" applyAlignment="1">
      <alignment horizontal="center" vertical="center" wrapText="1"/>
    </xf>
    <xf numFmtId="0" fontId="5" fillId="15" borderId="43" xfId="0" applyFont="1" applyFill="1" applyBorder="1" applyAlignment="1">
      <alignment horizontal="center" vertical="center" wrapText="1"/>
    </xf>
    <xf numFmtId="0" fontId="5" fillId="14" borderId="44" xfId="0" applyFont="1" applyFill="1" applyBorder="1" applyAlignment="1">
      <alignment horizontal="center" vertical="center" wrapText="1"/>
    </xf>
    <xf numFmtId="0" fontId="5" fillId="14" borderId="33" xfId="0" applyFont="1" applyFill="1" applyBorder="1" applyAlignment="1">
      <alignment horizontal="center" vertical="center" wrapText="1"/>
    </xf>
    <xf numFmtId="14" fontId="11" fillId="0" borderId="41" xfId="0" applyNumberFormat="1" applyFont="1" applyBorder="1" applyAlignment="1">
      <alignment horizontal="center" vertical="center" wrapText="1"/>
    </xf>
    <xf numFmtId="14" fontId="11" fillId="0" borderId="36" xfId="0" applyNumberFormat="1" applyFont="1" applyBorder="1" applyAlignment="1">
      <alignment horizontal="center" vertical="center" wrapText="1"/>
    </xf>
    <xf numFmtId="14" fontId="11" fillId="0" borderId="35" xfId="0" applyNumberFormat="1" applyFont="1" applyBorder="1" applyAlignment="1">
      <alignment horizontal="center" vertical="center" wrapText="1"/>
    </xf>
    <xf numFmtId="0" fontId="5" fillId="0" borderId="42" xfId="0" applyFont="1" applyBorder="1" applyAlignment="1">
      <alignment horizontal="center" vertical="center" wrapText="1"/>
    </xf>
    <xf numFmtId="0" fontId="5" fillId="0" borderId="43" xfId="0" applyFont="1" applyBorder="1" applyAlignment="1">
      <alignment horizontal="center" vertical="center" wrapText="1"/>
    </xf>
    <xf numFmtId="0" fontId="5" fillId="0" borderId="45" xfId="0" applyFont="1" applyBorder="1" applyAlignment="1">
      <alignment horizontal="center" vertical="center" wrapText="1"/>
    </xf>
    <xf numFmtId="0" fontId="10" fillId="0" borderId="41"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13" xfId="0" applyBorder="1" applyAlignment="1">
      <alignment horizontal="center"/>
    </xf>
    <xf numFmtId="0" fontId="5" fillId="14" borderId="45" xfId="0" applyFont="1" applyFill="1" applyBorder="1" applyAlignment="1">
      <alignment horizontal="center" vertical="center" wrapText="1"/>
    </xf>
    <xf numFmtId="164" fontId="0" fillId="0" borderId="0" xfId="0" applyNumberFormat="1" applyAlignment="1">
      <alignment horizontal="center"/>
    </xf>
    <xf numFmtId="167" fontId="22" fillId="17" borderId="57" xfId="3" applyNumberFormat="1" applyAlignment="1">
      <alignment horizontal="center"/>
    </xf>
    <xf numFmtId="0" fontId="0" fillId="16" borderId="0" xfId="0" applyFill="1" applyAlignment="1">
      <alignment horizontal="center"/>
    </xf>
    <xf numFmtId="0" fontId="0" fillId="16" borderId="20" xfId="0" applyFill="1" applyBorder="1" applyAlignment="1">
      <alignment horizontal="center"/>
    </xf>
    <xf numFmtId="0" fontId="0" fillId="16" borderId="21" xfId="0" applyFill="1" applyBorder="1" applyAlignment="1">
      <alignment horizontal="center"/>
    </xf>
    <xf numFmtId="0" fontId="0" fillId="16" borderId="22" xfId="0" applyFill="1" applyBorder="1" applyAlignment="1">
      <alignment horizontal="center"/>
    </xf>
    <xf numFmtId="169" fontId="22" fillId="17" borderId="63" xfId="3" applyNumberFormat="1" applyBorder="1" applyAlignment="1">
      <alignment horizontal="center"/>
    </xf>
    <xf numFmtId="169" fontId="22" fillId="17" borderId="64" xfId="3" applyNumberFormat="1" applyBorder="1" applyAlignment="1">
      <alignment horizontal="center"/>
    </xf>
    <xf numFmtId="0" fontId="0" fillId="19" borderId="28" xfId="0" applyFill="1" applyBorder="1" applyAlignment="1">
      <alignment horizontal="center"/>
    </xf>
    <xf numFmtId="0" fontId="0" fillId="16" borderId="60" xfId="0" applyFill="1" applyBorder="1" applyAlignment="1">
      <alignment horizontal="center"/>
    </xf>
    <xf numFmtId="0" fontId="0" fillId="16" borderId="61" xfId="0" applyFill="1" applyBorder="1" applyAlignment="1">
      <alignment horizontal="center"/>
    </xf>
    <xf numFmtId="0" fontId="0" fillId="16" borderId="62" xfId="0" applyFill="1" applyBorder="1" applyAlignment="1">
      <alignment horizontal="center"/>
    </xf>
    <xf numFmtId="169" fontId="16" fillId="8" borderId="0" xfId="0" applyNumberFormat="1" applyFont="1" applyFill="1"/>
  </cellXfs>
  <cellStyles count="5">
    <cellStyle name="Calculation" xfId="3" builtinId="22"/>
    <cellStyle name="Hyperlink" xfId="2" builtinId="8"/>
    <cellStyle name="Normal" xfId="0" builtinId="0"/>
    <cellStyle name="Normal 2" xfId="4" xr:uid="{50A2152E-E981-4DFF-A837-DB706B976890}"/>
    <cellStyle name="Percent" xfId="1" builtinId="5"/>
  </cellStyles>
  <dxfs count="13">
    <dxf>
      <font>
        <b val="0"/>
        <i val="0"/>
        <strike val="0"/>
        <condense val="0"/>
        <extend val="0"/>
        <outline val="0"/>
        <shadow val="0"/>
        <u val="none"/>
        <vertAlign val="baseline"/>
        <sz val="11"/>
        <color auto="1"/>
        <name val="Arial"/>
        <family val="2"/>
        <scheme val="none"/>
      </font>
      <numFmt numFmtId="164" formatCode="0.000"/>
    </dxf>
    <dxf>
      <font>
        <b val="0"/>
        <i val="0"/>
        <strike val="0"/>
        <condense val="0"/>
        <extend val="0"/>
        <outline val="0"/>
        <shadow val="0"/>
        <u val="none"/>
        <vertAlign val="baseline"/>
        <sz val="11"/>
        <color auto="1"/>
        <name val="Arial"/>
        <family val="2"/>
        <scheme val="none"/>
      </font>
      <numFmt numFmtId="164" formatCode="0.000"/>
    </dxf>
    <dxf>
      <font>
        <b val="0"/>
        <i val="0"/>
        <strike val="0"/>
        <condense val="0"/>
        <extend val="0"/>
        <outline val="0"/>
        <shadow val="0"/>
        <u val="none"/>
        <vertAlign val="baseline"/>
        <sz val="11"/>
        <color auto="1"/>
        <name val="Arial"/>
        <family val="2"/>
        <scheme val="none"/>
      </font>
      <numFmt numFmtId="164" formatCode="0.000"/>
    </dxf>
    <dxf>
      <font>
        <b val="0"/>
        <i val="0"/>
        <strike val="0"/>
        <condense val="0"/>
        <extend val="0"/>
        <outline val="0"/>
        <shadow val="0"/>
        <u val="none"/>
        <vertAlign val="baseline"/>
        <sz val="11"/>
        <color auto="1"/>
        <name val="Arial"/>
        <family val="2"/>
        <scheme val="none"/>
      </font>
      <numFmt numFmtId="164" formatCode="0.000"/>
    </dxf>
    <dxf>
      <font>
        <b val="0"/>
        <i val="0"/>
        <strike val="0"/>
        <condense val="0"/>
        <extend val="0"/>
        <outline val="0"/>
        <shadow val="0"/>
        <u val="none"/>
        <vertAlign val="baseline"/>
        <sz val="11"/>
        <color auto="1"/>
        <name val="Arial"/>
        <family val="2"/>
        <scheme val="none"/>
      </font>
      <numFmt numFmtId="164" formatCode="0.000"/>
    </dxf>
    <dxf>
      <font>
        <b val="0"/>
        <i val="0"/>
        <strike val="0"/>
        <condense val="0"/>
        <extend val="0"/>
        <outline val="0"/>
        <shadow val="0"/>
        <u val="none"/>
        <vertAlign val="baseline"/>
        <sz val="11"/>
        <color auto="1"/>
        <name val="Arial"/>
        <family val="2"/>
        <scheme val="none"/>
      </font>
      <numFmt numFmtId="164" formatCode="0.000"/>
    </dxf>
    <dxf>
      <font>
        <b val="0"/>
        <i val="0"/>
        <strike val="0"/>
        <condense val="0"/>
        <extend val="0"/>
        <outline val="0"/>
        <shadow val="0"/>
        <u val="none"/>
        <vertAlign val="baseline"/>
        <sz val="11"/>
        <color auto="1"/>
        <name val="Arial"/>
        <family val="2"/>
        <scheme val="none"/>
      </font>
      <numFmt numFmtId="164" formatCode="0.000"/>
    </dxf>
    <dxf>
      <font>
        <b val="0"/>
        <i val="0"/>
        <strike val="0"/>
        <condense val="0"/>
        <extend val="0"/>
        <outline val="0"/>
        <shadow val="0"/>
        <u val="none"/>
        <vertAlign val="baseline"/>
        <sz val="11"/>
        <color auto="1"/>
        <name val="Arial"/>
        <family val="2"/>
        <scheme val="none"/>
      </font>
      <numFmt numFmtId="164" formatCode="0.000"/>
    </dxf>
    <dxf>
      <font>
        <b val="0"/>
        <i val="0"/>
        <strike val="0"/>
        <condense val="0"/>
        <extend val="0"/>
        <outline val="0"/>
        <shadow val="0"/>
        <u val="none"/>
        <vertAlign val="baseline"/>
        <sz val="11"/>
        <color auto="1"/>
        <name val="Arial"/>
        <family val="2"/>
        <scheme val="none"/>
      </font>
      <numFmt numFmtId="164" formatCode="0.000"/>
    </dxf>
    <dxf>
      <font>
        <b val="0"/>
        <i val="0"/>
        <strike val="0"/>
        <condense val="0"/>
        <extend val="0"/>
        <outline val="0"/>
        <shadow val="0"/>
        <u val="none"/>
        <vertAlign val="baseline"/>
        <sz val="11"/>
        <color auto="1"/>
        <name val="Arial"/>
        <family val="2"/>
        <scheme val="none"/>
      </font>
      <numFmt numFmtId="164" formatCode="0.000"/>
    </dxf>
    <dxf>
      <font>
        <b val="0"/>
        <i val="0"/>
        <strike val="0"/>
        <condense val="0"/>
        <extend val="0"/>
        <outline val="0"/>
        <shadow val="0"/>
        <u val="none"/>
        <vertAlign val="baseline"/>
        <sz val="11"/>
        <color auto="1"/>
        <name val="Arial"/>
        <family val="2"/>
        <scheme val="none"/>
      </font>
    </dxf>
    <dxf>
      <font>
        <b val="0"/>
        <i val="0"/>
        <strike val="0"/>
        <condense val="0"/>
        <extend val="0"/>
        <outline val="0"/>
        <shadow val="0"/>
        <u val="none"/>
        <vertAlign val="baseline"/>
        <sz val="11"/>
        <color auto="1"/>
        <name val="Arial"/>
        <family val="2"/>
        <scheme val="none"/>
      </font>
    </dxf>
    <dxf>
      <font>
        <b val="0"/>
        <i val="0"/>
        <strike val="0"/>
        <condense val="0"/>
        <extend val="0"/>
        <outline val="0"/>
        <shadow val="0"/>
        <u val="none"/>
        <vertAlign val="baseline"/>
        <sz val="11"/>
        <color auto="1"/>
        <name val="Arial"/>
        <family val="2"/>
        <scheme val="none"/>
      </font>
      <numFmt numFmtId="164" formatCode="0.000"/>
    </dxf>
  </dxfs>
  <tableStyles count="0" defaultTableStyle="TableStyleMedium2" defaultPivotStyle="PivotStyleLight16"/>
  <colors>
    <mruColors>
      <color rgb="FFFF99FF"/>
      <color rgb="FFFF0066"/>
      <color rgb="FF6699FF"/>
      <color rgb="FFFF66FF"/>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Mobile call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Sheet2!$N$13</c:f>
              <c:strCache>
                <c:ptCount val="1"/>
                <c:pt idx="0">
                  <c:v>SDC</c:v>
                </c:pt>
              </c:strCache>
            </c:strRef>
          </c:tx>
          <c:spPr>
            <a:solidFill>
              <a:schemeClr val="accent1"/>
            </a:solidFill>
            <a:ln>
              <a:noFill/>
            </a:ln>
            <a:effectLst/>
          </c:spPr>
          <c:invertIfNegative val="0"/>
          <c:cat>
            <c:strRef>
              <c:f>Sheet2!$M$14:$M$15</c:f>
              <c:strCache>
                <c:ptCount val="2"/>
                <c:pt idx="0">
                  <c:v>Brain</c:v>
                </c:pt>
                <c:pt idx="1">
                  <c:v>Whole body</c:v>
                </c:pt>
              </c:strCache>
            </c:strRef>
          </c:cat>
          <c:val>
            <c:numRef>
              <c:f>Sheet2!$N$14:$N$15</c:f>
              <c:numCache>
                <c:formatCode>General</c:formatCode>
                <c:ptCount val="2"/>
                <c:pt idx="0">
                  <c:v>17</c:v>
                </c:pt>
                <c:pt idx="1">
                  <c:v>4</c:v>
                </c:pt>
              </c:numCache>
            </c:numRef>
          </c:val>
          <c:extLst>
            <c:ext xmlns:c16="http://schemas.microsoft.com/office/drawing/2014/chart" uri="{C3380CC4-5D6E-409C-BE32-E72D297353CC}">
              <c16:uniqueId val="{00000000-C169-4AD1-8EFD-B4F9F3768B96}"/>
            </c:ext>
          </c:extLst>
        </c:ser>
        <c:ser>
          <c:idx val="1"/>
          <c:order val="1"/>
          <c:tx>
            <c:strRef>
              <c:f>Sheet2!$O$13</c:f>
              <c:strCache>
                <c:ptCount val="1"/>
                <c:pt idx="0">
                  <c:v>van Wel</c:v>
                </c:pt>
              </c:strCache>
            </c:strRef>
          </c:tx>
          <c:spPr>
            <a:solidFill>
              <a:schemeClr val="accent2"/>
            </a:solidFill>
            <a:ln>
              <a:noFill/>
            </a:ln>
            <a:effectLst/>
          </c:spPr>
          <c:invertIfNegative val="0"/>
          <c:cat>
            <c:strRef>
              <c:f>Sheet2!$M$14:$M$15</c:f>
              <c:strCache>
                <c:ptCount val="2"/>
                <c:pt idx="0">
                  <c:v>Brain</c:v>
                </c:pt>
                <c:pt idx="1">
                  <c:v>Whole body</c:v>
                </c:pt>
              </c:strCache>
            </c:strRef>
          </c:cat>
          <c:val>
            <c:numRef>
              <c:f>Sheet2!$O$14:$O$15</c:f>
              <c:numCache>
                <c:formatCode>General</c:formatCode>
                <c:ptCount val="2"/>
                <c:pt idx="0">
                  <c:v>51</c:v>
                </c:pt>
                <c:pt idx="1">
                  <c:v>20.399999999999999</c:v>
                </c:pt>
              </c:numCache>
            </c:numRef>
          </c:val>
          <c:extLst>
            <c:ext xmlns:c16="http://schemas.microsoft.com/office/drawing/2014/chart" uri="{C3380CC4-5D6E-409C-BE32-E72D297353CC}">
              <c16:uniqueId val="{00000001-C169-4AD1-8EFD-B4F9F3768B96}"/>
            </c:ext>
          </c:extLst>
        </c:ser>
        <c:ser>
          <c:idx val="2"/>
          <c:order val="2"/>
          <c:tx>
            <c:strRef>
              <c:f>Sheet2!$P$13</c:f>
              <c:strCache>
                <c:ptCount val="1"/>
                <c:pt idx="0">
                  <c:v>SCAMP</c:v>
                </c:pt>
              </c:strCache>
            </c:strRef>
          </c:tx>
          <c:spPr>
            <a:solidFill>
              <a:schemeClr val="accent3"/>
            </a:solidFill>
            <a:ln>
              <a:noFill/>
            </a:ln>
            <a:effectLst/>
          </c:spPr>
          <c:invertIfNegative val="0"/>
          <c:cat>
            <c:strRef>
              <c:f>Sheet2!$M$14:$M$15</c:f>
              <c:strCache>
                <c:ptCount val="2"/>
                <c:pt idx="0">
                  <c:v>Brain</c:v>
                </c:pt>
                <c:pt idx="1">
                  <c:v>Whole body</c:v>
                </c:pt>
              </c:strCache>
            </c:strRef>
          </c:cat>
          <c:val>
            <c:numRef>
              <c:f>Sheet2!$P$14:$P$15</c:f>
              <c:numCache>
                <c:formatCode>General</c:formatCode>
                <c:ptCount val="2"/>
                <c:pt idx="0">
                  <c:v>58.1</c:v>
                </c:pt>
                <c:pt idx="1">
                  <c:v>17.57</c:v>
                </c:pt>
              </c:numCache>
            </c:numRef>
          </c:val>
          <c:extLst>
            <c:ext xmlns:c16="http://schemas.microsoft.com/office/drawing/2014/chart" uri="{C3380CC4-5D6E-409C-BE32-E72D297353CC}">
              <c16:uniqueId val="{00000002-C169-4AD1-8EFD-B4F9F3768B96}"/>
            </c:ext>
          </c:extLst>
        </c:ser>
        <c:dLbls>
          <c:showLegendKey val="0"/>
          <c:showVal val="0"/>
          <c:showCatName val="0"/>
          <c:showSerName val="0"/>
          <c:showPercent val="0"/>
          <c:showBubbleSize val="0"/>
        </c:dLbls>
        <c:gapWidth val="219"/>
        <c:overlap val="-27"/>
        <c:axId val="659490800"/>
        <c:axId val="659488832"/>
      </c:barChart>
      <c:catAx>
        <c:axId val="659490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59488832"/>
        <c:crosses val="autoZero"/>
        <c:auto val="1"/>
        <c:lblAlgn val="ctr"/>
        <c:lblOffset val="100"/>
        <c:noMultiLvlLbl val="0"/>
      </c:catAx>
      <c:valAx>
        <c:axId val="659488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594908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Usage (min/day)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Sheet2!$N$18</c:f>
              <c:strCache>
                <c:ptCount val="1"/>
                <c:pt idx="0">
                  <c:v>Simple dose calculator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Sheet2!$M$19:$M$23</c:f>
              <c:strCache>
                <c:ptCount val="5"/>
                <c:pt idx="0">
                  <c:v>Mobile call</c:v>
                </c:pt>
                <c:pt idx="1">
                  <c:v>Mobile data</c:v>
                </c:pt>
                <c:pt idx="2">
                  <c:v>cordless phone</c:v>
                </c:pt>
                <c:pt idx="3">
                  <c:v>Laptop</c:v>
                </c:pt>
                <c:pt idx="4">
                  <c:v>Tablet</c:v>
                </c:pt>
              </c:strCache>
            </c:strRef>
          </c:cat>
          <c:val>
            <c:numRef>
              <c:f>Sheet2!$N$19:$N$23</c:f>
              <c:numCache>
                <c:formatCode>General</c:formatCode>
                <c:ptCount val="5"/>
                <c:pt idx="0">
                  <c:v>7.07</c:v>
                </c:pt>
                <c:pt idx="1">
                  <c:v>77.150000000000006</c:v>
                </c:pt>
                <c:pt idx="2">
                  <c:v>4.33</c:v>
                </c:pt>
                <c:pt idx="3">
                  <c:v>72.849999999999994</c:v>
                </c:pt>
                <c:pt idx="4">
                  <c:v>26.95</c:v>
                </c:pt>
              </c:numCache>
            </c:numRef>
          </c:val>
          <c:extLst>
            <c:ext xmlns:c16="http://schemas.microsoft.com/office/drawing/2014/chart" uri="{C3380CC4-5D6E-409C-BE32-E72D297353CC}">
              <c16:uniqueId val="{00000000-E106-415B-AFC5-8EB82765D046}"/>
            </c:ext>
          </c:extLst>
        </c:ser>
        <c:ser>
          <c:idx val="1"/>
          <c:order val="1"/>
          <c:tx>
            <c:strRef>
              <c:f>Sheet2!$O$18</c:f>
              <c:strCache>
                <c:ptCount val="1"/>
                <c:pt idx="0">
                  <c:v>Adults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Sheet2!$M$19:$M$23</c:f>
              <c:strCache>
                <c:ptCount val="5"/>
                <c:pt idx="0">
                  <c:v>Mobile call</c:v>
                </c:pt>
                <c:pt idx="1">
                  <c:v>Mobile data</c:v>
                </c:pt>
                <c:pt idx="2">
                  <c:v>cordless phone</c:v>
                </c:pt>
                <c:pt idx="3">
                  <c:v>Laptop</c:v>
                </c:pt>
                <c:pt idx="4">
                  <c:v>Tablet</c:v>
                </c:pt>
              </c:strCache>
            </c:strRef>
          </c:cat>
          <c:val>
            <c:numRef>
              <c:f>Sheet2!$O$19:$O$23</c:f>
              <c:numCache>
                <c:formatCode>General</c:formatCode>
                <c:ptCount val="5"/>
                <c:pt idx="0">
                  <c:v>11</c:v>
                </c:pt>
                <c:pt idx="1">
                  <c:v>47</c:v>
                </c:pt>
                <c:pt idx="2">
                  <c:v>6.4</c:v>
                </c:pt>
                <c:pt idx="3">
                  <c:v>126.5</c:v>
                </c:pt>
                <c:pt idx="4">
                  <c:v>29.43</c:v>
                </c:pt>
              </c:numCache>
            </c:numRef>
          </c:val>
          <c:extLst>
            <c:ext xmlns:c16="http://schemas.microsoft.com/office/drawing/2014/chart" uri="{C3380CC4-5D6E-409C-BE32-E72D297353CC}">
              <c16:uniqueId val="{00000001-E106-415B-AFC5-8EB82765D046}"/>
            </c:ext>
          </c:extLst>
        </c:ser>
        <c:ser>
          <c:idx val="2"/>
          <c:order val="2"/>
          <c:tx>
            <c:strRef>
              <c:f>Sheet2!$P$18</c:f>
              <c:strCache>
                <c:ptCount val="1"/>
                <c:pt idx="0">
                  <c:v>Adolescents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Sheet2!$M$19:$M$23</c:f>
              <c:strCache>
                <c:ptCount val="5"/>
                <c:pt idx="0">
                  <c:v>Mobile call</c:v>
                </c:pt>
                <c:pt idx="1">
                  <c:v>Mobile data</c:v>
                </c:pt>
                <c:pt idx="2">
                  <c:v>cordless phone</c:v>
                </c:pt>
                <c:pt idx="3">
                  <c:v>Laptop</c:v>
                </c:pt>
                <c:pt idx="4">
                  <c:v>Tablet</c:v>
                </c:pt>
              </c:strCache>
            </c:strRef>
          </c:cat>
          <c:val>
            <c:numRef>
              <c:f>Sheet2!$P$19:$P$23</c:f>
              <c:numCache>
                <c:formatCode>General</c:formatCode>
                <c:ptCount val="5"/>
                <c:pt idx="0">
                  <c:v>6</c:v>
                </c:pt>
                <c:pt idx="1">
                  <c:v>24.6</c:v>
                </c:pt>
                <c:pt idx="2">
                  <c:v>0.9</c:v>
                </c:pt>
                <c:pt idx="3">
                  <c:v>20.5</c:v>
                </c:pt>
                <c:pt idx="4">
                  <c:v>23.8</c:v>
                </c:pt>
              </c:numCache>
            </c:numRef>
          </c:val>
          <c:extLst>
            <c:ext xmlns:c16="http://schemas.microsoft.com/office/drawing/2014/chart" uri="{C3380CC4-5D6E-409C-BE32-E72D297353CC}">
              <c16:uniqueId val="{00000002-E106-415B-AFC5-8EB82765D046}"/>
            </c:ext>
          </c:extLst>
        </c:ser>
        <c:dLbls>
          <c:showLegendKey val="0"/>
          <c:showVal val="0"/>
          <c:showCatName val="0"/>
          <c:showSerName val="0"/>
          <c:showPercent val="0"/>
          <c:showBubbleSize val="0"/>
        </c:dLbls>
        <c:gapWidth val="219"/>
        <c:overlap val="-27"/>
        <c:axId val="660919296"/>
        <c:axId val="581385704"/>
      </c:barChart>
      <c:catAx>
        <c:axId val="66091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81385704"/>
        <c:crosses val="autoZero"/>
        <c:auto val="1"/>
        <c:lblAlgn val="ctr"/>
        <c:lblOffset val="100"/>
        <c:noMultiLvlLbl val="0"/>
      </c:catAx>
      <c:valAx>
        <c:axId val="581385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609192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png"/><Relationship Id="rId1" Type="http://schemas.openxmlformats.org/officeDocument/2006/relationships/image" Target="../media/image3.emf"/><Relationship Id="rId4" Type="http://schemas.openxmlformats.org/officeDocument/2006/relationships/image" Target="../media/image6.png"/></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75</xdr:col>
      <xdr:colOff>485775</xdr:colOff>
      <xdr:row>76</xdr:row>
      <xdr:rowOff>28575</xdr:rowOff>
    </xdr:from>
    <xdr:to>
      <xdr:col>80</xdr:col>
      <xdr:colOff>466969</xdr:colOff>
      <xdr:row>80</xdr:row>
      <xdr:rowOff>28614</xdr:rowOff>
    </xdr:to>
    <xdr:pic>
      <xdr:nvPicPr>
        <xdr:cNvPr id="2" name="Picture 1">
          <a:extLst>
            <a:ext uri="{FF2B5EF4-FFF2-40B4-BE49-F238E27FC236}">
              <a16:creationId xmlns:a16="http://schemas.microsoft.com/office/drawing/2014/main" id="{76CB4633-AB23-0754-1F83-49D07B613862}"/>
            </a:ext>
          </a:extLst>
        </xdr:cNvPr>
        <xdr:cNvPicPr>
          <a:picLocks noChangeAspect="1"/>
        </xdr:cNvPicPr>
      </xdr:nvPicPr>
      <xdr:blipFill>
        <a:blip xmlns:r="http://schemas.openxmlformats.org/officeDocument/2006/relationships" r:embed="rId1"/>
        <a:stretch>
          <a:fillRect/>
        </a:stretch>
      </xdr:blipFill>
      <xdr:spPr>
        <a:xfrm>
          <a:off x="111613950" y="4352925"/>
          <a:ext cx="3464997" cy="712066"/>
        </a:xfrm>
        <a:prstGeom prst="rect">
          <a:avLst/>
        </a:prstGeom>
      </xdr:spPr>
    </xdr:pic>
    <xdr:clientData/>
  </xdr:twoCellAnchor>
  <xdr:twoCellAnchor editAs="oneCell">
    <xdr:from>
      <xdr:col>75</xdr:col>
      <xdr:colOff>309769</xdr:colOff>
      <xdr:row>87</xdr:row>
      <xdr:rowOff>146602</xdr:rowOff>
    </xdr:from>
    <xdr:to>
      <xdr:col>80</xdr:col>
      <xdr:colOff>369761</xdr:colOff>
      <xdr:row>91</xdr:row>
      <xdr:rowOff>163824</xdr:rowOff>
    </xdr:to>
    <xdr:pic>
      <xdr:nvPicPr>
        <xdr:cNvPr id="3" name="Picture 2">
          <a:extLst>
            <a:ext uri="{FF2B5EF4-FFF2-40B4-BE49-F238E27FC236}">
              <a16:creationId xmlns:a16="http://schemas.microsoft.com/office/drawing/2014/main" id="{AB321279-EE6D-5F88-AB66-722DC3C73CFD}"/>
            </a:ext>
          </a:extLst>
        </xdr:cNvPr>
        <xdr:cNvPicPr>
          <a:picLocks noChangeAspect="1"/>
        </xdr:cNvPicPr>
      </xdr:nvPicPr>
      <xdr:blipFill>
        <a:blip xmlns:r="http://schemas.openxmlformats.org/officeDocument/2006/relationships" r:embed="rId2"/>
        <a:stretch>
          <a:fillRect/>
        </a:stretch>
      </xdr:blipFill>
      <xdr:spPr>
        <a:xfrm>
          <a:off x="142646399" y="4851124"/>
          <a:ext cx="3552078" cy="74926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26</xdr:col>
      <xdr:colOff>605117</xdr:colOff>
      <xdr:row>8</xdr:row>
      <xdr:rowOff>89648</xdr:rowOff>
    </xdr:from>
    <xdr:to>
      <xdr:col>40</xdr:col>
      <xdr:colOff>100852</xdr:colOff>
      <xdr:row>42</xdr:row>
      <xdr:rowOff>25336</xdr:rowOff>
    </xdr:to>
    <xdr:pic>
      <xdr:nvPicPr>
        <xdr:cNvPr id="2" name="Picture 1">
          <a:extLst>
            <a:ext uri="{FF2B5EF4-FFF2-40B4-BE49-F238E27FC236}">
              <a16:creationId xmlns:a16="http://schemas.microsoft.com/office/drawing/2014/main" id="{00000000-0008-0000-0800-000002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2924" r="49505" b="57665"/>
        <a:stretch/>
      </xdr:blipFill>
      <xdr:spPr bwMode="auto">
        <a:xfrm>
          <a:off x="14567646" y="1692089"/>
          <a:ext cx="9065560" cy="60399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42</xdr:col>
      <xdr:colOff>37620</xdr:colOff>
      <xdr:row>8</xdr:row>
      <xdr:rowOff>148077</xdr:rowOff>
    </xdr:from>
    <xdr:to>
      <xdr:col>52</xdr:col>
      <xdr:colOff>183294</xdr:colOff>
      <xdr:row>42</xdr:row>
      <xdr:rowOff>844</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rotWithShape="1">
        <a:blip xmlns:r="http://schemas.openxmlformats.org/officeDocument/2006/relationships" r:embed="rId2"/>
        <a:srcRect l="39575" t="17813" r="27111" b="14368"/>
        <a:stretch/>
      </xdr:blipFill>
      <xdr:spPr>
        <a:xfrm>
          <a:off x="24870656" y="1917006"/>
          <a:ext cx="6949247" cy="5869886"/>
        </a:xfrm>
        <a:prstGeom prst="rect">
          <a:avLst/>
        </a:prstGeom>
      </xdr:spPr>
    </xdr:pic>
    <xdr:clientData/>
  </xdr:twoCellAnchor>
  <xdr:twoCellAnchor editAs="oneCell">
    <xdr:from>
      <xdr:col>26</xdr:col>
      <xdr:colOff>639534</xdr:colOff>
      <xdr:row>42</xdr:row>
      <xdr:rowOff>49627</xdr:rowOff>
    </xdr:from>
    <xdr:to>
      <xdr:col>40</xdr:col>
      <xdr:colOff>197534</xdr:colOff>
      <xdr:row>67</xdr:row>
      <xdr:rowOff>139275</xdr:rowOff>
    </xdr:to>
    <xdr:pic>
      <xdr:nvPicPr>
        <xdr:cNvPr id="4" name="Picture 3">
          <a:extLst>
            <a:ext uri="{FF2B5EF4-FFF2-40B4-BE49-F238E27FC236}">
              <a16:creationId xmlns:a16="http://schemas.microsoft.com/office/drawing/2014/main" id="{00000000-0008-0000-0800-000004000000}"/>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r="-68" b="54116"/>
        <a:stretch/>
      </xdr:blipFill>
      <xdr:spPr bwMode="auto">
        <a:xfrm>
          <a:off x="14586855" y="7832913"/>
          <a:ext cx="9083001" cy="45119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54</xdr:col>
      <xdr:colOff>561293</xdr:colOff>
      <xdr:row>8</xdr:row>
      <xdr:rowOff>51027</xdr:rowOff>
    </xdr:from>
    <xdr:to>
      <xdr:col>65</xdr:col>
      <xdr:colOff>418418</xdr:colOff>
      <xdr:row>64</xdr:row>
      <xdr:rowOff>86967</xdr:rowOff>
    </xdr:to>
    <xdr:pic>
      <xdr:nvPicPr>
        <xdr:cNvPr id="5" name="Picture 4">
          <a:extLst>
            <a:ext uri="{FF2B5EF4-FFF2-40B4-BE49-F238E27FC236}">
              <a16:creationId xmlns:a16="http://schemas.microsoft.com/office/drawing/2014/main" id="{00000000-0008-0000-0800-000005000000}"/>
            </a:ext>
          </a:extLst>
        </xdr:cNvPr>
        <xdr:cNvPicPr>
          <a:picLocks noChangeAspect="1"/>
        </xdr:cNvPicPr>
      </xdr:nvPicPr>
      <xdr:blipFill rotWithShape="1">
        <a:blip xmlns:r="http://schemas.openxmlformats.org/officeDocument/2006/relationships" r:embed="rId4"/>
        <a:srcRect l="27181" t="23660" r="50284" b="2568"/>
        <a:stretch/>
      </xdr:blipFill>
      <xdr:spPr>
        <a:xfrm>
          <a:off x="33558614" y="1792741"/>
          <a:ext cx="7341054" cy="9950223"/>
        </a:xfrm>
        <a:prstGeom prst="rect">
          <a:avLst/>
        </a:prstGeom>
      </xdr:spPr>
    </xdr:pic>
    <xdr:clientData/>
  </xdr:twoCellAnchor>
  <xdr:twoCellAnchor>
    <xdr:from>
      <xdr:col>26</xdr:col>
      <xdr:colOff>571500</xdr:colOff>
      <xdr:row>61</xdr:row>
      <xdr:rowOff>54429</xdr:rowOff>
    </xdr:from>
    <xdr:to>
      <xdr:col>33</xdr:col>
      <xdr:colOff>95250</xdr:colOff>
      <xdr:row>67</xdr:row>
      <xdr:rowOff>68036</xdr:rowOff>
    </xdr:to>
    <xdr:sp macro="" textlink="">
      <xdr:nvSpPr>
        <xdr:cNvPr id="6" name="Rectangle 5">
          <a:extLst>
            <a:ext uri="{FF2B5EF4-FFF2-40B4-BE49-F238E27FC236}">
              <a16:creationId xmlns:a16="http://schemas.microsoft.com/office/drawing/2014/main" id="{00000000-0008-0000-0800-000006000000}"/>
            </a:ext>
          </a:extLst>
        </xdr:cNvPr>
        <xdr:cNvSpPr/>
      </xdr:nvSpPr>
      <xdr:spPr>
        <a:xfrm>
          <a:off x="14518821" y="11198679"/>
          <a:ext cx="4286250" cy="1074964"/>
        </a:xfrm>
        <a:prstGeom prst="rect">
          <a:avLst/>
        </a:prstGeom>
        <a:noFill/>
        <a:ln w="762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lang="en-US" sz="1100"/>
        </a:p>
      </xdr:txBody>
    </xdr:sp>
    <xdr:clientData/>
  </xdr:twoCellAnchor>
  <xdr:twoCellAnchor>
    <xdr:from>
      <xdr:col>27</xdr:col>
      <xdr:colOff>424542</xdr:colOff>
      <xdr:row>29</xdr:row>
      <xdr:rowOff>122464</xdr:rowOff>
    </xdr:from>
    <xdr:to>
      <xdr:col>33</xdr:col>
      <xdr:colOff>628650</xdr:colOff>
      <xdr:row>37</xdr:row>
      <xdr:rowOff>125186</xdr:rowOff>
    </xdr:to>
    <xdr:sp macro="" textlink="">
      <xdr:nvSpPr>
        <xdr:cNvPr id="7" name="Rectangle 6">
          <a:extLst>
            <a:ext uri="{FF2B5EF4-FFF2-40B4-BE49-F238E27FC236}">
              <a16:creationId xmlns:a16="http://schemas.microsoft.com/office/drawing/2014/main" id="{00000000-0008-0000-0800-000007000000}"/>
            </a:ext>
          </a:extLst>
        </xdr:cNvPr>
        <xdr:cNvSpPr/>
      </xdr:nvSpPr>
      <xdr:spPr>
        <a:xfrm>
          <a:off x="15052221" y="5606143"/>
          <a:ext cx="4286250" cy="1417864"/>
        </a:xfrm>
        <a:prstGeom prst="rect">
          <a:avLst/>
        </a:prstGeom>
        <a:noFill/>
        <a:ln w="762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lang="en-US" sz="1100"/>
        </a:p>
      </xdr:txBody>
    </xdr:sp>
    <xdr:clientData/>
  </xdr:twoCellAnchor>
  <xdr:twoCellAnchor>
    <xdr:from>
      <xdr:col>42</xdr:col>
      <xdr:colOff>29934</xdr:colOff>
      <xdr:row>31</xdr:row>
      <xdr:rowOff>84365</xdr:rowOff>
    </xdr:from>
    <xdr:to>
      <xdr:col>52</xdr:col>
      <xdr:colOff>136071</xdr:colOff>
      <xdr:row>33</xdr:row>
      <xdr:rowOff>95249</xdr:rowOff>
    </xdr:to>
    <xdr:sp macro="" textlink="">
      <xdr:nvSpPr>
        <xdr:cNvPr id="8" name="Rectangle 7">
          <a:extLst>
            <a:ext uri="{FF2B5EF4-FFF2-40B4-BE49-F238E27FC236}">
              <a16:creationId xmlns:a16="http://schemas.microsoft.com/office/drawing/2014/main" id="{00000000-0008-0000-0800-000008000000}"/>
            </a:ext>
          </a:extLst>
        </xdr:cNvPr>
        <xdr:cNvSpPr/>
      </xdr:nvSpPr>
      <xdr:spPr>
        <a:xfrm>
          <a:off x="24862970" y="5921829"/>
          <a:ext cx="6909708" cy="364670"/>
        </a:xfrm>
        <a:prstGeom prst="rect">
          <a:avLst/>
        </a:prstGeom>
        <a:noFill/>
        <a:ln w="762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lang="en-US" sz="1100"/>
        </a:p>
      </xdr:txBody>
    </xdr:sp>
    <xdr:clientData/>
  </xdr:twoCellAnchor>
  <xdr:twoCellAnchor>
    <xdr:from>
      <xdr:col>42</xdr:col>
      <xdr:colOff>46263</xdr:colOff>
      <xdr:row>12</xdr:row>
      <xdr:rowOff>32657</xdr:rowOff>
    </xdr:from>
    <xdr:to>
      <xdr:col>52</xdr:col>
      <xdr:colOff>152400</xdr:colOff>
      <xdr:row>14</xdr:row>
      <xdr:rowOff>43541</xdr:rowOff>
    </xdr:to>
    <xdr:sp macro="" textlink="">
      <xdr:nvSpPr>
        <xdr:cNvPr id="9" name="Rectangle 8">
          <a:extLst>
            <a:ext uri="{FF2B5EF4-FFF2-40B4-BE49-F238E27FC236}">
              <a16:creationId xmlns:a16="http://schemas.microsoft.com/office/drawing/2014/main" id="{00000000-0008-0000-0800-000009000000}"/>
            </a:ext>
          </a:extLst>
        </xdr:cNvPr>
        <xdr:cNvSpPr/>
      </xdr:nvSpPr>
      <xdr:spPr>
        <a:xfrm>
          <a:off x="24879299" y="2509157"/>
          <a:ext cx="6909708" cy="364670"/>
        </a:xfrm>
        <a:prstGeom prst="rect">
          <a:avLst/>
        </a:prstGeom>
        <a:noFill/>
        <a:ln w="762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lang="en-US" sz="1100"/>
        </a:p>
      </xdr:txBody>
    </xdr:sp>
    <xdr:clientData/>
  </xdr:twoCellAnchor>
  <xdr:twoCellAnchor>
    <xdr:from>
      <xdr:col>42</xdr:col>
      <xdr:colOff>35377</xdr:colOff>
      <xdr:row>14</xdr:row>
      <xdr:rowOff>8165</xdr:rowOff>
    </xdr:from>
    <xdr:to>
      <xdr:col>52</xdr:col>
      <xdr:colOff>141514</xdr:colOff>
      <xdr:row>16</xdr:row>
      <xdr:rowOff>19050</xdr:rowOff>
    </xdr:to>
    <xdr:sp macro="" textlink="">
      <xdr:nvSpPr>
        <xdr:cNvPr id="10" name="Rectangle 9">
          <a:extLst>
            <a:ext uri="{FF2B5EF4-FFF2-40B4-BE49-F238E27FC236}">
              <a16:creationId xmlns:a16="http://schemas.microsoft.com/office/drawing/2014/main" id="{00000000-0008-0000-0800-00000A000000}"/>
            </a:ext>
          </a:extLst>
        </xdr:cNvPr>
        <xdr:cNvSpPr/>
      </xdr:nvSpPr>
      <xdr:spPr>
        <a:xfrm>
          <a:off x="24868413" y="2838451"/>
          <a:ext cx="6909708" cy="364670"/>
        </a:xfrm>
        <a:prstGeom prst="rect">
          <a:avLst/>
        </a:prstGeom>
        <a:noFill/>
        <a:ln w="762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lang="en-US" sz="1100"/>
        </a:p>
      </xdr:txBody>
    </xdr:sp>
    <xdr:clientData/>
  </xdr:twoCellAnchor>
  <xdr:twoCellAnchor>
    <xdr:from>
      <xdr:col>55</xdr:col>
      <xdr:colOff>258536</xdr:colOff>
      <xdr:row>34</xdr:row>
      <xdr:rowOff>54428</xdr:rowOff>
    </xdr:from>
    <xdr:to>
      <xdr:col>57</xdr:col>
      <xdr:colOff>149678</xdr:colOff>
      <xdr:row>56</xdr:row>
      <xdr:rowOff>40821</xdr:rowOff>
    </xdr:to>
    <xdr:sp macro="" textlink="">
      <xdr:nvSpPr>
        <xdr:cNvPr id="11" name="Rectangle 10">
          <a:extLst>
            <a:ext uri="{FF2B5EF4-FFF2-40B4-BE49-F238E27FC236}">
              <a16:creationId xmlns:a16="http://schemas.microsoft.com/office/drawing/2014/main" id="{00000000-0008-0000-0800-00000B000000}"/>
            </a:ext>
          </a:extLst>
        </xdr:cNvPr>
        <xdr:cNvSpPr/>
      </xdr:nvSpPr>
      <xdr:spPr>
        <a:xfrm>
          <a:off x="33936215" y="6422571"/>
          <a:ext cx="1251856" cy="3878036"/>
        </a:xfrm>
        <a:prstGeom prst="rect">
          <a:avLst/>
        </a:prstGeom>
        <a:noFill/>
        <a:ln w="762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lang="en-US" sz="1100"/>
        </a:p>
      </xdr:txBody>
    </xdr:sp>
    <xdr:clientData/>
  </xdr:twoCellAnchor>
  <xdr:twoCellAnchor>
    <xdr:from>
      <xdr:col>61</xdr:col>
      <xdr:colOff>598715</xdr:colOff>
      <xdr:row>34</xdr:row>
      <xdr:rowOff>40822</xdr:rowOff>
    </xdr:from>
    <xdr:to>
      <xdr:col>62</xdr:col>
      <xdr:colOff>625928</xdr:colOff>
      <xdr:row>56</xdr:row>
      <xdr:rowOff>95250</xdr:rowOff>
    </xdr:to>
    <xdr:sp macro="" textlink="">
      <xdr:nvSpPr>
        <xdr:cNvPr id="12" name="Rectangle 11">
          <a:extLst>
            <a:ext uri="{FF2B5EF4-FFF2-40B4-BE49-F238E27FC236}">
              <a16:creationId xmlns:a16="http://schemas.microsoft.com/office/drawing/2014/main" id="{00000000-0008-0000-0800-00000C000000}"/>
            </a:ext>
          </a:extLst>
        </xdr:cNvPr>
        <xdr:cNvSpPr/>
      </xdr:nvSpPr>
      <xdr:spPr>
        <a:xfrm>
          <a:off x="38358536" y="6408965"/>
          <a:ext cx="707571" cy="3946071"/>
        </a:xfrm>
        <a:prstGeom prst="rect">
          <a:avLst/>
        </a:prstGeom>
        <a:noFill/>
        <a:ln w="762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lang="en-US" sz="1100"/>
        </a:p>
      </xdr:txBody>
    </xdr:sp>
    <xdr:clientData/>
  </xdr:twoCellAnchor>
  <xdr:twoCellAnchor>
    <xdr:from>
      <xdr:col>55</xdr:col>
      <xdr:colOff>244928</xdr:colOff>
      <xdr:row>8</xdr:row>
      <xdr:rowOff>152400</xdr:rowOff>
    </xdr:from>
    <xdr:to>
      <xdr:col>57</xdr:col>
      <xdr:colOff>288471</xdr:colOff>
      <xdr:row>32</xdr:row>
      <xdr:rowOff>68036</xdr:rowOff>
    </xdr:to>
    <xdr:sp macro="" textlink="">
      <xdr:nvSpPr>
        <xdr:cNvPr id="13" name="Rectangle 12">
          <a:extLst>
            <a:ext uri="{FF2B5EF4-FFF2-40B4-BE49-F238E27FC236}">
              <a16:creationId xmlns:a16="http://schemas.microsoft.com/office/drawing/2014/main" id="{00000000-0008-0000-0800-00000D000000}"/>
            </a:ext>
          </a:extLst>
        </xdr:cNvPr>
        <xdr:cNvSpPr/>
      </xdr:nvSpPr>
      <xdr:spPr>
        <a:xfrm>
          <a:off x="33922607" y="1921329"/>
          <a:ext cx="1404257" cy="4161064"/>
        </a:xfrm>
        <a:prstGeom prst="rect">
          <a:avLst/>
        </a:prstGeom>
        <a:noFill/>
        <a:ln w="762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lang="en-US" sz="1100"/>
        </a:p>
      </xdr:txBody>
    </xdr:sp>
    <xdr:clientData/>
  </xdr:twoCellAnchor>
  <xdr:twoCellAnchor>
    <xdr:from>
      <xdr:col>62</xdr:col>
      <xdr:colOff>54428</xdr:colOff>
      <xdr:row>8</xdr:row>
      <xdr:rowOff>127908</xdr:rowOff>
    </xdr:from>
    <xdr:to>
      <xdr:col>63</xdr:col>
      <xdr:colOff>54428</xdr:colOff>
      <xdr:row>32</xdr:row>
      <xdr:rowOff>43544</xdr:rowOff>
    </xdr:to>
    <xdr:sp macro="" textlink="">
      <xdr:nvSpPr>
        <xdr:cNvPr id="14" name="Rectangle 13">
          <a:extLst>
            <a:ext uri="{FF2B5EF4-FFF2-40B4-BE49-F238E27FC236}">
              <a16:creationId xmlns:a16="http://schemas.microsoft.com/office/drawing/2014/main" id="{00000000-0008-0000-0800-00000E000000}"/>
            </a:ext>
          </a:extLst>
        </xdr:cNvPr>
        <xdr:cNvSpPr/>
      </xdr:nvSpPr>
      <xdr:spPr>
        <a:xfrm>
          <a:off x="38494607" y="1896837"/>
          <a:ext cx="680357" cy="4161064"/>
        </a:xfrm>
        <a:prstGeom prst="rect">
          <a:avLst/>
        </a:prstGeom>
        <a:noFill/>
        <a:ln w="762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238125</xdr:colOff>
      <xdr:row>0</xdr:row>
      <xdr:rowOff>101600</xdr:rowOff>
    </xdr:from>
    <xdr:to>
      <xdr:col>17</xdr:col>
      <xdr:colOff>187325</xdr:colOff>
      <xdr:row>13</xdr:row>
      <xdr:rowOff>165100</xdr:rowOff>
    </xdr:to>
    <xdr:graphicFrame macro="">
      <xdr:nvGraphicFramePr>
        <xdr:cNvPr id="6" name="Chart 5">
          <a:extLst>
            <a:ext uri="{FF2B5EF4-FFF2-40B4-BE49-F238E27FC236}">
              <a16:creationId xmlns:a16="http://schemas.microsoft.com/office/drawing/2014/main" id="{00000000-0008-0000-0A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88899</xdr:colOff>
      <xdr:row>30</xdr:row>
      <xdr:rowOff>85725</xdr:rowOff>
    </xdr:from>
    <xdr:to>
      <xdr:col>28</xdr:col>
      <xdr:colOff>600075</xdr:colOff>
      <xdr:row>45</xdr:row>
      <xdr:rowOff>165100</xdr:rowOff>
    </xdr:to>
    <xdr:graphicFrame macro="">
      <xdr:nvGraphicFramePr>
        <xdr:cNvPr id="7" name="Chart 6">
          <a:extLst>
            <a:ext uri="{FF2B5EF4-FFF2-40B4-BE49-F238E27FC236}">
              <a16:creationId xmlns:a16="http://schemas.microsoft.com/office/drawing/2014/main" id="{00000000-0008-0000-0A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GOLIAT_data/Defaults_GOLIAT_T2.1.xlsx" TargetMode="External"/><Relationship Id="rId2" Type="http://schemas.openxmlformats.org/officeDocument/2006/relationships/externalLinkPath" Target="file:///J:\EEH\EMF\ETAIN\06_WP2\GOLIAT_data\Defaults_GOLIAT_T2.1.xlsx" TargetMode="External"/><Relationship Id="rId1" Type="http://schemas.openxmlformats.org/officeDocument/2006/relationships/externalLinkPath" Target="/EEH/EMF/ETAIN/06_WP2/GOLIAT_data/Defaults_GOLIAT_T2.1.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SAR/YODA_2026/FF_SARosa_LessThan6GHz_Brain.xlsx" TargetMode="External"/><Relationship Id="rId2" Type="http://schemas.openxmlformats.org/officeDocument/2006/relationships/externalLinkPath" Target="file:///J:\EEH\EMF\ETAIN\06_WP2\SAR\YODA_2026\FF_SARosa_LessThan6GHz_Brain.xlsx" TargetMode="External"/><Relationship Id="rId1" Type="http://schemas.openxmlformats.org/officeDocument/2006/relationships/externalLinkPath" Target="/EEH/EMF/ETAIN/06_WP2/SAR/YODA_2026/FF_SARosa_LessThan6GHz_Brain.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SAR/YODA_2026/FF_SARwb_LessThan6GHz_WholeBody.xlsx" TargetMode="External"/><Relationship Id="rId2" Type="http://schemas.openxmlformats.org/officeDocument/2006/relationships/externalLinkPath" Target="file:///J:\EEH\EMF\ETAIN\06_WP2\SAR\YODA_2026\FF_SARwb_LessThan6GHz_WholeBody.xlsx" TargetMode="External"/><Relationship Id="rId1" Type="http://schemas.openxmlformats.org/officeDocument/2006/relationships/externalLinkPath" Target="/EEH/EMF/ETAIN/06_WP2/SAR/YODA_2026/FF_SARwb_LessThan6GHz_WholeBody.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SAR/YODA_2026/NF_SARosa_LessThan6GHz_Brain.xlsx" TargetMode="External"/><Relationship Id="rId2" Type="http://schemas.openxmlformats.org/officeDocument/2006/relationships/externalLinkPath" Target="file:///J:\EEH\EMF\ETAIN\06_WP2\SAR\YODA_2026\NF_SARosa_LessThan6GHz_Brain.xlsx" TargetMode="External"/><Relationship Id="rId1" Type="http://schemas.openxmlformats.org/officeDocument/2006/relationships/externalLinkPath" Target="/EEH/EMF/ETAIN/06_WP2/SAR/YODA_2026/NF_SARosa_LessThan6GHz_Brain.xlsx" TargetMode="External"/></Relationships>
</file>

<file path=xl/externalLinks/_rels/externalLink5.xml.rels><?xml version="1.0" encoding="UTF-8" standalone="yes"?>
<Relationships xmlns="http://schemas.openxmlformats.org/package/2006/relationships"><Relationship Id="rId3" Type="http://schemas.openxmlformats.org/officeDocument/2006/relationships/externalLinkPath" Target="../../SAR/YODA_2026/NF_SARwb_LessThan6GHz_WholeBody.xlsx" TargetMode="External"/><Relationship Id="rId2" Type="http://schemas.openxmlformats.org/officeDocument/2006/relationships/externalLinkPath" Target="file:///J:\EEH\EMF\ETAIN\06_WP2\SAR\YODA_2026\NF_SARwb_LessThan6GHz_WholeBody.xlsx" TargetMode="External"/><Relationship Id="rId1" Type="http://schemas.openxmlformats.org/officeDocument/2006/relationships/externalLinkPath" Target="/EEH/EMF/ETAIN/06_WP2/SAR/YODA_2026/NF_SARwb_LessThan6GHz_WholeBod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1"/>
    </sheetNames>
    <sheetDataSet>
      <sheetData sheetId="0">
        <row r="3">
          <cell r="B3">
            <v>1850.0511508951411</v>
          </cell>
        </row>
        <row r="5">
          <cell r="B5">
            <v>0.44776903654834438</v>
          </cell>
        </row>
        <row r="6">
          <cell r="B6">
            <v>0.22948502013607261</v>
          </cell>
        </row>
        <row r="7">
          <cell r="B7">
            <v>68.825783940379409</v>
          </cell>
        </row>
        <row r="8">
          <cell r="B8">
            <v>0.34601030851851861</v>
          </cell>
        </row>
        <row r="9">
          <cell r="B9">
            <v>0.73786832362382448</v>
          </cell>
        </row>
        <row r="10">
          <cell r="B10">
            <v>0.48921815101828497</v>
          </cell>
        </row>
        <row r="11">
          <cell r="B11">
            <v>0.30717206418685122</v>
          </cell>
        </row>
        <row r="12">
          <cell r="B12">
            <v>1533.3532066886719</v>
          </cell>
        </row>
        <row r="13">
          <cell r="B13">
            <v>3989.3181408159999</v>
          </cell>
        </row>
        <row r="14">
          <cell r="B14">
            <v>4916.971704997758</v>
          </cell>
        </row>
        <row r="15">
          <cell r="B15">
            <v>5650.7147788265866</v>
          </cell>
        </row>
        <row r="17">
          <cell r="B17">
            <v>1068.9706471888769</v>
          </cell>
        </row>
        <row r="18">
          <cell r="B18">
            <v>1167.969494453642</v>
          </cell>
        </row>
        <row r="19">
          <cell r="B19">
            <v>1715.452369807469</v>
          </cell>
        </row>
        <row r="21">
          <cell r="B21">
            <v>312.74362012396688</v>
          </cell>
        </row>
        <row r="22">
          <cell r="B22">
            <v>457.79027948788553</v>
          </cell>
        </row>
        <row r="23">
          <cell r="B23">
            <v>612.33308230752209</v>
          </cell>
        </row>
        <row r="28">
          <cell r="C28">
            <v>8411.1430499999988</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1"/>
    </sheetNames>
    <sheetDataSet>
      <sheetData sheetId="0">
        <row r="2">
          <cell r="M2">
            <v>6.3492631905124608E-3</v>
          </cell>
        </row>
        <row r="5">
          <cell r="L5">
            <v>8.4106059802034824E-3</v>
          </cell>
        </row>
        <row r="6">
          <cell r="L6">
            <v>8.6691143973678143E-3</v>
          </cell>
        </row>
        <row r="7">
          <cell r="L7">
            <v>8.7110652241486723E-3</v>
          </cell>
        </row>
        <row r="8">
          <cell r="L8">
            <v>4.4534376950091954E-3</v>
          </cell>
        </row>
        <row r="9">
          <cell r="L9">
            <v>3.4089009823195567E-3</v>
          </cell>
        </row>
        <row r="10">
          <cell r="L10">
            <v>2.618189232664333E-3</v>
          </cell>
        </row>
        <row r="11">
          <cell r="L11">
            <v>2.3785686061420369E-3</v>
          </cell>
        </row>
        <row r="12">
          <cell r="L12">
            <v>1.4298365803813808E-3</v>
          </cell>
        </row>
        <row r="13">
          <cell r="L13">
            <v>5.5618260307735185E-4</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1"/>
    </sheetNames>
    <sheetDataSet>
      <sheetData sheetId="0">
        <row r="2">
          <cell r="M2">
            <v>6.8286363961111126E-3</v>
          </cell>
        </row>
        <row r="5">
          <cell r="L5">
            <v>5.6272612825000014E-3</v>
          </cell>
        </row>
        <row r="6">
          <cell r="L6">
            <v>5.4880185316666672E-3</v>
          </cell>
        </row>
        <row r="7">
          <cell r="L7">
            <v>5.3320621141666677E-3</v>
          </cell>
        </row>
        <row r="8">
          <cell r="L8">
            <v>4.2387457775000005E-3</v>
          </cell>
        </row>
        <row r="9">
          <cell r="L9">
            <v>3.9545999350000006E-3</v>
          </cell>
        </row>
        <row r="10">
          <cell r="L10">
            <v>3.5596547350000003E-3</v>
          </cell>
        </row>
        <row r="11">
          <cell r="L11">
            <v>3.4417504983333337E-3</v>
          </cell>
        </row>
        <row r="12">
          <cell r="L12">
            <v>2.9049747566666671E-3</v>
          </cell>
        </row>
        <row r="13">
          <cell r="L13">
            <v>2.4017884583333337E-3</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1"/>
    </sheetNames>
    <sheetDataSet>
      <sheetData sheetId="0">
        <row r="2">
          <cell r="I2">
            <v>0.13006405058109161</v>
          </cell>
        </row>
        <row r="3">
          <cell r="I3">
            <v>0.12393632600970847</v>
          </cell>
        </row>
        <row r="4">
          <cell r="I4">
            <v>0.11559834580395134</v>
          </cell>
        </row>
        <row r="5">
          <cell r="I5">
            <v>4.6356407322852476E-2</v>
          </cell>
        </row>
        <row r="6">
          <cell r="I6">
            <v>3.6757198684494931E-2</v>
          </cell>
        </row>
        <row r="7">
          <cell r="I7">
            <v>2.6727748810534316E-2</v>
          </cell>
        </row>
        <row r="8">
          <cell r="I8">
            <v>2.2514603199845745E-2</v>
          </cell>
        </row>
        <row r="9">
          <cell r="I9">
            <v>5.5389928959028957E-3</v>
          </cell>
        </row>
        <row r="10">
          <cell r="I10">
            <v>1.040371354637645E-3</v>
          </cell>
        </row>
        <row r="12">
          <cell r="I12">
            <v>1.1281701816996422E-2</v>
          </cell>
        </row>
        <row r="13">
          <cell r="I13">
            <v>1.1873285599412614E-2</v>
          </cell>
        </row>
        <row r="14">
          <cell r="I14">
            <v>1.1306646322278895E-2</v>
          </cell>
        </row>
        <row r="15">
          <cell r="I15">
            <v>3.2107718791138519E-3</v>
          </cell>
        </row>
        <row r="16">
          <cell r="I16">
            <v>2.2888349060751364E-3</v>
          </cell>
        </row>
        <row r="17">
          <cell r="I17">
            <v>1.5567211182903611E-3</v>
          </cell>
        </row>
        <row r="18">
          <cell r="I18">
            <v>1.4547260737951782E-3</v>
          </cell>
        </row>
        <row r="19">
          <cell r="I19">
            <v>9.5661198551319775E-4</v>
          </cell>
        </row>
        <row r="20">
          <cell r="I20">
            <v>3.3254851455069855E-4</v>
          </cell>
        </row>
        <row r="22">
          <cell r="I22">
            <v>5.2001320998293363E-3</v>
          </cell>
        </row>
        <row r="23">
          <cell r="I23">
            <v>5.9920116819360235E-3</v>
          </cell>
        </row>
        <row r="24">
          <cell r="I24">
            <v>6.132318926973232E-3</v>
          </cell>
        </row>
        <row r="25">
          <cell r="I25">
            <v>2.0712159795211998E-3</v>
          </cell>
        </row>
        <row r="26">
          <cell r="I26">
            <v>1.5229456026267386E-3</v>
          </cell>
        </row>
        <row r="27">
          <cell r="I27">
            <v>1.1194631548332708E-3</v>
          </cell>
        </row>
        <row r="28">
          <cell r="I28">
            <v>1.064938428778814E-3</v>
          </cell>
        </row>
        <row r="29">
          <cell r="I29">
            <v>6.714956907631352E-4</v>
          </cell>
        </row>
        <row r="30">
          <cell r="I30">
            <v>3.2007162078540112E-4</v>
          </cell>
        </row>
        <row r="32">
          <cell r="I32">
            <v>1.7412275090420155E-5</v>
          </cell>
        </row>
        <row r="33">
          <cell r="I33">
            <v>1.0178719191668157E-5</v>
          </cell>
        </row>
        <row r="34">
          <cell r="I34">
            <v>6.4273436220857861E-6</v>
          </cell>
        </row>
        <row r="35">
          <cell r="I35">
            <v>8.6760008887800721E-7</v>
          </cell>
        </row>
        <row r="36">
          <cell r="I36">
            <v>6.6947377134808178E-7</v>
          </cell>
        </row>
        <row r="37">
          <cell r="I37">
            <v>3.2767948605994359E-7</v>
          </cell>
        </row>
        <row r="38">
          <cell r="I38">
            <v>3.2542264631727358E-7</v>
          </cell>
        </row>
        <row r="39">
          <cell r="I39">
            <v>2.3122641958068375E-7</v>
          </cell>
        </row>
        <row r="40">
          <cell r="I40">
            <v>1.3703764715525487E-11</v>
          </cell>
        </row>
        <row r="47">
          <cell r="I47">
            <v>3.4320343919544133E-5</v>
          </cell>
        </row>
        <row r="50">
          <cell r="I50">
            <v>2.2386717373230602E-6</v>
          </cell>
        </row>
        <row r="57">
          <cell r="I57">
            <v>3.9139431318780767E-5</v>
          </cell>
        </row>
        <row r="60">
          <cell r="I60">
            <v>9.2110850452615998E-6</v>
          </cell>
        </row>
        <row r="62">
          <cell r="J62">
            <v>2.0049280171110295E-2</v>
          </cell>
        </row>
        <row r="68">
          <cell r="I68">
            <v>2.3593158088228227E-5</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1"/>
    </sheetNames>
    <sheetDataSet>
      <sheetData sheetId="0">
        <row r="2">
          <cell r="H2">
            <v>1.2359979646140776E-2</v>
          </cell>
        </row>
        <row r="3">
          <cell r="H3">
            <v>1.2324044383016724E-2</v>
          </cell>
        </row>
        <row r="4">
          <cell r="H4">
            <v>1.2304222381603929E-2</v>
          </cell>
        </row>
        <row r="5">
          <cell r="H5">
            <v>1.1088892985597116E-2</v>
          </cell>
        </row>
        <row r="6">
          <cell r="H6">
            <v>1.0543709531220269E-2</v>
          </cell>
        </row>
        <row r="7">
          <cell r="H7">
            <v>1.0022772500268527E-2</v>
          </cell>
        </row>
        <row r="8">
          <cell r="H8">
            <v>9.871173018980486E-3</v>
          </cell>
        </row>
        <row r="9">
          <cell r="H9">
            <v>9.3079112655697072E-3</v>
          </cell>
        </row>
        <row r="10">
          <cell r="H10">
            <v>6.5385220697443958E-3</v>
          </cell>
        </row>
        <row r="12">
          <cell r="H12">
            <v>2.5625463038901133E-3</v>
          </cell>
        </row>
        <row r="13">
          <cell r="H13">
            <v>2.6003829746688717E-3</v>
          </cell>
        </row>
        <row r="14">
          <cell r="H14">
            <v>2.52739738280627E-3</v>
          </cell>
        </row>
        <row r="15">
          <cell r="H15">
            <v>2.088856919957755E-3</v>
          </cell>
        </row>
        <row r="16">
          <cell r="H16">
            <v>1.922025367772607E-3</v>
          </cell>
        </row>
        <row r="17">
          <cell r="H17">
            <v>1.7624951373922536E-3</v>
          </cell>
        </row>
        <row r="18">
          <cell r="H18">
            <v>1.7111707356714967E-3</v>
          </cell>
        </row>
        <row r="19">
          <cell r="H19">
            <v>1.5678083683581016E-3</v>
          </cell>
        </row>
        <row r="20">
          <cell r="H20">
            <v>1.2714799775091585E-3</v>
          </cell>
        </row>
        <row r="22">
          <cell r="H22">
            <v>1.11462897607527E-3</v>
          </cell>
        </row>
        <row r="23">
          <cell r="H23">
            <v>1.1643614847952671E-3</v>
          </cell>
        </row>
        <row r="24">
          <cell r="H24">
            <v>1.1924327597893866E-3</v>
          </cell>
        </row>
        <row r="25">
          <cell r="H25">
            <v>9.5279761670255959E-4</v>
          </cell>
        </row>
        <row r="26">
          <cell r="H26">
            <v>9.3100545010947849E-4</v>
          </cell>
        </row>
        <row r="27">
          <cell r="H27">
            <v>8.631172546671739E-4</v>
          </cell>
        </row>
        <row r="28">
          <cell r="H28">
            <v>8.4724206998967682E-4</v>
          </cell>
        </row>
        <row r="29">
          <cell r="H29">
            <v>7.2627610438770105E-4</v>
          </cell>
        </row>
        <row r="30">
          <cell r="H30">
            <v>5.5363292141804351E-4</v>
          </cell>
        </row>
        <row r="32">
          <cell r="H32">
            <v>1.214542199083804E-2</v>
          </cell>
        </row>
        <row r="33">
          <cell r="H33">
            <v>1.1758564849994229E-2</v>
          </cell>
        </row>
        <row r="34">
          <cell r="H34">
            <v>1.1416985988320959E-2</v>
          </cell>
        </row>
        <row r="35">
          <cell r="H35">
            <v>8.3457105142542651E-3</v>
          </cell>
        </row>
        <row r="36">
          <cell r="H36">
            <v>7.4539132591085163E-3</v>
          </cell>
        </row>
        <row r="37">
          <cell r="H37">
            <v>6.2781430528851649E-3</v>
          </cell>
        </row>
        <row r="38">
          <cell r="H38">
            <v>5.82031378262521E-3</v>
          </cell>
        </row>
        <row r="39">
          <cell r="H39">
            <v>4.0844684814783459E-3</v>
          </cell>
        </row>
        <row r="40">
          <cell r="H40">
            <v>2.4733878398366617E-3</v>
          </cell>
        </row>
        <row r="47">
          <cell r="H47">
            <v>7.1055682584941259E-3</v>
          </cell>
        </row>
        <row r="50">
          <cell r="H50">
            <v>5.4622742204646878E-3</v>
          </cell>
        </row>
        <row r="57">
          <cell r="H57">
            <v>3.1841173975500369E-3</v>
          </cell>
        </row>
        <row r="60">
          <cell r="H60">
            <v>2.1867007128412979E-3</v>
          </cell>
        </row>
        <row r="62">
          <cell r="I62">
            <v>1.4057892042931803E-2</v>
          </cell>
        </row>
        <row r="68">
          <cell r="H68">
            <v>1.0633773069601888E-2</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3B7E0E-04DE-48C9-A2F8-D930E0A39744}" name="Table1" displayName="Table1" ref="AC27:AM37" totalsRowShown="0" headerRowDxfId="12" dataDxfId="11">
  <autoFilter ref="AC27:AM37" xr:uid="{093B7E0E-04DE-48C9-A2F8-D930E0A39744}"/>
  <tableColumns count="11">
    <tableColumn id="1" xr3:uid="{0AF760EA-1876-47C7-BEB2-5B2232A536E6}" name="Column1" dataDxfId="10"/>
    <tableColumn id="2" xr3:uid="{7A2A71F8-609F-4CB5-8DD1-7491C0F2AA74}" name="Column2" dataDxfId="9"/>
    <tableColumn id="3" xr3:uid="{DF0C5562-2404-4D36-ADE6-E5FCBBB6EED1}" name="Column3" dataDxfId="8"/>
    <tableColumn id="4" xr3:uid="{A9BA6446-2CCA-4E3A-AC66-367B58426702}" name="Column4" dataDxfId="7"/>
    <tableColumn id="5" xr3:uid="{FEC05968-1748-49DE-B8E3-3928A18E68B1}" name="Column5" dataDxfId="6"/>
    <tableColumn id="6" xr3:uid="{E2D260DC-35EF-4488-8FE5-9F2409386CD0}" name="Column6" dataDxfId="5"/>
    <tableColumn id="7" xr3:uid="{9D7198CB-4EF8-4ECD-84E2-2E6AC05DF1A3}" name="Column7" dataDxfId="4"/>
    <tableColumn id="8" xr3:uid="{A687F8FC-05C9-49E8-9FAB-6ED03C197EC0}" name="Column8" dataDxfId="3"/>
    <tableColumn id="9" xr3:uid="{B592A677-470A-44E7-A70D-5C1B459D19B4}" name="Column9" dataDxfId="2"/>
    <tableColumn id="10" xr3:uid="{27BE1E5E-6830-40D4-944F-E0822FA6EF36}" name="Column10" dataDxfId="1"/>
    <tableColumn id="11" xr3:uid="{355FF11F-A702-4754-ACF2-CEAF15E7CDE2}" name="Column1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backlinko.com/smartphone-usage-statistics" TargetMode="External"/><Relationship Id="rId1" Type="http://schemas.openxmlformats.org/officeDocument/2006/relationships/hyperlink" Target="https://www.klicksafe.eu/en/news/kinder-und-jugendliche-verbringen-taeglich-gut-zwei-stunden-am-smartphone"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5.v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8" Type="http://schemas.openxmlformats.org/officeDocument/2006/relationships/comments" Target="../comments6.xml"/><Relationship Id="rId3" Type="http://schemas.openxmlformats.org/officeDocument/2006/relationships/hyperlink" Target="https://fcc.report/FCC-ID/ZCASMT500/4834826.pdf" TargetMode="External"/><Relationship Id="rId7" Type="http://schemas.openxmlformats.org/officeDocument/2006/relationships/vmlDrawing" Target="../drawings/vmlDrawing6.vml"/><Relationship Id="rId2" Type="http://schemas.openxmlformats.org/officeDocument/2006/relationships/hyperlink" Target="https://fcc.report/FCC-ID/A3LSMP620/7137527.pdf" TargetMode="External"/><Relationship Id="rId1" Type="http://schemas.openxmlformats.org/officeDocument/2006/relationships/hyperlink" Target="https://fcc.report/FCC-ID/PY7-64228M/7147969.pdf" TargetMode="External"/><Relationship Id="rId6" Type="http://schemas.openxmlformats.org/officeDocument/2006/relationships/printerSettings" Target="../printerSettings/printerSettings8.bin"/><Relationship Id="rId5" Type="http://schemas.openxmlformats.org/officeDocument/2006/relationships/hyperlink" Target="https://www.sciencedirect.com/topics/computer-science/bluetooth-radio" TargetMode="External"/><Relationship Id="rId4" Type="http://schemas.openxmlformats.org/officeDocument/2006/relationships/hyperlink" Target="https://apps.fcc.gov/eas/GetApplicationAttachment.html?id=2095846"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N63"/>
  <sheetViews>
    <sheetView topLeftCell="CB1" zoomScale="70" zoomScaleNormal="70" workbookViewId="0">
      <selection activeCell="CI5" sqref="CI5"/>
    </sheetView>
  </sheetViews>
  <sheetFormatPr defaultColWidth="9" defaultRowHeight="14" x14ac:dyDescent="0.3"/>
  <cols>
    <col min="1" max="3" width="11.08203125" style="86" customWidth="1"/>
    <col min="4" max="4" width="9" style="161" customWidth="1"/>
    <col min="5" max="5" width="9" style="159" customWidth="1"/>
    <col min="6" max="6" width="23" style="161" customWidth="1"/>
    <col min="7" max="8" width="23" style="86" customWidth="1"/>
    <col min="9" max="9" width="14.5" style="159" customWidth="1"/>
    <col min="10" max="10" width="16.75" style="86" customWidth="1"/>
    <col min="11" max="11" width="19.33203125" style="86" customWidth="1"/>
    <col min="12" max="12" width="30.83203125" style="86" customWidth="1"/>
    <col min="13" max="15" width="24.83203125" style="86" customWidth="1"/>
    <col min="16" max="16" width="21.5" style="86" bestFit="1" customWidth="1"/>
    <col min="17" max="34" width="11.5" style="86" customWidth="1"/>
    <col min="35" max="35" width="11.83203125" style="86" customWidth="1"/>
    <col min="36" max="42" width="11" style="86" customWidth="1"/>
    <col min="43" max="43" width="9" style="86" customWidth="1"/>
    <col min="44" max="44" width="18.83203125" style="86" customWidth="1"/>
    <col min="45" max="45" width="11.5" style="86" customWidth="1"/>
    <col min="46" max="46" width="12.08203125" style="86" customWidth="1"/>
    <col min="47" max="47" width="14.33203125" style="86" customWidth="1"/>
    <col min="48" max="48" width="22.75" style="86" bestFit="1" customWidth="1"/>
    <col min="49" max="60" width="11.75" style="86" customWidth="1"/>
    <col min="61" max="61" width="14.33203125" style="86" customWidth="1"/>
    <col min="62" max="62" width="17.75" style="86" customWidth="1"/>
    <col min="63" max="63" width="34.5" style="86" customWidth="1"/>
    <col min="64" max="64" width="29.25" style="86" customWidth="1"/>
    <col min="65" max="65" width="25.83203125" style="86" customWidth="1"/>
    <col min="66" max="66" width="30.75" style="86" customWidth="1"/>
    <col min="67" max="68" width="16" style="86" customWidth="1"/>
    <col min="69" max="69" width="36.25" style="86" customWidth="1"/>
    <col min="70" max="70" width="31" style="86" customWidth="1"/>
    <col min="71" max="71" width="27.58203125" style="86" customWidth="1"/>
    <col min="72" max="72" width="9.75" style="86" customWidth="1"/>
    <col min="73" max="73" width="11.58203125" style="86" customWidth="1"/>
    <col min="74" max="74" width="31" style="86" customWidth="1"/>
    <col min="75" max="75" width="14" style="86" customWidth="1"/>
    <col min="76" max="76" width="17.58203125" style="86" customWidth="1"/>
    <col min="77" max="77" width="12.08203125" style="86" customWidth="1"/>
    <col min="78" max="78" width="10.25" style="86" customWidth="1"/>
    <col min="79" max="80" width="20" style="86" customWidth="1"/>
    <col min="81" max="81" width="25.33203125" style="86" customWidth="1"/>
    <col min="82" max="82" width="21.5" style="86" customWidth="1"/>
    <col min="83" max="83" width="18.33203125" style="86" customWidth="1"/>
    <col min="84" max="84" width="10.25" style="86" customWidth="1"/>
    <col min="85" max="87" width="18.83203125" style="86" customWidth="1"/>
    <col min="88" max="88" width="13.5" style="86" customWidth="1"/>
    <col min="89" max="97" width="11.08203125" style="86" customWidth="1"/>
    <col min="98" max="101" width="9" style="86" customWidth="1"/>
    <col min="102" max="102" width="14.33203125" style="86" customWidth="1"/>
    <col min="103" max="106" width="9" style="86" customWidth="1"/>
    <col min="107" max="107" width="12.75" style="86" customWidth="1"/>
    <col min="108" max="108" width="16.75" style="86" customWidth="1"/>
    <col min="109" max="109" width="12.83203125" style="86" customWidth="1"/>
    <col min="110" max="110" width="15.08203125" style="86" customWidth="1"/>
    <col min="111" max="111" width="16.08203125" style="86" customWidth="1"/>
    <col min="112" max="112" width="14.33203125" style="86" customWidth="1"/>
    <col min="113" max="115" width="11.83203125" style="86" customWidth="1"/>
    <col min="116" max="116" width="12.83203125" style="86" customWidth="1"/>
    <col min="117" max="117" width="15.08203125" style="86" customWidth="1"/>
    <col min="118" max="118" width="16.08203125" style="86" customWidth="1"/>
    <col min="119" max="119" width="10.83203125" style="86" customWidth="1"/>
    <col min="120" max="120" width="12.25" style="86" customWidth="1"/>
    <col min="121" max="122" width="11.83203125" style="86" customWidth="1"/>
    <col min="123" max="123" width="19" style="86" customWidth="1"/>
    <col min="124" max="124" width="15.08203125" style="86" customWidth="1"/>
    <col min="125" max="125" width="16.08203125" style="86" customWidth="1"/>
    <col min="126" max="126" width="10.83203125" style="86" customWidth="1"/>
    <col min="127" max="129" width="11.83203125" style="86" customWidth="1"/>
    <col min="130" max="130" width="12.83203125" style="86" customWidth="1"/>
    <col min="131" max="131" width="15.08203125" style="86" customWidth="1"/>
    <col min="132" max="132" width="16.08203125" style="86" customWidth="1"/>
    <col min="133" max="133" width="10.83203125" style="86" customWidth="1"/>
    <col min="134" max="135" width="11.83203125" style="86" customWidth="1"/>
    <col min="136" max="136" width="9" style="86" customWidth="1"/>
    <col min="137" max="137" width="11.83203125" style="86" customWidth="1"/>
    <col min="138" max="138" width="12.83203125" style="86" customWidth="1"/>
    <col min="139" max="139" width="15.08203125" style="86" customWidth="1"/>
    <col min="140" max="140" width="16.08203125" style="86" customWidth="1"/>
    <col min="141" max="141" width="10.83203125" style="86" customWidth="1"/>
    <col min="142" max="144" width="11.83203125" style="86" customWidth="1"/>
    <col min="145" max="145" width="12.83203125" style="86" customWidth="1"/>
    <col min="146" max="146" width="15.08203125" style="86" customWidth="1"/>
    <col min="147" max="147" width="16.08203125" style="86" customWidth="1"/>
    <col min="148" max="148" width="10.83203125" style="86" customWidth="1"/>
    <col min="149" max="151" width="11.83203125" style="86" customWidth="1"/>
    <col min="152" max="152" width="12.83203125" style="86" customWidth="1"/>
    <col min="153" max="153" width="15.08203125" style="86" customWidth="1"/>
    <col min="154" max="154" width="16.08203125" style="86" customWidth="1"/>
    <col min="155" max="155" width="10.83203125" style="86" customWidth="1"/>
    <col min="156" max="157" width="11.83203125" style="86" customWidth="1"/>
    <col min="158" max="159" width="9" style="86" customWidth="1"/>
    <col min="160" max="160" width="14.25" style="86" customWidth="1"/>
    <col min="161" max="162" width="9" style="86" customWidth="1"/>
    <col min="163" max="163" width="9.58203125" style="86" customWidth="1"/>
    <col min="164" max="170" width="9" style="86" customWidth="1"/>
    <col min="171" max="171" width="18" style="86" customWidth="1"/>
    <col min="172" max="192" width="9" style="86" customWidth="1"/>
    <col min="193" max="197" width="10.75" style="86" customWidth="1"/>
    <col min="198" max="198" width="11.5" style="86" customWidth="1"/>
    <col min="199" max="199" width="10.75" style="86" customWidth="1"/>
    <col min="200" max="220" width="9" style="86" customWidth="1"/>
    <col min="221" max="225" width="10.75" style="86" customWidth="1"/>
    <col min="226" max="226" width="11.5" style="86" customWidth="1"/>
    <col min="227" max="227" width="10.75" style="86" customWidth="1"/>
    <col min="228" max="234" width="9" style="86" customWidth="1"/>
    <col min="235" max="235" width="17.33203125" style="86" customWidth="1"/>
    <col min="236" max="236" width="11.83203125" style="86" bestFit="1" customWidth="1"/>
    <col min="237" max="237" width="14.75" style="86" customWidth="1"/>
    <col min="238" max="238" width="12.58203125" style="86" customWidth="1"/>
    <col min="239" max="246" width="9" style="86"/>
    <col min="247" max="247" width="17.83203125" style="86" customWidth="1"/>
    <col min="248" max="248" width="36.75" style="86" customWidth="1"/>
    <col min="249" max="16384" width="9" style="86"/>
  </cols>
  <sheetData>
    <row r="1" spans="1:248" ht="14.5" x14ac:dyDescent="0.35">
      <c r="B1" s="342" t="s">
        <v>85</v>
      </c>
      <c r="C1" s="343"/>
      <c r="D1" s="342" t="s">
        <v>71</v>
      </c>
      <c r="E1" s="343"/>
      <c r="F1" s="342" t="s">
        <v>319</v>
      </c>
      <c r="G1" s="344"/>
      <c r="H1" s="342" t="s">
        <v>320</v>
      </c>
      <c r="I1" s="344"/>
      <c r="J1" s="216" t="s">
        <v>62</v>
      </c>
      <c r="K1" s="338" t="s">
        <v>601</v>
      </c>
      <c r="L1" s="338"/>
      <c r="M1" s="347" t="s">
        <v>658</v>
      </c>
      <c r="N1" s="347"/>
      <c r="O1" s="347"/>
      <c r="P1" s="348"/>
      <c r="Q1" s="338" t="s">
        <v>615</v>
      </c>
      <c r="R1" s="338"/>
      <c r="S1" s="338"/>
      <c r="T1" s="338"/>
      <c r="U1" s="338"/>
      <c r="V1" s="338"/>
      <c r="W1" s="338"/>
      <c r="X1" s="338"/>
      <c r="Y1" s="338"/>
      <c r="Z1" s="338"/>
      <c r="AA1" s="338"/>
      <c r="AB1" s="338"/>
      <c r="AC1" s="338"/>
      <c r="AD1" s="338"/>
      <c r="AE1" s="338"/>
      <c r="AF1" s="338"/>
      <c r="AG1" s="338"/>
      <c r="AH1" s="338"/>
      <c r="AI1" s="338"/>
      <c r="AJ1" s="338"/>
      <c r="AK1" s="338"/>
      <c r="AL1" s="338"/>
      <c r="AM1" s="338"/>
      <c r="AN1" s="338"/>
      <c r="AO1" s="338"/>
      <c r="AP1" s="338"/>
      <c r="AQ1" s="329" t="s">
        <v>431</v>
      </c>
      <c r="AR1" s="329"/>
      <c r="AS1" s="329"/>
      <c r="AT1" s="329"/>
      <c r="AU1" s="329"/>
      <c r="AV1" s="329"/>
      <c r="AW1" s="338" t="s">
        <v>602</v>
      </c>
      <c r="AX1" s="338"/>
      <c r="AY1" s="338"/>
      <c r="AZ1" s="338"/>
      <c r="BA1" s="338"/>
      <c r="BB1" s="338"/>
      <c r="BC1" s="338"/>
      <c r="BD1" s="338"/>
      <c r="BE1" s="338"/>
      <c r="BF1" s="338"/>
      <c r="BG1" s="338"/>
      <c r="BH1" s="338"/>
      <c r="BI1" s="329" t="s">
        <v>432</v>
      </c>
      <c r="BJ1" s="329"/>
      <c r="BK1" s="329"/>
      <c r="BL1" s="329"/>
      <c r="BM1" s="329"/>
      <c r="BN1" s="329"/>
      <c r="BO1" s="329"/>
      <c r="BP1" s="329"/>
      <c r="BQ1" s="329"/>
      <c r="BR1" s="329"/>
      <c r="BS1" s="329"/>
      <c r="BT1" s="329"/>
      <c r="BU1" s="329" t="s">
        <v>433</v>
      </c>
      <c r="BV1" s="329"/>
      <c r="BW1" s="329"/>
      <c r="BX1" s="329"/>
      <c r="BY1" s="329"/>
      <c r="BZ1" s="329"/>
      <c r="CA1" s="329"/>
      <c r="CB1" s="329"/>
      <c r="CC1" s="329"/>
      <c r="CD1" s="329"/>
      <c r="CE1" s="329"/>
      <c r="CF1" s="329"/>
      <c r="CG1" s="329" t="s">
        <v>434</v>
      </c>
      <c r="CH1" s="329"/>
      <c r="CI1" s="329"/>
      <c r="CJ1" s="329" t="s">
        <v>572</v>
      </c>
      <c r="CK1" s="329"/>
      <c r="CL1" s="329"/>
      <c r="CM1" s="329"/>
      <c r="CN1" s="329"/>
      <c r="CO1" s="329"/>
      <c r="CP1" s="329"/>
      <c r="CQ1" s="329"/>
      <c r="CR1" s="329"/>
      <c r="CS1" s="329"/>
      <c r="CT1" s="329" t="s">
        <v>460</v>
      </c>
      <c r="CU1" s="329"/>
      <c r="CV1" s="329"/>
      <c r="CW1" s="329"/>
      <c r="CX1" s="329" t="s">
        <v>461</v>
      </c>
      <c r="CY1" s="329"/>
      <c r="CZ1" s="329"/>
      <c r="DA1" s="329"/>
      <c r="DB1" s="329" t="s">
        <v>464</v>
      </c>
      <c r="DC1" s="329"/>
      <c r="DD1" s="329" t="s">
        <v>465</v>
      </c>
      <c r="DE1" s="329"/>
      <c r="DF1" s="329"/>
      <c r="DG1" s="329"/>
      <c r="DH1" s="329"/>
      <c r="DI1" s="329"/>
      <c r="DJ1" s="329"/>
      <c r="DK1" s="329"/>
      <c r="DL1" s="329"/>
      <c r="DM1" s="329"/>
      <c r="DN1" s="329"/>
      <c r="DO1" s="329"/>
      <c r="DP1" s="329"/>
      <c r="DQ1" s="329"/>
      <c r="DR1" s="329"/>
      <c r="DS1" s="329"/>
      <c r="DT1" s="329"/>
      <c r="DU1" s="329"/>
      <c r="DV1" s="329"/>
      <c r="DW1" s="329"/>
      <c r="DX1" s="329"/>
      <c r="DY1" s="329"/>
      <c r="DZ1" s="329"/>
      <c r="EA1" s="329"/>
      <c r="EB1" s="329"/>
      <c r="EC1" s="329"/>
      <c r="ED1" s="329"/>
      <c r="EE1" s="329"/>
      <c r="EF1" s="329" t="s">
        <v>462</v>
      </c>
      <c r="EG1" s="329"/>
      <c r="EH1" s="329"/>
      <c r="EI1" s="329"/>
      <c r="EJ1" s="329"/>
      <c r="EK1" s="329"/>
      <c r="EL1" s="329"/>
      <c r="EM1" s="329"/>
      <c r="EN1" s="329"/>
      <c r="EO1" s="329"/>
      <c r="EP1" s="329"/>
      <c r="EQ1" s="329"/>
      <c r="ER1" s="329"/>
      <c r="ES1" s="329"/>
      <c r="ET1" s="329"/>
      <c r="EU1" s="329"/>
      <c r="EV1" s="329"/>
      <c r="EW1" s="329"/>
      <c r="EX1" s="329"/>
      <c r="EY1" s="329"/>
      <c r="EZ1" s="329"/>
      <c r="FA1" s="217"/>
      <c r="FB1" s="329" t="s">
        <v>463</v>
      </c>
      <c r="FC1" s="329"/>
      <c r="FD1" s="216" t="s">
        <v>484</v>
      </c>
      <c r="FE1" s="329" t="s">
        <v>325</v>
      </c>
      <c r="FF1" s="329"/>
      <c r="FG1" s="329"/>
      <c r="FH1" s="329"/>
      <c r="FI1" s="329"/>
      <c r="FJ1" s="329"/>
      <c r="FK1" s="329"/>
      <c r="FL1" s="329"/>
      <c r="FM1" s="329"/>
      <c r="FN1" s="329"/>
      <c r="FO1" s="329"/>
      <c r="FP1" s="329" t="s">
        <v>365</v>
      </c>
      <c r="FQ1" s="329"/>
      <c r="FR1" s="329"/>
      <c r="FS1" s="329"/>
      <c r="FT1" s="329"/>
      <c r="FU1" s="329"/>
      <c r="FV1" s="329"/>
      <c r="FW1" s="330" t="s">
        <v>466</v>
      </c>
      <c r="FX1" s="330"/>
      <c r="FY1" s="330"/>
      <c r="FZ1" s="330"/>
      <c r="GA1" s="330"/>
      <c r="GB1" s="330"/>
      <c r="GC1" s="330"/>
      <c r="GD1" s="330"/>
      <c r="GE1" s="330"/>
      <c r="GF1" s="330"/>
      <c r="GG1" s="330"/>
      <c r="GH1" s="330"/>
      <c r="GI1" s="330"/>
      <c r="GJ1" s="330"/>
      <c r="GK1" s="330"/>
      <c r="GL1" s="330"/>
      <c r="GM1" s="330"/>
      <c r="GN1" s="330"/>
      <c r="GO1" s="330"/>
      <c r="GP1" s="330"/>
      <c r="GQ1" s="330"/>
      <c r="GR1" s="330"/>
      <c r="GS1" s="330"/>
      <c r="GT1" s="330"/>
      <c r="GU1" s="330"/>
      <c r="GV1" s="330"/>
      <c r="GW1" s="330"/>
      <c r="GX1" s="330"/>
      <c r="GY1" s="330"/>
      <c r="GZ1" s="330"/>
      <c r="HA1" s="330"/>
      <c r="HB1" s="330"/>
      <c r="HC1" s="330"/>
      <c r="HD1" s="330"/>
      <c r="HE1" s="330"/>
      <c r="HF1" s="330"/>
      <c r="HG1" s="330"/>
      <c r="HH1" s="330"/>
      <c r="HI1" s="330"/>
      <c r="HJ1" s="330"/>
      <c r="HK1" s="330"/>
      <c r="HL1" s="330"/>
      <c r="HM1" s="330"/>
      <c r="HN1" s="330"/>
      <c r="HO1" s="330"/>
      <c r="HP1" s="330"/>
      <c r="HQ1" s="330"/>
      <c r="HR1" s="330"/>
      <c r="HS1" s="330"/>
      <c r="HT1" s="330"/>
      <c r="HU1" s="330"/>
      <c r="HV1" s="330"/>
      <c r="HW1" s="330"/>
      <c r="HX1" s="330"/>
      <c r="HY1" s="330"/>
      <c r="HZ1" s="330"/>
      <c r="IA1" s="330" t="s">
        <v>469</v>
      </c>
      <c r="IB1" s="330"/>
      <c r="IC1" s="337" t="s">
        <v>500</v>
      </c>
      <c r="ID1" s="337"/>
      <c r="IE1" s="337"/>
      <c r="IF1" s="337"/>
      <c r="IG1" s="337"/>
      <c r="IH1" s="337"/>
      <c r="II1" s="337"/>
      <c r="IJ1" s="337"/>
      <c r="IK1" s="337"/>
      <c r="IL1" s="337"/>
    </row>
    <row r="2" spans="1:248" x14ac:dyDescent="0.3">
      <c r="B2" s="345" t="s">
        <v>102</v>
      </c>
      <c r="C2" s="346"/>
      <c r="D2" s="345" t="s">
        <v>102</v>
      </c>
      <c r="E2" s="346"/>
      <c r="F2" s="345" t="s">
        <v>102</v>
      </c>
      <c r="G2" s="346"/>
      <c r="H2" s="345" t="s">
        <v>102</v>
      </c>
      <c r="I2" s="346"/>
      <c r="J2" s="86" t="s">
        <v>61</v>
      </c>
      <c r="K2" s="332"/>
      <c r="L2" s="334"/>
      <c r="M2" s="353" t="s">
        <v>24</v>
      </c>
      <c r="N2" s="353"/>
      <c r="O2" s="353" t="s">
        <v>659</v>
      </c>
      <c r="P2" s="354"/>
      <c r="Q2" s="337" t="s">
        <v>598</v>
      </c>
      <c r="R2" s="337"/>
      <c r="S2" s="337"/>
      <c r="T2" s="337"/>
      <c r="U2" s="337"/>
      <c r="V2" s="337"/>
      <c r="W2" s="337"/>
      <c r="X2" s="337"/>
      <c r="Y2" s="337"/>
      <c r="Z2" s="337"/>
      <c r="AA2" s="332" t="s">
        <v>597</v>
      </c>
      <c r="AB2" s="333"/>
      <c r="AC2" s="333"/>
      <c r="AD2" s="333"/>
      <c r="AE2" s="333"/>
      <c r="AF2" s="333"/>
      <c r="AG2" s="333"/>
      <c r="AH2" s="333"/>
      <c r="AI2" s="333"/>
      <c r="AJ2" s="334"/>
      <c r="AK2" s="332" t="s">
        <v>599</v>
      </c>
      <c r="AL2" s="333"/>
      <c r="AM2" s="333"/>
      <c r="AN2" s="333"/>
      <c r="AO2" s="333"/>
      <c r="AP2" s="334"/>
      <c r="AQ2" s="330" t="s">
        <v>430</v>
      </c>
      <c r="AR2" s="330"/>
      <c r="AS2" s="330"/>
      <c r="AT2" s="330"/>
      <c r="AU2" s="330"/>
      <c r="AV2" s="330"/>
      <c r="AW2" s="337" t="s">
        <v>5</v>
      </c>
      <c r="AX2" s="337"/>
      <c r="AY2" s="337" t="s">
        <v>6</v>
      </c>
      <c r="AZ2" s="337"/>
      <c r="BA2" s="337" t="s">
        <v>7</v>
      </c>
      <c r="BB2" s="337"/>
      <c r="BC2" s="337" t="s">
        <v>8</v>
      </c>
      <c r="BD2" s="337"/>
      <c r="BE2" s="337" t="s">
        <v>391</v>
      </c>
      <c r="BF2" s="337"/>
      <c r="BG2" s="337" t="s">
        <v>331</v>
      </c>
      <c r="BH2" s="337"/>
      <c r="BI2" s="330" t="s">
        <v>122</v>
      </c>
      <c r="BJ2" s="330"/>
      <c r="BK2" s="330"/>
      <c r="BL2" s="330"/>
      <c r="BM2" s="330"/>
      <c r="BN2" s="330"/>
      <c r="BO2" s="330"/>
      <c r="BP2" s="330"/>
      <c r="BQ2" s="330"/>
      <c r="BR2" s="330"/>
      <c r="BS2" s="330"/>
      <c r="BT2" s="330"/>
      <c r="BU2" s="330" t="s">
        <v>122</v>
      </c>
      <c r="BV2" s="330"/>
      <c r="BW2" s="330"/>
      <c r="BX2" s="330"/>
      <c r="BY2" s="330"/>
      <c r="BZ2" s="330"/>
      <c r="CA2" s="330"/>
      <c r="CB2" s="330"/>
      <c r="CC2" s="330"/>
      <c r="CD2" s="330"/>
      <c r="CE2" s="330"/>
      <c r="CF2" s="330"/>
      <c r="CG2" s="330" t="s">
        <v>430</v>
      </c>
      <c r="CH2" s="330"/>
      <c r="CI2" s="330"/>
      <c r="CJ2" s="337" t="s">
        <v>596</v>
      </c>
      <c r="CK2" s="337"/>
      <c r="CL2" s="337"/>
      <c r="CM2" s="337"/>
      <c r="CN2" s="337" t="s">
        <v>597</v>
      </c>
      <c r="CO2" s="337"/>
      <c r="CP2" s="337"/>
      <c r="CQ2" s="337"/>
      <c r="CR2" s="337" t="s">
        <v>3</v>
      </c>
      <c r="CS2" s="337"/>
      <c r="CT2" s="330" t="s">
        <v>430</v>
      </c>
      <c r="CU2" s="330"/>
      <c r="CV2" s="330"/>
      <c r="CW2" s="330"/>
      <c r="CX2" s="330" t="s">
        <v>430</v>
      </c>
      <c r="CY2" s="330"/>
      <c r="CZ2" s="330"/>
      <c r="DA2" s="330"/>
      <c r="DB2" s="330" t="s">
        <v>430</v>
      </c>
      <c r="DC2" s="330"/>
      <c r="DD2" s="330" t="s">
        <v>70</v>
      </c>
      <c r="DE2" s="330"/>
      <c r="DF2" s="330"/>
      <c r="DG2" s="330"/>
      <c r="DH2" s="330"/>
      <c r="DI2" s="330"/>
      <c r="DJ2" s="330"/>
      <c r="DK2" s="330"/>
      <c r="DL2" s="330"/>
      <c r="DM2" s="330"/>
      <c r="DN2" s="330"/>
      <c r="DO2" s="330"/>
      <c r="DP2" s="330"/>
      <c r="DQ2" s="330"/>
      <c r="DR2" s="330"/>
      <c r="DS2" s="330"/>
      <c r="DT2" s="330"/>
      <c r="DU2" s="330"/>
      <c r="DV2" s="330"/>
      <c r="DW2" s="330"/>
      <c r="DX2" s="330"/>
      <c r="DY2" s="330"/>
      <c r="DZ2" s="330"/>
      <c r="EA2" s="330"/>
      <c r="EB2" s="330"/>
      <c r="EC2" s="330"/>
      <c r="ED2" s="330"/>
      <c r="EE2" s="330"/>
      <c r="EF2" s="330" t="s">
        <v>70</v>
      </c>
      <c r="EG2" s="330"/>
      <c r="EH2" s="330"/>
      <c r="EI2" s="330"/>
      <c r="EJ2" s="330"/>
      <c r="EK2" s="330"/>
      <c r="EL2" s="330"/>
      <c r="EM2" s="330"/>
      <c r="EN2" s="330"/>
      <c r="EO2" s="330"/>
      <c r="EP2" s="330"/>
      <c r="EQ2" s="330"/>
      <c r="ER2" s="330"/>
      <c r="ES2" s="330"/>
      <c r="ET2" s="330"/>
      <c r="EU2" s="330"/>
      <c r="EV2" s="330"/>
      <c r="EW2" s="330"/>
      <c r="EX2" s="330"/>
      <c r="EY2" s="330"/>
      <c r="EZ2" s="330"/>
      <c r="FA2" s="330"/>
      <c r="FB2" s="330" t="s">
        <v>70</v>
      </c>
      <c r="FC2" s="330"/>
      <c r="FD2" s="157" t="s">
        <v>70</v>
      </c>
      <c r="FE2" s="330" t="s">
        <v>5</v>
      </c>
      <c r="FF2" s="330"/>
      <c r="FG2" s="330" t="s">
        <v>6</v>
      </c>
      <c r="FH2" s="330"/>
      <c r="FI2" s="330" t="s">
        <v>7</v>
      </c>
      <c r="FJ2" s="330"/>
      <c r="FK2" s="330" t="s">
        <v>8</v>
      </c>
      <c r="FL2" s="330"/>
      <c r="FM2" s="157" t="s">
        <v>391</v>
      </c>
      <c r="FN2" s="86" t="s">
        <v>331</v>
      </c>
      <c r="FO2" s="157" t="s">
        <v>485</v>
      </c>
      <c r="FP2" s="330" t="s">
        <v>430</v>
      </c>
      <c r="FQ2" s="330"/>
      <c r="FR2" s="330"/>
      <c r="FS2" s="330"/>
      <c r="FT2" s="330"/>
      <c r="FU2" s="330"/>
      <c r="FV2" s="330"/>
      <c r="FW2" s="330" t="s">
        <v>65</v>
      </c>
      <c r="FX2" s="330"/>
      <c r="FY2" s="330"/>
      <c r="FZ2" s="330"/>
      <c r="GA2" s="330"/>
      <c r="GB2" s="330"/>
      <c r="GC2" s="330"/>
      <c r="GD2" s="330"/>
      <c r="GE2" s="330"/>
      <c r="GF2" s="330"/>
      <c r="GG2" s="330"/>
      <c r="GH2" s="330"/>
      <c r="GI2" s="330"/>
      <c r="GJ2" s="330"/>
      <c r="GK2" s="330"/>
      <c r="GL2" s="330"/>
      <c r="GM2" s="330"/>
      <c r="GN2" s="330"/>
      <c r="GO2" s="330"/>
      <c r="GP2" s="330"/>
      <c r="GQ2" s="330"/>
      <c r="GR2" s="330"/>
      <c r="GS2" s="330"/>
      <c r="GT2" s="330"/>
      <c r="GU2" s="330"/>
      <c r="GV2" s="330"/>
      <c r="GW2" s="330"/>
      <c r="GX2" s="330"/>
      <c r="GY2" s="330" t="s">
        <v>15</v>
      </c>
      <c r="GZ2" s="330"/>
      <c r="HA2" s="330"/>
      <c r="HB2" s="330"/>
      <c r="HC2" s="330"/>
      <c r="HD2" s="330"/>
      <c r="HE2" s="330"/>
      <c r="HF2" s="330"/>
      <c r="HG2" s="330"/>
      <c r="HH2" s="330"/>
      <c r="HI2" s="330"/>
      <c r="HJ2" s="330"/>
      <c r="HK2" s="330"/>
      <c r="HL2" s="330"/>
      <c r="HM2" s="330"/>
      <c r="HN2" s="330"/>
      <c r="HO2" s="330"/>
      <c r="HP2" s="330"/>
      <c r="HQ2" s="330"/>
      <c r="HR2" s="330"/>
      <c r="HS2" s="330"/>
      <c r="HT2" s="330"/>
      <c r="HU2" s="330"/>
      <c r="HV2" s="330"/>
      <c r="HW2" s="330"/>
      <c r="HX2" s="330"/>
      <c r="HY2" s="330"/>
      <c r="HZ2" s="330"/>
      <c r="IA2" s="330" t="s">
        <v>122</v>
      </c>
      <c r="IB2" s="330"/>
      <c r="IC2" s="337" t="s">
        <v>430</v>
      </c>
      <c r="ID2" s="337"/>
      <c r="IE2" s="337"/>
      <c r="IF2" s="337"/>
      <c r="IG2" s="337"/>
      <c r="IH2" s="337"/>
      <c r="II2" s="337"/>
      <c r="IJ2" s="337"/>
      <c r="IK2" s="337"/>
      <c r="IL2" s="337"/>
    </row>
    <row r="3" spans="1:248" s="148" customFormat="1" x14ac:dyDescent="0.3">
      <c r="A3" s="148" t="s">
        <v>12</v>
      </c>
      <c r="B3" s="148" t="s">
        <v>65</v>
      </c>
      <c r="C3" s="219" t="s">
        <v>15</v>
      </c>
      <c r="D3" s="220" t="s">
        <v>65</v>
      </c>
      <c r="E3" s="219" t="s">
        <v>15</v>
      </c>
      <c r="F3" s="148" t="s">
        <v>65</v>
      </c>
      <c r="G3" s="219" t="s">
        <v>15</v>
      </c>
      <c r="H3" s="148" t="s">
        <v>65</v>
      </c>
      <c r="I3" s="219" t="s">
        <v>15</v>
      </c>
      <c r="K3" s="337" t="s">
        <v>118</v>
      </c>
      <c r="L3" s="337"/>
      <c r="M3" s="165" t="s">
        <v>65</v>
      </c>
      <c r="N3" s="165" t="s">
        <v>595</v>
      </c>
      <c r="O3" s="165" t="s">
        <v>65</v>
      </c>
      <c r="P3" s="262" t="s">
        <v>595</v>
      </c>
      <c r="Q3" s="337" t="s">
        <v>65</v>
      </c>
      <c r="R3" s="337"/>
      <c r="S3" s="337"/>
      <c r="T3" s="337"/>
      <c r="U3" s="337"/>
      <c r="V3" s="332" t="s">
        <v>595</v>
      </c>
      <c r="W3" s="333"/>
      <c r="X3" s="333"/>
      <c r="Y3" s="333"/>
      <c r="Z3" s="334"/>
      <c r="AA3" s="332" t="s">
        <v>65</v>
      </c>
      <c r="AB3" s="333"/>
      <c r="AC3" s="333"/>
      <c r="AD3" s="333"/>
      <c r="AE3" s="334"/>
      <c r="AF3" s="332" t="s">
        <v>595</v>
      </c>
      <c r="AG3" s="333"/>
      <c r="AH3" s="333"/>
      <c r="AI3" s="333"/>
      <c r="AJ3" s="334"/>
      <c r="AK3" s="332" t="s">
        <v>65</v>
      </c>
      <c r="AL3" s="333"/>
      <c r="AM3" s="334"/>
      <c r="AN3" s="332" t="s">
        <v>595</v>
      </c>
      <c r="AO3" s="333"/>
      <c r="AP3" s="334"/>
      <c r="AQ3" s="86" t="s">
        <v>0</v>
      </c>
      <c r="AR3" s="148" t="s">
        <v>24</v>
      </c>
      <c r="AS3" s="341" t="s">
        <v>459</v>
      </c>
      <c r="AT3" s="341"/>
      <c r="AU3" s="341"/>
      <c r="AV3" s="86" t="s">
        <v>665</v>
      </c>
      <c r="AW3" s="218" t="s">
        <v>65</v>
      </c>
      <c r="AX3" s="218" t="s">
        <v>595</v>
      </c>
      <c r="AY3" s="218" t="s">
        <v>65</v>
      </c>
      <c r="AZ3" s="218" t="s">
        <v>595</v>
      </c>
      <c r="BA3" s="218" t="s">
        <v>65</v>
      </c>
      <c r="BB3" s="218" t="s">
        <v>595</v>
      </c>
      <c r="BC3" s="218" t="s">
        <v>65</v>
      </c>
      <c r="BD3" s="218" t="s">
        <v>595</v>
      </c>
      <c r="BE3" s="218" t="s">
        <v>65</v>
      </c>
      <c r="BF3" s="218" t="s">
        <v>595</v>
      </c>
      <c r="BG3" s="218" t="s">
        <v>65</v>
      </c>
      <c r="BH3" s="218" t="s">
        <v>595</v>
      </c>
      <c r="BI3" s="331" t="s">
        <v>65</v>
      </c>
      <c r="BJ3" s="331"/>
      <c r="BK3" s="331"/>
      <c r="BL3" s="331"/>
      <c r="BM3" s="331"/>
      <c r="BN3" s="331"/>
      <c r="BO3" s="331" t="s">
        <v>15</v>
      </c>
      <c r="BP3" s="331"/>
      <c r="BQ3" s="331"/>
      <c r="BR3" s="331"/>
      <c r="BS3" s="331"/>
      <c r="BT3" s="331"/>
      <c r="BU3" s="331" t="s">
        <v>65</v>
      </c>
      <c r="BV3" s="331"/>
      <c r="BW3" s="331"/>
      <c r="BX3" s="331"/>
      <c r="BY3" s="331"/>
      <c r="BZ3" s="331"/>
      <c r="CA3" s="331" t="s">
        <v>15</v>
      </c>
      <c r="CB3" s="331"/>
      <c r="CC3" s="331"/>
      <c r="CD3" s="331"/>
      <c r="CE3" s="331"/>
      <c r="CF3" s="331"/>
      <c r="CG3" s="86" t="s">
        <v>121</v>
      </c>
      <c r="CH3" s="86" t="s">
        <v>2</v>
      </c>
      <c r="CI3" s="86" t="s">
        <v>3</v>
      </c>
      <c r="CJ3" s="222" t="s">
        <v>5</v>
      </c>
      <c r="CK3" s="222" t="s">
        <v>6</v>
      </c>
      <c r="CL3" s="222" t="s">
        <v>7</v>
      </c>
      <c r="CM3" s="222" t="s">
        <v>8</v>
      </c>
      <c r="CN3" s="222" t="s">
        <v>5</v>
      </c>
      <c r="CO3" s="222" t="s">
        <v>6</v>
      </c>
      <c r="CP3" s="222" t="s">
        <v>7</v>
      </c>
      <c r="CQ3" s="222" t="s">
        <v>8</v>
      </c>
      <c r="CR3" s="222" t="s">
        <v>391</v>
      </c>
      <c r="CS3" s="222" t="s">
        <v>331</v>
      </c>
      <c r="CT3" s="148" t="s">
        <v>5</v>
      </c>
      <c r="CU3" s="148" t="s">
        <v>6</v>
      </c>
      <c r="CV3" s="148" t="s">
        <v>7</v>
      </c>
      <c r="CW3" s="148" t="s">
        <v>8</v>
      </c>
      <c r="CX3" s="148" t="s">
        <v>5</v>
      </c>
      <c r="CY3" s="148" t="s">
        <v>6</v>
      </c>
      <c r="CZ3" s="148" t="s">
        <v>7</v>
      </c>
      <c r="DA3" s="148" t="s">
        <v>8</v>
      </c>
      <c r="DB3" s="148" t="s">
        <v>391</v>
      </c>
      <c r="DC3" s="148" t="s">
        <v>331</v>
      </c>
      <c r="DD3" s="331" t="s">
        <v>5</v>
      </c>
      <c r="DE3" s="331"/>
      <c r="DF3" s="331"/>
      <c r="DG3" s="331"/>
      <c r="DH3" s="331"/>
      <c r="DI3" s="331"/>
      <c r="DJ3" s="331"/>
      <c r="DK3" s="331" t="s">
        <v>6</v>
      </c>
      <c r="DL3" s="331"/>
      <c r="DM3" s="331"/>
      <c r="DN3" s="331"/>
      <c r="DO3" s="331"/>
      <c r="DP3" s="331"/>
      <c r="DQ3" s="331"/>
      <c r="DR3" s="331" t="s">
        <v>7</v>
      </c>
      <c r="DS3" s="331"/>
      <c r="DT3" s="331"/>
      <c r="DU3" s="331"/>
      <c r="DV3" s="331"/>
      <c r="DW3" s="331"/>
      <c r="DX3" s="331"/>
      <c r="DY3" s="331" t="s">
        <v>8</v>
      </c>
      <c r="DZ3" s="331"/>
      <c r="EA3" s="331"/>
      <c r="EB3" s="331"/>
      <c r="EC3" s="331"/>
      <c r="ED3" s="331"/>
      <c r="EE3" s="331"/>
      <c r="EF3" s="148" t="s">
        <v>5</v>
      </c>
      <c r="EG3" s="331" t="s">
        <v>6</v>
      </c>
      <c r="EH3" s="331"/>
      <c r="EI3" s="331"/>
      <c r="EJ3" s="331"/>
      <c r="EK3" s="331"/>
      <c r="EL3" s="331"/>
      <c r="EM3" s="331"/>
      <c r="EN3" s="331" t="s">
        <v>7</v>
      </c>
      <c r="EO3" s="331"/>
      <c r="EP3" s="331"/>
      <c r="EQ3" s="331"/>
      <c r="ER3" s="331"/>
      <c r="ES3" s="331"/>
      <c r="ET3" s="331"/>
      <c r="EU3" s="331" t="s">
        <v>8</v>
      </c>
      <c r="EV3" s="331"/>
      <c r="EW3" s="331"/>
      <c r="EX3" s="331"/>
      <c r="EY3" s="331"/>
      <c r="EZ3" s="331"/>
      <c r="FA3" s="331"/>
      <c r="FB3" s="148" t="s">
        <v>391</v>
      </c>
      <c r="FC3" s="148" t="s">
        <v>331</v>
      </c>
      <c r="FD3" s="157"/>
      <c r="FE3" s="86" t="s">
        <v>326</v>
      </c>
      <c r="FF3" s="86" t="s">
        <v>327</v>
      </c>
      <c r="FG3" s="86" t="s">
        <v>326</v>
      </c>
      <c r="FH3" s="86" t="s">
        <v>327</v>
      </c>
      <c r="FI3" s="86" t="s">
        <v>326</v>
      </c>
      <c r="FJ3" s="86" t="s">
        <v>327</v>
      </c>
      <c r="FK3" s="86" t="s">
        <v>326</v>
      </c>
      <c r="FL3" s="86" t="s">
        <v>327</v>
      </c>
      <c r="FM3" s="86" t="s">
        <v>332</v>
      </c>
      <c r="FN3" s="148" t="s">
        <v>332</v>
      </c>
      <c r="FO3" s="215" t="s">
        <v>332</v>
      </c>
      <c r="FP3" s="148">
        <v>700</v>
      </c>
      <c r="FQ3" s="148">
        <v>800</v>
      </c>
      <c r="FR3" s="148">
        <v>900</v>
      </c>
      <c r="FS3" s="148">
        <v>1800</v>
      </c>
      <c r="FT3" s="148">
        <v>2100</v>
      </c>
      <c r="FU3" s="148">
        <v>2600</v>
      </c>
      <c r="FV3" s="148">
        <v>3500</v>
      </c>
      <c r="FW3" s="330" t="s">
        <v>392</v>
      </c>
      <c r="FX3" s="330"/>
      <c r="FY3" s="330"/>
      <c r="FZ3" s="330"/>
      <c r="GA3" s="330"/>
      <c r="GB3" s="330"/>
      <c r="GC3" s="330"/>
      <c r="GD3" s="330" t="s">
        <v>665</v>
      </c>
      <c r="GE3" s="330"/>
      <c r="GF3" s="330"/>
      <c r="GG3" s="330"/>
      <c r="GH3" s="330"/>
      <c r="GI3" s="330"/>
      <c r="GJ3" s="330"/>
      <c r="GK3" s="330" t="s">
        <v>114</v>
      </c>
      <c r="GL3" s="330"/>
      <c r="GM3" s="330"/>
      <c r="GN3" s="330"/>
      <c r="GO3" s="330"/>
      <c r="GP3" s="330"/>
      <c r="GQ3" s="330"/>
      <c r="GR3" s="330" t="s">
        <v>22</v>
      </c>
      <c r="GS3" s="330"/>
      <c r="GT3" s="330"/>
      <c r="GU3" s="330"/>
      <c r="GV3" s="330"/>
      <c r="GW3" s="330"/>
      <c r="GX3" s="330"/>
      <c r="GY3" s="330" t="s">
        <v>392</v>
      </c>
      <c r="GZ3" s="330"/>
      <c r="HA3" s="330"/>
      <c r="HB3" s="330"/>
      <c r="HC3" s="330"/>
      <c r="HD3" s="330"/>
      <c r="HE3" s="330"/>
      <c r="HF3" s="330" t="s">
        <v>665</v>
      </c>
      <c r="HG3" s="330"/>
      <c r="HH3" s="330"/>
      <c r="HI3" s="330"/>
      <c r="HJ3" s="330"/>
      <c r="HK3" s="330"/>
      <c r="HL3" s="330"/>
      <c r="HM3" s="330" t="s">
        <v>114</v>
      </c>
      <c r="HN3" s="330"/>
      <c r="HO3" s="330"/>
      <c r="HP3" s="330"/>
      <c r="HQ3" s="330"/>
      <c r="HR3" s="330"/>
      <c r="HS3" s="330"/>
      <c r="HT3" s="330" t="s">
        <v>22</v>
      </c>
      <c r="HU3" s="330"/>
      <c r="HV3" s="330"/>
      <c r="HW3" s="330"/>
      <c r="HX3" s="330"/>
      <c r="HY3" s="330"/>
      <c r="HZ3" s="330"/>
      <c r="IA3" s="148" t="s">
        <v>65</v>
      </c>
      <c r="IB3" s="148" t="s">
        <v>15</v>
      </c>
      <c r="IC3" s="337" t="s">
        <v>116</v>
      </c>
      <c r="ID3" s="337"/>
      <c r="IE3" s="350" t="s">
        <v>439</v>
      </c>
      <c r="IF3" s="350"/>
      <c r="IG3" s="337" t="s">
        <v>496</v>
      </c>
      <c r="IH3" s="337"/>
      <c r="II3" s="337" t="s">
        <v>499</v>
      </c>
      <c r="IJ3" s="337"/>
      <c r="IK3" s="337" t="s">
        <v>74</v>
      </c>
      <c r="IL3" s="337"/>
      <c r="IM3" s="148" t="s">
        <v>9</v>
      </c>
      <c r="IN3" s="148" t="s">
        <v>16</v>
      </c>
    </row>
    <row r="4" spans="1:248" s="215" customFormat="1" x14ac:dyDescent="0.3">
      <c r="A4" s="215" t="s">
        <v>10</v>
      </c>
      <c r="B4" s="148"/>
      <c r="C4" s="219"/>
      <c r="D4" s="223"/>
      <c r="E4" s="224"/>
      <c r="F4" s="220"/>
      <c r="G4" s="219"/>
      <c r="H4" s="220"/>
      <c r="I4" s="219"/>
      <c r="K4" s="222" t="s">
        <v>65</v>
      </c>
      <c r="L4" s="222" t="s">
        <v>595</v>
      </c>
      <c r="M4" s="263"/>
      <c r="N4" s="263"/>
      <c r="O4" s="263"/>
      <c r="P4" s="263"/>
      <c r="Q4" s="222" t="s">
        <v>118</v>
      </c>
      <c r="R4" s="222" t="s">
        <v>5</v>
      </c>
      <c r="S4" s="222" t="s">
        <v>6</v>
      </c>
      <c r="T4" s="222" t="s">
        <v>7</v>
      </c>
      <c r="U4" s="222" t="s">
        <v>8</v>
      </c>
      <c r="V4" s="222" t="s">
        <v>116</v>
      </c>
      <c r="W4" s="222" t="s">
        <v>5</v>
      </c>
      <c r="X4" s="222" t="s">
        <v>6</v>
      </c>
      <c r="Y4" s="222" t="s">
        <v>7</v>
      </c>
      <c r="Z4" s="222" t="s">
        <v>8</v>
      </c>
      <c r="AA4" s="222" t="s">
        <v>116</v>
      </c>
      <c r="AB4" s="222" t="s">
        <v>5</v>
      </c>
      <c r="AC4" s="222" t="s">
        <v>6</v>
      </c>
      <c r="AD4" s="222" t="s">
        <v>7</v>
      </c>
      <c r="AE4" s="222" t="s">
        <v>8</v>
      </c>
      <c r="AF4" s="222" t="s">
        <v>118</v>
      </c>
      <c r="AG4" s="222" t="s">
        <v>5</v>
      </c>
      <c r="AH4" s="222" t="s">
        <v>6</v>
      </c>
      <c r="AI4" s="222" t="s">
        <v>7</v>
      </c>
      <c r="AJ4" s="222" t="s">
        <v>8</v>
      </c>
      <c r="AK4" s="222" t="s">
        <v>116</v>
      </c>
      <c r="AL4" s="218" t="s">
        <v>391</v>
      </c>
      <c r="AM4" s="222" t="s">
        <v>331</v>
      </c>
      <c r="AN4" s="222" t="s">
        <v>116</v>
      </c>
      <c r="AO4" s="218" t="s">
        <v>391</v>
      </c>
      <c r="AP4" s="222" t="s">
        <v>331</v>
      </c>
      <c r="AS4" s="148" t="s">
        <v>112</v>
      </c>
      <c r="AT4" s="148" t="s">
        <v>114</v>
      </c>
      <c r="AU4" s="148" t="s">
        <v>113</v>
      </c>
      <c r="AW4" s="148"/>
      <c r="AX4" s="148"/>
      <c r="AY4" s="148"/>
      <c r="AZ4" s="148"/>
      <c r="BA4" s="148"/>
      <c r="BB4" s="148"/>
      <c r="BC4" s="148"/>
      <c r="BD4" s="148"/>
      <c r="BE4" s="148"/>
      <c r="BF4" s="148"/>
      <c r="BG4" s="148"/>
      <c r="BH4" s="148"/>
      <c r="BI4" s="148" t="s">
        <v>0</v>
      </c>
      <c r="BJ4" s="148" t="s">
        <v>458</v>
      </c>
      <c r="BK4" s="148" t="s">
        <v>112</v>
      </c>
      <c r="BL4" s="148" t="s">
        <v>114</v>
      </c>
      <c r="BM4" s="148" t="s">
        <v>113</v>
      </c>
      <c r="BN4" s="148" t="s">
        <v>665</v>
      </c>
      <c r="BO4" s="148" t="s">
        <v>0</v>
      </c>
      <c r="BP4" s="148" t="s">
        <v>458</v>
      </c>
      <c r="BQ4" s="148" t="s">
        <v>112</v>
      </c>
      <c r="BR4" s="148" t="s">
        <v>114</v>
      </c>
      <c r="BS4" s="148" t="s">
        <v>113</v>
      </c>
      <c r="BT4" s="148" t="s">
        <v>665</v>
      </c>
      <c r="BU4" s="148" t="s">
        <v>0</v>
      </c>
      <c r="BV4" s="148" t="s">
        <v>458</v>
      </c>
      <c r="BW4" s="148" t="s">
        <v>112</v>
      </c>
      <c r="BX4" s="148" t="s">
        <v>114</v>
      </c>
      <c r="BY4" s="148" t="s">
        <v>113</v>
      </c>
      <c r="BZ4" s="148" t="s">
        <v>665</v>
      </c>
      <c r="CA4" s="148" t="s">
        <v>0</v>
      </c>
      <c r="CB4" s="148" t="s">
        <v>458</v>
      </c>
      <c r="CC4" s="148" t="s">
        <v>112</v>
      </c>
      <c r="CD4" s="148" t="s">
        <v>114</v>
      </c>
      <c r="CE4" s="148" t="s">
        <v>113</v>
      </c>
      <c r="CF4" s="148" t="s">
        <v>666</v>
      </c>
      <c r="DD4" s="215" t="s">
        <v>323</v>
      </c>
      <c r="DE4" s="215" t="s">
        <v>72</v>
      </c>
      <c r="DF4" s="215" t="s">
        <v>328</v>
      </c>
      <c r="DG4" s="215" t="s">
        <v>289</v>
      </c>
      <c r="DH4" s="215" t="s">
        <v>324</v>
      </c>
      <c r="DI4" s="215" t="s">
        <v>73</v>
      </c>
      <c r="DJ4" s="215" t="s">
        <v>26</v>
      </c>
      <c r="DK4" s="215" t="s">
        <v>323</v>
      </c>
      <c r="DL4" s="215" t="s">
        <v>72</v>
      </c>
      <c r="DM4" s="215" t="s">
        <v>328</v>
      </c>
      <c r="DN4" s="215" t="s">
        <v>289</v>
      </c>
      <c r="DO4" s="215" t="s">
        <v>324</v>
      </c>
      <c r="DP4" s="215" t="s">
        <v>73</v>
      </c>
      <c r="DQ4" s="215" t="s">
        <v>26</v>
      </c>
      <c r="DR4" s="215" t="s">
        <v>323</v>
      </c>
      <c r="DS4" s="215" t="s">
        <v>72</v>
      </c>
      <c r="DT4" s="215" t="s">
        <v>328</v>
      </c>
      <c r="DU4" s="215" t="s">
        <v>289</v>
      </c>
      <c r="DV4" s="215" t="s">
        <v>324</v>
      </c>
      <c r="DW4" s="215" t="s">
        <v>73</v>
      </c>
      <c r="DX4" s="215" t="s">
        <v>26</v>
      </c>
      <c r="DY4" s="215" t="s">
        <v>323</v>
      </c>
      <c r="DZ4" s="215" t="s">
        <v>72</v>
      </c>
      <c r="EA4" s="215" t="s">
        <v>328</v>
      </c>
      <c r="EB4" s="215" t="s">
        <v>289</v>
      </c>
      <c r="EC4" s="215" t="s">
        <v>324</v>
      </c>
      <c r="ED4" s="215" t="s">
        <v>73</v>
      </c>
      <c r="EE4" s="215" t="s">
        <v>26</v>
      </c>
      <c r="EG4" s="215" t="s">
        <v>323</v>
      </c>
      <c r="EH4" s="215" t="s">
        <v>72</v>
      </c>
      <c r="EI4" s="215" t="s">
        <v>328</v>
      </c>
      <c r="EJ4" s="215" t="s">
        <v>289</v>
      </c>
      <c r="EK4" s="215" t="s">
        <v>324</v>
      </c>
      <c r="EL4" s="215" t="s">
        <v>73</v>
      </c>
      <c r="EM4" s="215" t="s">
        <v>26</v>
      </c>
      <c r="EN4" s="215" t="s">
        <v>323</v>
      </c>
      <c r="EO4" s="215" t="s">
        <v>72</v>
      </c>
      <c r="EP4" s="215" t="s">
        <v>328</v>
      </c>
      <c r="EQ4" s="215" t="s">
        <v>289</v>
      </c>
      <c r="ER4" s="215" t="s">
        <v>324</v>
      </c>
      <c r="ES4" s="215" t="s">
        <v>73</v>
      </c>
      <c r="ET4" s="215" t="s">
        <v>26</v>
      </c>
      <c r="EU4" s="215" t="s">
        <v>323</v>
      </c>
      <c r="EV4" s="215" t="s">
        <v>72</v>
      </c>
      <c r="EW4" s="215" t="s">
        <v>328</v>
      </c>
      <c r="EX4" s="215" t="s">
        <v>289</v>
      </c>
      <c r="EY4" s="215" t="s">
        <v>324</v>
      </c>
      <c r="EZ4" s="215" t="s">
        <v>73</v>
      </c>
      <c r="FA4" s="215" t="s">
        <v>26</v>
      </c>
      <c r="FW4" s="86">
        <v>700</v>
      </c>
      <c r="FX4" s="86">
        <v>800</v>
      </c>
      <c r="FY4" s="86">
        <v>900</v>
      </c>
      <c r="FZ4" s="86">
        <v>1800</v>
      </c>
      <c r="GA4" s="86">
        <v>2100</v>
      </c>
      <c r="GB4" s="86">
        <v>2600</v>
      </c>
      <c r="GC4" s="86">
        <v>3500</v>
      </c>
      <c r="GD4" s="86">
        <v>700</v>
      </c>
      <c r="GE4" s="86">
        <v>800</v>
      </c>
      <c r="GF4" s="86">
        <v>900</v>
      </c>
      <c r="GG4" s="86">
        <v>1800</v>
      </c>
      <c r="GH4" s="86">
        <v>2100</v>
      </c>
      <c r="GI4" s="86">
        <v>2600</v>
      </c>
      <c r="GJ4" s="86">
        <v>3500</v>
      </c>
      <c r="GK4" s="86">
        <v>700</v>
      </c>
      <c r="GL4" s="86">
        <v>800</v>
      </c>
      <c r="GM4" s="86">
        <v>900</v>
      </c>
      <c r="GN4" s="86">
        <v>1800</v>
      </c>
      <c r="GO4" s="86">
        <v>2100</v>
      </c>
      <c r="GP4" s="86">
        <v>2600</v>
      </c>
      <c r="GQ4" s="86">
        <v>3500</v>
      </c>
      <c r="GR4" s="86">
        <v>700</v>
      </c>
      <c r="GS4" s="86">
        <v>800</v>
      </c>
      <c r="GT4" s="86">
        <v>900</v>
      </c>
      <c r="GU4" s="86">
        <v>1800</v>
      </c>
      <c r="GV4" s="86">
        <v>2100</v>
      </c>
      <c r="GW4" s="86">
        <v>2600</v>
      </c>
      <c r="GX4" s="86">
        <v>3500</v>
      </c>
      <c r="GY4" s="86">
        <v>700</v>
      </c>
      <c r="GZ4" s="86">
        <v>800</v>
      </c>
      <c r="HA4" s="86">
        <v>900</v>
      </c>
      <c r="HB4" s="86">
        <v>1800</v>
      </c>
      <c r="HC4" s="86">
        <v>2100</v>
      </c>
      <c r="HD4" s="86">
        <v>2600</v>
      </c>
      <c r="HE4" s="86">
        <v>3500</v>
      </c>
      <c r="HF4" s="86">
        <v>700</v>
      </c>
      <c r="HG4" s="86">
        <v>800</v>
      </c>
      <c r="HH4" s="86">
        <v>900</v>
      </c>
      <c r="HI4" s="86">
        <v>1800</v>
      </c>
      <c r="HJ4" s="86">
        <v>2100</v>
      </c>
      <c r="HK4" s="86">
        <v>2600</v>
      </c>
      <c r="HL4" s="86">
        <v>3500</v>
      </c>
      <c r="HM4" s="86">
        <v>700</v>
      </c>
      <c r="HN4" s="86">
        <v>800</v>
      </c>
      <c r="HO4" s="86">
        <v>900</v>
      </c>
      <c r="HP4" s="86">
        <v>1800</v>
      </c>
      <c r="HQ4" s="86">
        <v>2100</v>
      </c>
      <c r="HR4" s="86">
        <v>2600</v>
      </c>
      <c r="HS4" s="86">
        <v>3500</v>
      </c>
      <c r="HT4" s="86">
        <v>700</v>
      </c>
      <c r="HU4" s="86">
        <v>800</v>
      </c>
      <c r="HV4" s="86">
        <v>900</v>
      </c>
      <c r="HW4" s="86">
        <v>1800</v>
      </c>
      <c r="HX4" s="86">
        <v>2100</v>
      </c>
      <c r="HY4" s="86">
        <v>2600</v>
      </c>
      <c r="HZ4" s="86">
        <v>3500</v>
      </c>
      <c r="IC4" s="222" t="s">
        <v>2</v>
      </c>
      <c r="ID4" s="222" t="s">
        <v>3</v>
      </c>
      <c r="IE4" s="222" t="s">
        <v>2</v>
      </c>
      <c r="IF4" s="222" t="s">
        <v>3</v>
      </c>
      <c r="IG4" s="222" t="s">
        <v>2</v>
      </c>
      <c r="IH4" s="222" t="s">
        <v>3</v>
      </c>
      <c r="II4" s="222" t="s">
        <v>2</v>
      </c>
      <c r="IJ4" s="222" t="s">
        <v>3</v>
      </c>
      <c r="IK4" s="222" t="s">
        <v>2</v>
      </c>
      <c r="IL4" s="222" t="s">
        <v>3</v>
      </c>
    </row>
    <row r="5" spans="1:248" s="215" customFormat="1" x14ac:dyDescent="0.3">
      <c r="A5" s="215" t="s">
        <v>11</v>
      </c>
      <c r="B5" s="225">
        <f>D5+F5+H5</f>
        <v>322.77372054762856</v>
      </c>
      <c r="C5" s="225">
        <f>E5+G5+I5</f>
        <v>66.647262458451834</v>
      </c>
      <c r="D5" s="226">
        <f>J5*K5</f>
        <v>320.49513519088606</v>
      </c>
      <c r="E5" s="227">
        <f>J5*L5</f>
        <v>64.930428020229684</v>
      </c>
      <c r="F5" s="223">
        <f>J5*M5*2</f>
        <v>2.2575912368939313</v>
      </c>
      <c r="G5" s="223">
        <f>J5*N5*2</f>
        <v>1.5829482961216066</v>
      </c>
      <c r="H5" s="223">
        <f>J5*O5</f>
        <v>2.0994119848567225E-2</v>
      </c>
      <c r="I5" s="223">
        <f>J5*P5</f>
        <v>0.13388614210054864</v>
      </c>
      <c r="J5" s="289">
        <f>[1]Sheet1!$B$12</f>
        <v>1533.3532066886719</v>
      </c>
      <c r="K5" s="228">
        <f>CG5*Q5+CH5*AA5+CI5*AK5</f>
        <v>0.20901585739857431</v>
      </c>
      <c r="L5" s="228">
        <f>CG5*V5+CH5*AF5+CI5*AN5</f>
        <v>4.2345382483954329E-2</v>
      </c>
      <c r="M5" s="165">
        <f>AR5*IA5*FD5*FO5</f>
        <v>7.361615142049612E-4</v>
      </c>
      <c r="N5" s="165">
        <f>AR5*IB5*FD5*FO5</f>
        <v>5.161721021668703E-4</v>
      </c>
      <c r="O5" s="165">
        <f>AR5*BJ5*FD5*FO5</f>
        <v>1.3691639836789293E-5</v>
      </c>
      <c r="P5" s="263">
        <f>AR5*BP5*FD5*FO5</f>
        <v>8.7315917504539155E-5</v>
      </c>
      <c r="Q5" s="228">
        <f>R5*CT5+S5*CU5+T5*CV5+U5*CW5</f>
        <v>0.27543146616792347</v>
      </c>
      <c r="R5" s="228">
        <f>AW5*CJ5</f>
        <v>5.5454447131854483</v>
      </c>
      <c r="S5" s="228">
        <f>AY5*CK5</f>
        <v>6.7507437465900058E-2</v>
      </c>
      <c r="T5" s="228">
        <f>BA5*CL5</f>
        <v>0.2386248724752609</v>
      </c>
      <c r="U5" s="228">
        <f>BC5*CM5</f>
        <v>0</v>
      </c>
      <c r="V5" s="228">
        <f>W5*CT5+X5*CU5+Y5*CV5+Z5*CW5</f>
        <v>5.0371323380089643E-2</v>
      </c>
      <c r="W5" s="228">
        <f>AX5*CJ5</f>
        <v>0.97175651972852573</v>
      </c>
      <c r="X5" s="228">
        <f>AZ5*CK5</f>
        <v>1.2240019798095426E-2</v>
      </c>
      <c r="Y5" s="228">
        <f>BB5*CL5</f>
        <v>4.3968152959650286E-2</v>
      </c>
      <c r="Z5" s="228">
        <f>BD5*CM5</f>
        <v>0</v>
      </c>
      <c r="AA5" s="228">
        <f>AB5*CX5+AC5*CY5+AD5*CZ5+AE5*DA5</f>
        <v>0.10465090259176825</v>
      </c>
      <c r="AB5" s="228">
        <f>AW5*CN5</f>
        <v>0</v>
      </c>
      <c r="AC5" s="228">
        <f>AY5*CO5</f>
        <v>3.8213530121614499E-2</v>
      </c>
      <c r="AD5" s="228">
        <f>BA5*CP5</f>
        <v>0.15412491319600866</v>
      </c>
      <c r="AE5" s="228">
        <f>BC5*CQ5</f>
        <v>7.0068933496876757E-3</v>
      </c>
      <c r="AF5" s="228">
        <f>AG5*CX5+AH5*CY5+AI5*CZ5+AJ5*DA5</f>
        <v>2.3521456927507775E-2</v>
      </c>
      <c r="AG5" s="228">
        <f>AX5*CN5</f>
        <v>0</v>
      </c>
      <c r="AH5" s="228">
        <f>AZ5*CO5</f>
        <v>6.928634574226631E-3</v>
      </c>
      <c r="AI5" s="228">
        <f>BB5*CP5</f>
        <v>2.8398497139050266E-2</v>
      </c>
      <c r="AJ5" s="228">
        <f>BD5*CQ5</f>
        <v>1.4440923133908946E-2</v>
      </c>
      <c r="AK5" s="228">
        <f>AL5*DB5+AM5*DC5</f>
        <v>2.2414124958119543E-2</v>
      </c>
      <c r="AL5" s="228">
        <f>BE5*CR5</f>
        <v>3.4377935121042251E-2</v>
      </c>
      <c r="AM5" s="228">
        <f>BG5*CS5</f>
        <v>5.8926728283691335E-3</v>
      </c>
      <c r="AN5" s="228">
        <f>AO5*DB5+AP5*DC5</f>
        <v>2.3678650998535507E-2</v>
      </c>
      <c r="AO5" s="228">
        <f>BF5*CR5</f>
        <v>1.5339507623858079E-2</v>
      </c>
      <c r="AP5" s="228">
        <f>BH5*CS5</f>
        <v>3.5194610896899577E-2</v>
      </c>
      <c r="AQ5" s="325">
        <f>[1]Sheet1!$B$5</f>
        <v>0.44776903654834438</v>
      </c>
      <c r="AR5" s="325">
        <f>[1]Sheet1!$B$6</f>
        <v>0.22948502013607261</v>
      </c>
      <c r="AS5" s="229">
        <v>0.33300000000000002</v>
      </c>
      <c r="AT5" s="319">
        <v>0.33300000000000002</v>
      </c>
      <c r="AU5" s="229">
        <v>0.33300000000000002</v>
      </c>
      <c r="AV5" s="325">
        <f>1-(AQ5+AR5)</f>
        <v>0.32274594331558304</v>
      </c>
      <c r="AW5" s="230">
        <f>$AQ$5*S36+$AR$5*T36+$AV$5*X36</f>
        <v>3.8915610500473735E-2</v>
      </c>
      <c r="AX5" s="230">
        <f>$AQ$5*Y36+$AR$5*Z36+$AV$5*AD36</f>
        <v>6.8193806230065976E-3</v>
      </c>
      <c r="AY5" s="230">
        <f>$AQ$5*S37+$AR$5*T37+$AV$5*X37</f>
        <v>3.6596764016274992E-2</v>
      </c>
      <c r="AZ5" s="230">
        <f>$AQ$5*Y37+$AR$5*Z37+$AV$5*AD37</f>
        <v>6.6354928126504883E-3</v>
      </c>
      <c r="BA5" s="230">
        <f>$AQ$5*S38+$AR$5*T38+$AV$5*X38</f>
        <v>3.5978107153141661E-2</v>
      </c>
      <c r="BB5" s="230">
        <f>$AQ$5*Y38+$AR$5*Z38+$AV$5*AD38</f>
        <v>6.6291954484837745E-3</v>
      </c>
      <c r="BC5" s="230">
        <f>$AQ$5*S39+$AR$5*T39+$AV$5*X39</f>
        <v>2.8402645213815142E-3</v>
      </c>
      <c r="BD5" s="230">
        <f>$AQ$5*Y39+$AR$5*Z39+$AV$5*AD39</f>
        <v>5.8536700341053965E-3</v>
      </c>
      <c r="BE5" s="230">
        <f>$AQ$5*BI5+$AR$5*BJ5+$AV$5*BN5</f>
        <v>1.2555856508780952E-2</v>
      </c>
      <c r="BF5" s="230">
        <f>$AQ$5*BO5+$AR$5*BP5+$AV$5*BT5</f>
        <v>5.6024498260986398E-3</v>
      </c>
      <c r="BG5" s="230">
        <f>$AQ$5*BU5+$AR$5*BV5+$AV$5*BZ5</f>
        <v>5.9763416109220413E-4</v>
      </c>
      <c r="BH5" s="230">
        <f>$AQ$5*CA5+$AR$5*CB5+$AV$5*CF5</f>
        <v>3.5694331538437701E-3</v>
      </c>
      <c r="BI5" s="270">
        <f>[4]Sheet1!$I$7</f>
        <v>2.6727748810534316E-2</v>
      </c>
      <c r="BJ5" s="270">
        <f>AS5*BK5+AT5*BL5+AU5*BM5</f>
        <v>3.7289034782833717E-4</v>
      </c>
      <c r="BK5" s="270">
        <f>[4]Sheet1!$I$27</f>
        <v>1.1194631548332708E-3</v>
      </c>
      <c r="BL5" s="274">
        <f>[4]Sheet1!$I$37</f>
        <v>3.2767948605994359E-7</v>
      </c>
      <c r="BM5" s="275">
        <v>0</v>
      </c>
      <c r="BN5" s="270">
        <f>[4]Sheet1!$I$17</f>
        <v>1.5567211182903611E-3</v>
      </c>
      <c r="BO5" s="270">
        <f>[5]Sheet1!$H$7</f>
        <v>1.0022772500268527E-2</v>
      </c>
      <c r="BP5" s="270">
        <f>AS5*BQ5+AT5*BR5+AU5*BS5</f>
        <v>2.378039682414929E-3</v>
      </c>
      <c r="BQ5" s="270">
        <f>[5]Sheet1!$H$27</f>
        <v>8.631172546671739E-4</v>
      </c>
      <c r="BR5" s="270">
        <f>[5]Sheet1!$H$37</f>
        <v>6.2781430528851649E-3</v>
      </c>
      <c r="BS5" s="276">
        <v>0</v>
      </c>
      <c r="BT5" s="270">
        <f>[5]Sheet1!$H$17</f>
        <v>1.7624951373922536E-3</v>
      </c>
      <c r="BU5" s="270">
        <f>[4]Sheet1!$I$10</f>
        <v>1.040371354637645E-3</v>
      </c>
      <c r="BV5" s="270">
        <f>AS5*BW5+AT5*BX5+AU5*BY5</f>
        <v>1.0658385428489224E-4</v>
      </c>
      <c r="BW5" s="270">
        <f>[4]Sheet1!$I$30</f>
        <v>3.2007162078540112E-4</v>
      </c>
      <c r="BX5" s="277">
        <f>[4]Sheet1!$I$40</f>
        <v>1.3703764715525487E-11</v>
      </c>
      <c r="BY5" s="275">
        <v>0</v>
      </c>
      <c r="BZ5" s="270">
        <f>[4]Sheet1!$I$20</f>
        <v>3.3254851455069855E-4</v>
      </c>
      <c r="CA5" s="270">
        <f>[5]Sheet1!$H$10</f>
        <v>6.5385220697443958E-3</v>
      </c>
      <c r="CB5" s="270">
        <f>AS5*CC5+AT5*CD5+AU5*CE5</f>
        <v>1.0079979134978169E-3</v>
      </c>
      <c r="CC5" s="270">
        <f>[5]Sheet1!$H$30</f>
        <v>5.5363292141804351E-4</v>
      </c>
      <c r="CD5" s="270">
        <f>[5]Sheet1!$H$40</f>
        <v>2.4733878398366617E-3</v>
      </c>
      <c r="CE5" s="276">
        <v>0</v>
      </c>
      <c r="CF5" s="270">
        <f>[5]Sheet1!$H$20</f>
        <v>1.2714799775091585E-3</v>
      </c>
      <c r="CG5" s="230">
        <v>0.7</v>
      </c>
      <c r="CH5" s="230">
        <f>IC5*(1-CG5)</f>
        <v>0.11539354856371674</v>
      </c>
      <c r="CI5" s="230">
        <f>ID5*(1-CG5)</f>
        <v>0.18460645143628332</v>
      </c>
      <c r="CJ5" s="183">
        <f>((Farfield!$N$5+Farfield!$P$5)*DF5+Farfield!$O$5*DG5+Farfield!$Q$5*DJ5)*FE5</f>
        <v>142.49923467390911</v>
      </c>
      <c r="CK5" s="164">
        <f>((Farfield!$N$5+Farfield!$P$5)*DM5+Farfield!$O$5*DN5+Farfield!$Q$5*DQ5)*FG5</f>
        <v>1.8446285971043437</v>
      </c>
      <c r="CL5" s="164">
        <f>((Farfield!$N$5+Farfield!$P$5)*DT5+Farfield!$O$5*DU5+Farfield!$Q$5*DX5)*FI5</f>
        <v>6.6325021341325296</v>
      </c>
      <c r="CM5" s="164">
        <f>((Farfield!$N$5+Farfield!$P$5)*EA5+Farfield!$O$5*EB5+Farfield!$Q$5*EE5)*FK5</f>
        <v>0</v>
      </c>
      <c r="CN5" s="86">
        <v>0</v>
      </c>
      <c r="CO5" s="296">
        <f>((Farfield!$N$5+Farfield!$P$5)*EI5+Farfield!$O$5*EJ5+Farfield!$Q$5*EM5)*FH5</f>
        <v>1.0441778432820048</v>
      </c>
      <c r="CP5" s="164">
        <f>((Farfield!$N$5+Farfield!$P$5)*EP5+Farfield!$O$5*EQ5+Farfield!$Q$5*ET5)*FJ5</f>
        <v>4.2838527480051223</v>
      </c>
      <c r="CQ5" s="164">
        <f>((Farfield!$N$5+Farfield!$P$5)*EW5+Farfield!$O$5*EX5+Farfield!$Q$5*FA5)*FL5</f>
        <v>2.4669861898213266</v>
      </c>
      <c r="CR5" s="86">
        <f>FB5*FM5</f>
        <v>2.7380000000000004</v>
      </c>
      <c r="CS5" s="158">
        <f>FN5*FC5</f>
        <v>9.8600000000000012</v>
      </c>
      <c r="CT5" s="86">
        <f>CT13</f>
        <v>7.4999999999999997E-3</v>
      </c>
      <c r="CU5" s="86">
        <f>CU13</f>
        <v>1.7499999999999998E-2</v>
      </c>
      <c r="CV5" s="158">
        <f>AVERAGE(CV23:CV24)</f>
        <v>0.97499999999999998</v>
      </c>
      <c r="CW5" s="86">
        <v>0</v>
      </c>
      <c r="CX5" s="86">
        <v>0</v>
      </c>
      <c r="CY5" s="86">
        <f>CU5</f>
        <v>1.7499999999999998E-2</v>
      </c>
      <c r="CZ5" s="158">
        <f>CV13</f>
        <v>0.66</v>
      </c>
      <c r="DA5" s="86">
        <f>CT13+CW13</f>
        <v>0.32250000000000001</v>
      </c>
      <c r="DB5" s="215">
        <v>0.57999999999999996</v>
      </c>
      <c r="DC5" s="215">
        <v>0.42</v>
      </c>
      <c r="DD5" s="164">
        <f>AVERAGE(DD21,DD61)</f>
        <v>374.86820874238708</v>
      </c>
      <c r="DE5" s="164">
        <f>AVERAGE(DE21,DE60)</f>
        <v>173.8050395748414</v>
      </c>
      <c r="DF5" s="164">
        <f>AVERAGE(DF21,DF61)</f>
        <v>1281.5154922393419</v>
      </c>
      <c r="DG5" s="164">
        <f>AVERAGE(DG21,DG60)</f>
        <v>383.89740933369319</v>
      </c>
      <c r="DH5" s="164">
        <f>AVERAGE(DH21,DH61)</f>
        <v>1371.2333190369059</v>
      </c>
      <c r="DI5" s="164">
        <f>AVERAGE(DI21,DI60)</f>
        <v>433.89740933369319</v>
      </c>
      <c r="DJ5" s="297">
        <f>DG5</f>
        <v>383.89740933369319</v>
      </c>
      <c r="DK5" s="164">
        <f>AVERAGE(DK20:DK63)</f>
        <v>0.97</v>
      </c>
      <c r="DL5" s="273">
        <f>AVERAGE(DL20:DL62)</f>
        <v>0.21837581646744197</v>
      </c>
      <c r="DM5" s="86">
        <v>2.0299999999999998</v>
      </c>
      <c r="DN5" s="164">
        <f>AVERAGE(DN21:DN44)</f>
        <v>0.63297821158361656</v>
      </c>
      <c r="DO5" s="86">
        <f>AVERAGE(DO21:DO44)</f>
        <v>6.2</v>
      </c>
      <c r="DP5" s="164">
        <f>DP21</f>
        <v>2.6447930165698748</v>
      </c>
      <c r="DQ5" s="164">
        <f>DN5</f>
        <v>0.63297821158361656</v>
      </c>
      <c r="DR5" s="86">
        <v>140.5</v>
      </c>
      <c r="DS5" s="86">
        <v>94.3</v>
      </c>
      <c r="DT5" s="86">
        <f>AVERAGE(DR5,DV5)</f>
        <v>159.30000000000001</v>
      </c>
      <c r="DU5" s="86">
        <f>AVERAGE(DS5,DW5)</f>
        <v>109.75</v>
      </c>
      <c r="DV5" s="86">
        <v>178.1</v>
      </c>
      <c r="DW5" s="86">
        <v>125.2</v>
      </c>
      <c r="DX5" s="86">
        <f>DU5</f>
        <v>109.75</v>
      </c>
      <c r="DY5" s="86">
        <v>0</v>
      </c>
      <c r="DZ5" s="86">
        <v>0</v>
      </c>
      <c r="EA5" s="86">
        <f>AVERAGE(DY5,EC5)</f>
        <v>0</v>
      </c>
      <c r="EB5" s="86">
        <f>AVERAGE(DZ5,ED5)</f>
        <v>0</v>
      </c>
      <c r="EC5" s="86">
        <v>0</v>
      </c>
      <c r="ED5" s="86">
        <v>0</v>
      </c>
      <c r="EE5" s="86">
        <v>0</v>
      </c>
      <c r="EF5" s="215">
        <v>0</v>
      </c>
      <c r="EG5" s="86">
        <f>AVERAGE(EG20:EG31)</f>
        <v>0.60499999999999998</v>
      </c>
      <c r="EH5" s="273">
        <f>EH30</f>
        <v>0.25808060887496354</v>
      </c>
      <c r="EI5" s="164">
        <v>2.04</v>
      </c>
      <c r="EJ5" s="164">
        <v>0.87</v>
      </c>
      <c r="EK5" s="86">
        <v>6.28</v>
      </c>
      <c r="EL5" s="164">
        <v>2.68</v>
      </c>
      <c r="EM5" s="164">
        <f>EJ5</f>
        <v>0.87</v>
      </c>
      <c r="EN5" s="164">
        <v>64.105638299594204</v>
      </c>
      <c r="EO5" s="164">
        <v>54.479069244189219</v>
      </c>
      <c r="EP5" s="164">
        <f>AVERAGE(EN5,ER5)</f>
        <v>77.898518395128534</v>
      </c>
      <c r="EQ5" s="164">
        <f>AVERAGE(EO5,ES5)</f>
        <v>68.405662259749306</v>
      </c>
      <c r="ER5" s="164">
        <v>91.691398490662863</v>
      </c>
      <c r="ES5" s="164">
        <v>82.332255275309393</v>
      </c>
      <c r="ET5" s="86">
        <v>74.3</v>
      </c>
      <c r="EU5" s="86">
        <v>46.35</v>
      </c>
      <c r="EV5" s="86">
        <v>36.92</v>
      </c>
      <c r="EW5" s="86">
        <v>49.13</v>
      </c>
      <c r="EX5" s="86">
        <v>40.045000000000002</v>
      </c>
      <c r="EY5" s="86">
        <v>51.91</v>
      </c>
      <c r="EZ5" s="86">
        <v>43.17</v>
      </c>
      <c r="FA5" s="86">
        <v>31.52</v>
      </c>
      <c r="FB5" s="86">
        <v>100</v>
      </c>
      <c r="FC5" s="86">
        <v>200</v>
      </c>
      <c r="FD5" s="225">
        <v>1</v>
      </c>
      <c r="FE5" s="86">
        <v>0.12</v>
      </c>
      <c r="FF5" s="86">
        <v>0</v>
      </c>
      <c r="FG5" s="164">
        <f>AVERAGE(FG30:FG33)</f>
        <v>0.97927500000000001</v>
      </c>
      <c r="FH5" s="162">
        <f>AVERAGE(FH30:FH32)</f>
        <v>0.54456666666666675</v>
      </c>
      <c r="FI5" s="229">
        <f>AVERAGE(FI14:FI15)</f>
        <v>4.3037500000000006E-2</v>
      </c>
      <c r="FJ5" s="230">
        <f>AVERAGE(FJ14:FJ15)</f>
        <v>5.5612500000000002E-2</v>
      </c>
      <c r="FK5" s="229">
        <v>0</v>
      </c>
      <c r="FL5" s="230">
        <f>AVERAGE(FL14:FL15)</f>
        <v>5.1400000000000001E-2</v>
      </c>
      <c r="FM5" s="215">
        <f>AVERAGE(FM43:FM50)</f>
        <v>2.7380000000000005E-2</v>
      </c>
      <c r="FN5" s="281">
        <f>AVERAGE(FN52:FN55)</f>
        <v>4.9300000000000004E-2</v>
      </c>
      <c r="FO5" s="215">
        <v>0.16</v>
      </c>
      <c r="FP5" s="86"/>
      <c r="FQ5" s="86"/>
      <c r="FR5" s="86"/>
      <c r="FS5" s="86"/>
      <c r="FT5" s="86"/>
      <c r="FU5" s="86"/>
      <c r="FV5" s="86"/>
      <c r="FW5" s="278">
        <f>[4]Sheet1!$I$2</f>
        <v>0.13006405058109161</v>
      </c>
      <c r="FX5" s="278">
        <f>[4]Sheet1!$I$3</f>
        <v>0.12393632600970847</v>
      </c>
      <c r="FY5" s="278">
        <f>[4]Sheet1!$I$4</f>
        <v>0.11559834580395134</v>
      </c>
      <c r="FZ5" s="278">
        <f>[4]Sheet1!$I$5</f>
        <v>4.6356407322852476E-2</v>
      </c>
      <c r="GA5" s="278">
        <f>[4]Sheet1!$I$6</f>
        <v>3.6757198684494931E-2</v>
      </c>
      <c r="GB5" s="278">
        <f>[4]Sheet1!$I$8</f>
        <v>2.2514603199845745E-2</v>
      </c>
      <c r="GC5" s="278">
        <f>[4]Sheet1!$I$9</f>
        <v>5.5389928959028957E-3</v>
      </c>
      <c r="GD5" s="279">
        <f>[4]Sheet1!$I$12</f>
        <v>1.1281701816996422E-2</v>
      </c>
      <c r="GE5" s="279">
        <f>[4]Sheet1!$I$13</f>
        <v>1.1873285599412614E-2</v>
      </c>
      <c r="GF5" s="279">
        <f>[4]Sheet1!$I$14</f>
        <v>1.1306646322278895E-2</v>
      </c>
      <c r="GG5" s="279">
        <f>[4]Sheet1!$I$15</f>
        <v>3.2107718791138519E-3</v>
      </c>
      <c r="GH5" s="279">
        <f>[4]Sheet1!$I$16</f>
        <v>2.2888349060751364E-3</v>
      </c>
      <c r="GI5" s="279">
        <f>[4]Sheet1!$I$18</f>
        <v>1.4547260737951782E-3</v>
      </c>
      <c r="GJ5" s="279">
        <f>[4]Sheet1!$I$19</f>
        <v>9.5661198551319775E-4</v>
      </c>
      <c r="GK5" s="280">
        <f>[4]Sheet1!$I$32</f>
        <v>1.7412275090420155E-5</v>
      </c>
      <c r="GL5" s="280">
        <f>[4]Sheet1!$I$33</f>
        <v>1.0178719191668157E-5</v>
      </c>
      <c r="GM5" s="280">
        <f>[4]Sheet1!$I$34</f>
        <v>6.4273436220857861E-6</v>
      </c>
      <c r="GN5" s="280">
        <f>[4]Sheet1!$I$35</f>
        <v>8.6760008887800721E-7</v>
      </c>
      <c r="GO5" s="280">
        <f>[4]Sheet1!$I$36</f>
        <v>6.6947377134808178E-7</v>
      </c>
      <c r="GP5" s="280">
        <f>[4]Sheet1!$I$38</f>
        <v>3.2542264631727358E-7</v>
      </c>
      <c r="GQ5" s="280">
        <f>[4]Sheet1!$I$39</f>
        <v>2.3122641958068375E-7</v>
      </c>
      <c r="GR5" s="281">
        <f>[4]Sheet1!$I$22</f>
        <v>5.2001320998293363E-3</v>
      </c>
      <c r="GS5" s="281">
        <f>[4]Sheet1!$I$23</f>
        <v>5.9920116819360235E-3</v>
      </c>
      <c r="GT5" s="281">
        <f>[4]Sheet1!$I$24</f>
        <v>6.132318926973232E-3</v>
      </c>
      <c r="GU5" s="281">
        <f>[4]Sheet1!$I$25</f>
        <v>2.0712159795211998E-3</v>
      </c>
      <c r="GV5" s="281">
        <f>[4]Sheet1!$I$26</f>
        <v>1.5229456026267386E-3</v>
      </c>
      <c r="GW5" s="281">
        <f>[4]Sheet1!$I$28</f>
        <v>1.064938428778814E-3</v>
      </c>
      <c r="GX5" s="281">
        <f>[4]Sheet1!$I$29</f>
        <v>6.714956907631352E-4</v>
      </c>
      <c r="GY5" s="270">
        <f>[5]Sheet1!$H$2</f>
        <v>1.2359979646140776E-2</v>
      </c>
      <c r="GZ5" s="270">
        <f>[5]Sheet1!$H$3</f>
        <v>1.2324044383016724E-2</v>
      </c>
      <c r="HA5" s="270">
        <f>[5]Sheet1!$H$4</f>
        <v>1.2304222381603929E-2</v>
      </c>
      <c r="HB5" s="270">
        <f>[5]Sheet1!$H$5</f>
        <v>1.1088892985597116E-2</v>
      </c>
      <c r="HC5" s="270">
        <f>[5]Sheet1!$H$6</f>
        <v>1.0543709531220269E-2</v>
      </c>
      <c r="HD5" s="270">
        <f>[5]Sheet1!$H$8</f>
        <v>9.871173018980486E-3</v>
      </c>
      <c r="HE5" s="270">
        <f>[5]Sheet1!$H$9</f>
        <v>9.3079112655697072E-3</v>
      </c>
      <c r="HF5" s="270">
        <f>[5]Sheet1!$H$12</f>
        <v>2.5625463038901133E-3</v>
      </c>
      <c r="HG5" s="270">
        <f>[5]Sheet1!$H$13</f>
        <v>2.6003829746688717E-3</v>
      </c>
      <c r="HH5" s="270">
        <f>[5]Sheet1!$H$14</f>
        <v>2.52739738280627E-3</v>
      </c>
      <c r="HI5" s="270">
        <f>[5]Sheet1!$H$15</f>
        <v>2.088856919957755E-3</v>
      </c>
      <c r="HJ5" s="270">
        <f>[5]Sheet1!$H$16</f>
        <v>1.922025367772607E-3</v>
      </c>
      <c r="HK5" s="270">
        <f>[5]Sheet1!$H$18</f>
        <v>1.7111707356714967E-3</v>
      </c>
      <c r="HL5" s="270">
        <f>[5]Sheet1!$H$19</f>
        <v>1.5678083683581016E-3</v>
      </c>
      <c r="HM5" s="270">
        <f>[5]Sheet1!$H$32</f>
        <v>1.214542199083804E-2</v>
      </c>
      <c r="HN5" s="270">
        <f>[5]Sheet1!$H$33</f>
        <v>1.1758564849994229E-2</v>
      </c>
      <c r="HO5" s="270">
        <f>[5]Sheet1!$H$34</f>
        <v>1.1416985988320959E-2</v>
      </c>
      <c r="HP5" s="270">
        <f>[5]Sheet1!$H$35</f>
        <v>8.3457105142542651E-3</v>
      </c>
      <c r="HQ5" s="270">
        <f>[5]Sheet1!$H$36</f>
        <v>7.4539132591085163E-3</v>
      </c>
      <c r="HR5" s="270">
        <f>[5]Sheet1!$H$38</f>
        <v>5.82031378262521E-3</v>
      </c>
      <c r="HS5" s="270">
        <f>[5]Sheet1!$H$39</f>
        <v>4.0844684814783459E-3</v>
      </c>
      <c r="HT5" s="270">
        <f>[5]Sheet1!$H$22</f>
        <v>1.11462897607527E-3</v>
      </c>
      <c r="HU5" s="270">
        <f>[5]Sheet1!$H$23</f>
        <v>1.1643614847952671E-3</v>
      </c>
      <c r="HV5" s="270">
        <f>[5]Sheet1!$H$24</f>
        <v>1.1924327597893866E-3</v>
      </c>
      <c r="HW5" s="270">
        <f>[5]Sheet1!$H$25</f>
        <v>9.5279761670255959E-4</v>
      </c>
      <c r="HX5" s="270">
        <f>[5]Sheet1!$H$26</f>
        <v>9.3100545010947849E-4</v>
      </c>
      <c r="HY5" s="270">
        <f>[5]Sheet1!$H$28</f>
        <v>8.4724206998967682E-4</v>
      </c>
      <c r="HZ5" s="270">
        <f>[5]Sheet1!$H$29</f>
        <v>7.2627610438770105E-4</v>
      </c>
      <c r="IA5" s="285">
        <f>[4]Sheet1!$J$62</f>
        <v>2.0049280171110295E-2</v>
      </c>
      <c r="IB5" s="285">
        <f>[5]Sheet1!$I$62</f>
        <v>1.4057892042931803E-2</v>
      </c>
      <c r="IC5" s="295">
        <f>IE5*Farfield!N5+IG5*Farfield!P5+II5*Farfield!Q5+IK5*Farfield!O5</f>
        <v>0.38464516187905573</v>
      </c>
      <c r="ID5" s="295">
        <f>IF5*Farfield!N5+IH5*Farfield!P5+IJ5*Farfield!Q5+IL5*Farfield!O5</f>
        <v>0.61535483812094427</v>
      </c>
      <c r="IE5" s="290">
        <f>1-IF5</f>
        <v>0.26213167637617552</v>
      </c>
      <c r="IF5" s="290">
        <f>[1]Sheet1!$B$9</f>
        <v>0.73786832362382448</v>
      </c>
      <c r="IG5" s="290">
        <f>1-IH5</f>
        <v>0.51078184898171508</v>
      </c>
      <c r="IH5" s="290">
        <f>[1]Sheet1!$B$10</f>
        <v>0.48921815101828497</v>
      </c>
      <c r="II5" s="290">
        <f>1-IJ5</f>
        <v>0.69282793581314883</v>
      </c>
      <c r="IJ5" s="290">
        <f>[1]Sheet1!$B$11</f>
        <v>0.30717206418685122</v>
      </c>
      <c r="IK5" s="222">
        <v>1</v>
      </c>
      <c r="IL5" s="222">
        <v>0</v>
      </c>
    </row>
    <row r="6" spans="1:248" s="215" customFormat="1" ht="14.25" customHeight="1" x14ac:dyDescent="0.3">
      <c r="A6" s="215" t="s">
        <v>28</v>
      </c>
      <c r="D6" s="223"/>
      <c r="E6" s="224"/>
      <c r="F6" s="223"/>
      <c r="G6" s="224"/>
      <c r="H6" s="224"/>
      <c r="I6" s="224"/>
      <c r="DF6" s="215" t="s">
        <v>330</v>
      </c>
      <c r="DG6" s="215" t="s">
        <v>329</v>
      </c>
      <c r="DM6" s="215" t="s">
        <v>330</v>
      </c>
      <c r="DN6" s="215" t="s">
        <v>329</v>
      </c>
      <c r="DT6" s="215" t="s">
        <v>330</v>
      </c>
      <c r="DU6" s="215" t="s">
        <v>329</v>
      </c>
      <c r="EI6" s="215" t="s">
        <v>330</v>
      </c>
      <c r="EJ6" s="215" t="s">
        <v>329</v>
      </c>
      <c r="EP6" s="215" t="s">
        <v>330</v>
      </c>
      <c r="EQ6" s="215" t="s">
        <v>410</v>
      </c>
    </row>
    <row r="7" spans="1:248" ht="14.5" customHeight="1" x14ac:dyDescent="0.35">
      <c r="A7" s="86" t="s">
        <v>27</v>
      </c>
      <c r="J7" s="86">
        <v>6</v>
      </c>
      <c r="IM7" s="163" t="s">
        <v>30</v>
      </c>
    </row>
    <row r="8" spans="1:248" ht="14.5" customHeight="1" x14ac:dyDescent="0.35">
      <c r="J8" s="86">
        <v>0.7</v>
      </c>
      <c r="FW8" s="86" t="s">
        <v>494</v>
      </c>
      <c r="IM8" s="163" t="s">
        <v>31</v>
      </c>
    </row>
    <row r="9" spans="1:248" ht="14.5" customHeight="1" x14ac:dyDescent="0.35">
      <c r="J9" s="86">
        <v>10.6</v>
      </c>
      <c r="CO9" s="164"/>
      <c r="FO9" s="175" t="s">
        <v>558</v>
      </c>
      <c r="IM9" s="163" t="s">
        <v>58</v>
      </c>
    </row>
    <row r="10" spans="1:248" ht="14.5" customHeight="1" x14ac:dyDescent="0.35">
      <c r="G10" s="161"/>
      <c r="H10" s="161"/>
      <c r="I10" s="161"/>
      <c r="J10" s="86">
        <v>11</v>
      </c>
      <c r="DJ10" s="86" t="s">
        <v>354</v>
      </c>
      <c r="DQ10" s="86" t="s">
        <v>354</v>
      </c>
      <c r="DX10" s="86" t="s">
        <v>354</v>
      </c>
      <c r="IM10" s="163" t="s">
        <v>45</v>
      </c>
    </row>
    <row r="11" spans="1:248" ht="14.5" customHeight="1" thickBot="1" x14ac:dyDescent="0.4">
      <c r="AQ11" s="86">
        <v>0.66</v>
      </c>
      <c r="AR11" s="86">
        <v>0.17</v>
      </c>
      <c r="AV11" s="86">
        <v>0.17</v>
      </c>
      <c r="CO11" s="162"/>
      <c r="FI11" s="175" t="s">
        <v>556</v>
      </c>
      <c r="FJ11" s="175" t="s">
        <v>556</v>
      </c>
      <c r="FK11" s="175" t="s">
        <v>556</v>
      </c>
      <c r="FL11" s="175" t="s">
        <v>556</v>
      </c>
      <c r="IM11" s="163" t="s">
        <v>32</v>
      </c>
      <c r="IN11" s="86" t="s">
        <v>35</v>
      </c>
    </row>
    <row r="12" spans="1:248" ht="14.5" customHeight="1" x14ac:dyDescent="0.35">
      <c r="D12" s="86"/>
      <c r="E12" s="86"/>
      <c r="CG12" s="86">
        <v>0.7</v>
      </c>
      <c r="CH12" s="86" t="s">
        <v>278</v>
      </c>
      <c r="CI12" s="86" t="s">
        <v>278</v>
      </c>
      <c r="CO12" s="172"/>
      <c r="DB12" s="86" t="s">
        <v>426</v>
      </c>
      <c r="DC12" s="86" t="s">
        <v>426</v>
      </c>
      <c r="DD12" s="86" t="s">
        <v>495</v>
      </c>
      <c r="FO12" s="196"/>
      <c r="FP12" s="351" t="s">
        <v>608</v>
      </c>
      <c r="FQ12" s="351"/>
      <c r="FR12" s="351"/>
      <c r="FS12" s="351"/>
      <c r="FT12" s="351"/>
      <c r="FU12" s="351"/>
      <c r="FV12" s="352"/>
      <c r="IE12" s="349"/>
      <c r="IF12" s="349"/>
      <c r="IG12" s="349"/>
      <c r="IH12" s="349"/>
      <c r="II12" s="349"/>
      <c r="IJ12" s="349"/>
      <c r="IK12" s="330"/>
      <c r="IL12" s="330"/>
      <c r="IM12" s="163" t="s">
        <v>34</v>
      </c>
      <c r="IN12" s="86" t="s">
        <v>33</v>
      </c>
    </row>
    <row r="13" spans="1:248" ht="14.5" customHeight="1" x14ac:dyDescent="0.35">
      <c r="D13" s="86"/>
      <c r="E13" s="86"/>
      <c r="F13" s="86"/>
      <c r="CG13" s="86">
        <v>0.7</v>
      </c>
      <c r="CO13" s="162"/>
      <c r="CT13" s="86">
        <f>AVERAGE(CT15:CT16)</f>
        <v>7.4999999999999997E-3</v>
      </c>
      <c r="CU13" s="86">
        <f>AVERAGE(CU15:CU16)</f>
        <v>1.7499999999999998E-2</v>
      </c>
      <c r="CV13" s="86">
        <f>AVERAGE(CV15:CV16)</f>
        <v>0.66</v>
      </c>
      <c r="CW13" s="86">
        <f>AVERAGE(CW15:CW16)</f>
        <v>0.315</v>
      </c>
      <c r="EQ13" s="164"/>
      <c r="FO13" s="199" t="s">
        <v>5</v>
      </c>
      <c r="FP13" s="86">
        <v>0</v>
      </c>
      <c r="FQ13" s="86">
        <v>0</v>
      </c>
      <c r="FR13" s="86">
        <v>0.5</v>
      </c>
      <c r="FS13" s="86">
        <v>0.5</v>
      </c>
      <c r="FT13" s="86">
        <v>0</v>
      </c>
      <c r="FU13" s="86">
        <v>0</v>
      </c>
      <c r="FV13" s="88">
        <v>0</v>
      </c>
      <c r="IM13" s="163" t="s">
        <v>51</v>
      </c>
    </row>
    <row r="14" spans="1:248" ht="14.15" customHeight="1" x14ac:dyDescent="0.3">
      <c r="D14" s="86"/>
      <c r="E14" s="86"/>
      <c r="AQ14" s="166"/>
      <c r="CO14" s="172"/>
      <c r="FH14" s="86" t="s">
        <v>552</v>
      </c>
      <c r="FI14" s="175">
        <v>3.5000000000000003E-2</v>
      </c>
      <c r="FJ14" s="175">
        <v>8.5000000000000006E-2</v>
      </c>
      <c r="FK14" s="175">
        <v>0</v>
      </c>
      <c r="FL14" s="175">
        <v>4.8000000000000001E-2</v>
      </c>
      <c r="FO14" s="199" t="s">
        <v>6</v>
      </c>
      <c r="FP14" s="86">
        <v>0</v>
      </c>
      <c r="FQ14" s="86">
        <v>0</v>
      </c>
      <c r="FR14" s="86">
        <v>0.5</v>
      </c>
      <c r="FS14" s="86">
        <v>0</v>
      </c>
      <c r="FT14" s="86">
        <v>0.5</v>
      </c>
      <c r="FU14" s="86">
        <v>0</v>
      </c>
      <c r="FV14" s="88">
        <v>0</v>
      </c>
      <c r="IM14" s="167" t="s">
        <v>53</v>
      </c>
      <c r="IN14" s="86" t="s">
        <v>52</v>
      </c>
    </row>
    <row r="15" spans="1:248" ht="14.5" customHeight="1" x14ac:dyDescent="0.3">
      <c r="D15" s="86"/>
      <c r="E15" s="86"/>
      <c r="AQ15" s="166"/>
      <c r="CS15" s="86" t="s">
        <v>618</v>
      </c>
      <c r="CT15" s="86">
        <v>0.01</v>
      </c>
      <c r="CU15" s="86">
        <v>0.03</v>
      </c>
      <c r="CV15" s="86">
        <v>0.88</v>
      </c>
      <c r="CW15" s="86">
        <v>0.08</v>
      </c>
      <c r="CX15" s="86">
        <v>0</v>
      </c>
      <c r="CY15" s="86">
        <v>0.03</v>
      </c>
      <c r="CZ15" s="86">
        <v>0.88</v>
      </c>
      <c r="DA15" s="86">
        <v>0.08</v>
      </c>
      <c r="FH15" s="86" t="s">
        <v>553</v>
      </c>
      <c r="FI15" s="177">
        <f>AVERAGE(4.18,4.48,9.94,1.83)/100</f>
        <v>5.1075000000000002E-2</v>
      </c>
      <c r="FJ15" s="178">
        <f>AVERAGE(1.93,2.99,4.47,1.1)/100</f>
        <v>2.6225000000000002E-2</v>
      </c>
      <c r="FK15" s="158">
        <v>0</v>
      </c>
      <c r="FL15" s="178">
        <f>AVERAGE(1.62,0.61,7.18,12.51)/100</f>
        <v>5.4800000000000001E-2</v>
      </c>
      <c r="FO15" s="199" t="s">
        <v>7</v>
      </c>
      <c r="FP15" s="270">
        <v>0.04</v>
      </c>
      <c r="FQ15" s="270">
        <v>0.19</v>
      </c>
      <c r="FR15" s="270">
        <v>0.21</v>
      </c>
      <c r="FS15" s="270">
        <v>0.28000000000000003</v>
      </c>
      <c r="FT15" s="270">
        <v>0.19</v>
      </c>
      <c r="FU15" s="270">
        <v>0.09</v>
      </c>
      <c r="FV15" s="88">
        <v>0</v>
      </c>
      <c r="IM15" t="s">
        <v>604</v>
      </c>
    </row>
    <row r="16" spans="1:248" ht="14.5" customHeight="1" thickBot="1" x14ac:dyDescent="0.35">
      <c r="D16" s="86"/>
      <c r="E16" s="86"/>
      <c r="CS16" s="86" t="s">
        <v>619</v>
      </c>
      <c r="CT16" s="86">
        <v>5.0000000000000001E-3</v>
      </c>
      <c r="CU16" s="86">
        <v>5.0000000000000001E-3</v>
      </c>
      <c r="CV16" s="86">
        <v>0.44</v>
      </c>
      <c r="CW16" s="86">
        <v>0.55000000000000004</v>
      </c>
      <c r="CX16" s="86">
        <v>0</v>
      </c>
      <c r="CY16" s="86">
        <v>0.01</v>
      </c>
      <c r="CZ16" s="86">
        <v>0.44</v>
      </c>
      <c r="DA16" s="86">
        <v>0.55000000000000004</v>
      </c>
      <c r="FH16" s="293" t="s">
        <v>554</v>
      </c>
      <c r="FO16" s="200" t="s">
        <v>8</v>
      </c>
      <c r="FP16" s="197">
        <v>0</v>
      </c>
      <c r="FQ16" s="197">
        <v>0</v>
      </c>
      <c r="FR16" s="197">
        <v>0</v>
      </c>
      <c r="FS16" s="197">
        <v>0</v>
      </c>
      <c r="FT16" s="197">
        <v>0</v>
      </c>
      <c r="FU16" s="197">
        <v>0</v>
      </c>
      <c r="FV16" s="198">
        <v>1</v>
      </c>
      <c r="IE16" s="164"/>
      <c r="IM16" t="s">
        <v>603</v>
      </c>
    </row>
    <row r="17" spans="4:248" ht="14.5" customHeight="1" x14ac:dyDescent="0.35">
      <c r="D17" s="86"/>
      <c r="E17" s="86"/>
      <c r="CT17" s="190" t="s">
        <v>423</v>
      </c>
      <c r="CU17" s="190" t="s">
        <v>423</v>
      </c>
      <c r="CV17" s="190" t="s">
        <v>423</v>
      </c>
      <c r="CW17" s="190" t="s">
        <v>423</v>
      </c>
      <c r="CX17" s="190" t="s">
        <v>423</v>
      </c>
      <c r="CY17" s="190" t="s">
        <v>423</v>
      </c>
      <c r="CZ17" s="190" t="s">
        <v>423</v>
      </c>
      <c r="DA17" s="190" t="s">
        <v>423</v>
      </c>
      <c r="IE17" s="164"/>
      <c r="IM17" s="163" t="s">
        <v>37</v>
      </c>
    </row>
    <row r="18" spans="4:248" ht="14.5" customHeight="1" x14ac:dyDescent="0.35">
      <c r="D18" s="86"/>
      <c r="E18" s="86"/>
      <c r="IM18" s="163" t="s">
        <v>37</v>
      </c>
    </row>
    <row r="19" spans="4:248" ht="14.5" customHeight="1" x14ac:dyDescent="0.35">
      <c r="D19" s="86"/>
      <c r="E19" s="86"/>
      <c r="AS19" s="166" t="s">
        <v>84</v>
      </c>
      <c r="CS19" s="266" t="s">
        <v>660</v>
      </c>
      <c r="CT19" s="264">
        <f>STDEVA(CT15:CT16)</f>
        <v>3.5355339059327385E-3</v>
      </c>
      <c r="CU19" s="264">
        <f t="shared" ref="CU19:CZ19" si="0">STDEVA(CU15:CU16)</f>
        <v>1.7677669529663691E-2</v>
      </c>
      <c r="CV19" s="264">
        <f>STDEVA(CV23:CV24)</f>
        <v>2.1213203435596444E-2</v>
      </c>
      <c r="CW19" s="264">
        <f t="shared" si="0"/>
        <v>0.33234018715767744</v>
      </c>
      <c r="CY19" s="264">
        <f t="shared" si="0"/>
        <v>1.4142135623730951E-2</v>
      </c>
      <c r="CZ19" s="264">
        <f t="shared" si="0"/>
        <v>0.31112698372208075</v>
      </c>
      <c r="DA19" s="264">
        <f>CW19</f>
        <v>0.33234018715767744</v>
      </c>
      <c r="DD19" s="265">
        <f>STDEVA(DD21,DD61)</f>
        <v>262.85734161747729</v>
      </c>
      <c r="DE19" s="265">
        <f>STDEVA(DE60,DE21)</f>
        <v>48.830381318861598</v>
      </c>
      <c r="DF19" s="265">
        <f>STDEVA(DF61,DF21)</f>
        <v>702.1351243832529</v>
      </c>
      <c r="DG19" s="265">
        <f>STDEVA(DG60,DG21)</f>
        <v>130.43396714745182</v>
      </c>
      <c r="DH19" s="265">
        <f>STDEVA(DH61,DH21)</f>
        <v>575.25495693949756</v>
      </c>
      <c r="DI19" s="265">
        <f>STDEVA(DI60,DI21)</f>
        <v>106.86374110790052</v>
      </c>
      <c r="DJ19" s="265">
        <f>DG19</f>
        <v>130.43396714745182</v>
      </c>
      <c r="DK19" s="265">
        <f>STDEVA(DK20:DK62)</f>
        <v>0.6924834534725961</v>
      </c>
      <c r="DL19" s="265">
        <f>STDEVA(DL20,DL21,DL36,DL62)</f>
        <v>0.18408484670051456</v>
      </c>
      <c r="DM19" s="265" t="s">
        <v>661</v>
      </c>
      <c r="DN19" s="265">
        <f>STDEVA(DN21,DN36)</f>
        <v>0.32948094655897908</v>
      </c>
      <c r="DO19" s="265" t="s">
        <v>661</v>
      </c>
      <c r="DP19" s="265" t="s">
        <v>661</v>
      </c>
      <c r="DQ19" s="265">
        <f>DN19</f>
        <v>0.32948094655897908</v>
      </c>
      <c r="EG19" s="265">
        <f>STDEVA(EG20:EG31)</f>
        <v>0.81317279836452949</v>
      </c>
      <c r="FE19" s="271">
        <f>STDEVA(FE30:FE34)</f>
        <v>0</v>
      </c>
      <c r="FF19" s="265">
        <v>0</v>
      </c>
      <c r="FG19" s="265">
        <f>STDEVA(FG30:FG33)</f>
        <v>2.5057982759990854E-2</v>
      </c>
      <c r="FH19" s="265">
        <f>STDEVA(FH30:FH32)</f>
        <v>0.1443232598486234</v>
      </c>
      <c r="FI19" s="265">
        <f>STDEVA(FI14:FI15)</f>
        <v>1.1366741507573738E-2</v>
      </c>
      <c r="FJ19" s="265">
        <f>STDEVA(FJ14:FJ15)</f>
        <v>4.1560201064239334E-2</v>
      </c>
      <c r="FK19" s="265">
        <f t="shared" ref="FK19" si="1">STDEVA(FK14:FK15)</f>
        <v>0</v>
      </c>
      <c r="FL19" s="264">
        <f>STDEVA(FL14:FL15)</f>
        <v>4.8083261120685237E-3</v>
      </c>
      <c r="FM19" s="264">
        <f>STDEVA(FM43:FM50)</f>
        <v>1.3709558709163461E-2</v>
      </c>
      <c r="FN19" s="264">
        <f>STDEVA(FN52:FN55)</f>
        <v>9.9853225619739826E-3</v>
      </c>
      <c r="IM19" s="163" t="s">
        <v>38</v>
      </c>
    </row>
    <row r="20" spans="4:248" ht="14.15" customHeight="1" x14ac:dyDescent="0.3">
      <c r="D20" s="86"/>
      <c r="E20" s="86"/>
      <c r="AS20" s="86" t="s">
        <v>115</v>
      </c>
      <c r="DK20" s="86">
        <v>1.08</v>
      </c>
      <c r="DL20" s="164">
        <f>DK20*(10^(-3.7/10))</f>
        <v>0.46070588030572013</v>
      </c>
      <c r="EG20" s="86">
        <v>1.18</v>
      </c>
      <c r="IM20" s="86" t="s">
        <v>39</v>
      </c>
    </row>
    <row r="21" spans="4:248" ht="14.15" customHeight="1" x14ac:dyDescent="0.3">
      <c r="D21" s="86"/>
      <c r="E21" s="86"/>
      <c r="AS21" s="86" t="s">
        <v>117</v>
      </c>
      <c r="CT21" s="212">
        <f>SUM(CT13:CW13)</f>
        <v>1</v>
      </c>
      <c r="DD21" s="86">
        <v>189</v>
      </c>
      <c r="DE21" s="164">
        <f>DD5*(10^(-4.3/10))</f>
        <v>139.27674581634946</v>
      </c>
      <c r="DF21" s="86">
        <v>1778</v>
      </c>
      <c r="DG21" s="164">
        <f>DF5*(10^(-4.3/10))</f>
        <v>476.12815200071969</v>
      </c>
      <c r="DH21" s="86">
        <v>1778</v>
      </c>
      <c r="DI21" s="164">
        <f>DH5*(10^(-4.3/10))</f>
        <v>509.46148533405307</v>
      </c>
      <c r="DK21" s="86">
        <v>0.03</v>
      </c>
      <c r="DL21" s="164">
        <f>DK21*(10^(-3.7/10))</f>
        <v>1.279738556404778E-2</v>
      </c>
      <c r="DM21" s="86">
        <v>2.0299999999999998</v>
      </c>
      <c r="DN21" s="164">
        <f>DM21*(10^(-3.7/10))</f>
        <v>0.86595642316723309</v>
      </c>
      <c r="DO21" s="86">
        <v>6.2</v>
      </c>
      <c r="DP21" s="164">
        <f>DO21*(10^(-3.7/10))</f>
        <v>2.6447930165698748</v>
      </c>
      <c r="IM21" s="167" t="s">
        <v>43</v>
      </c>
      <c r="IN21" s="86" t="s">
        <v>42</v>
      </c>
    </row>
    <row r="22" spans="4:248" ht="14.15" customHeight="1" x14ac:dyDescent="0.3">
      <c r="D22" s="86"/>
      <c r="E22" s="86"/>
      <c r="CT22" s="158"/>
      <c r="CU22" s="158"/>
      <c r="CV22" s="158"/>
      <c r="CW22" s="158"/>
      <c r="DA22" s="86" t="s">
        <v>662</v>
      </c>
      <c r="DG22" s="86" t="s">
        <v>395</v>
      </c>
      <c r="DI22" s="86" t="s">
        <v>395</v>
      </c>
      <c r="DL22" s="86" t="s">
        <v>396</v>
      </c>
      <c r="DN22" s="86" t="s">
        <v>396</v>
      </c>
      <c r="DP22" s="86" t="s">
        <v>396</v>
      </c>
      <c r="IM22" s="167" t="s">
        <v>345</v>
      </c>
    </row>
    <row r="23" spans="4:248" ht="14.5" customHeight="1" x14ac:dyDescent="0.35">
      <c r="D23" s="86"/>
      <c r="E23" s="86"/>
      <c r="AS23" s="86" t="s">
        <v>120</v>
      </c>
      <c r="CU23" s="182"/>
      <c r="CV23" s="86">
        <f>SUM(CV15:CW15)</f>
        <v>0.96</v>
      </c>
      <c r="GO23" s="168"/>
      <c r="GP23" s="168"/>
      <c r="GQ23" s="168"/>
      <c r="HQ23" s="168"/>
      <c r="HR23" s="168"/>
      <c r="HS23" s="168"/>
      <c r="IM23" s="163" t="s">
        <v>40</v>
      </c>
    </row>
    <row r="24" spans="4:248" ht="14.5" customHeight="1" x14ac:dyDescent="0.35">
      <c r="D24" s="86"/>
      <c r="E24" s="86"/>
      <c r="G24" s="173"/>
      <c r="CV24" s="86">
        <f>SUM(CV16:CW16)</f>
        <v>0.99</v>
      </c>
      <c r="FL24" s="229"/>
      <c r="GO24" s="168"/>
      <c r="GP24" s="168"/>
      <c r="GQ24" s="168"/>
      <c r="HQ24" s="168"/>
      <c r="HR24" s="168"/>
      <c r="HS24" s="168"/>
      <c r="IM24" s="163" t="s">
        <v>41</v>
      </c>
    </row>
    <row r="25" spans="4:248" ht="14.5" customHeight="1" x14ac:dyDescent="0.35">
      <c r="D25" s="86"/>
      <c r="E25" s="86"/>
      <c r="G25" s="176"/>
      <c r="GO25" s="168"/>
      <c r="GP25" s="168"/>
      <c r="GQ25" s="168"/>
      <c r="HQ25" s="168"/>
      <c r="HR25" s="168"/>
      <c r="HS25" s="168"/>
      <c r="IM25" s="163" t="s">
        <v>44</v>
      </c>
    </row>
    <row r="26" spans="4:248" ht="14.5" customHeight="1" x14ac:dyDescent="0.35">
      <c r="D26" s="86"/>
      <c r="E26" s="86"/>
      <c r="CT26" s="158"/>
      <c r="GO26" s="168"/>
      <c r="GP26" s="168"/>
      <c r="GQ26" s="168"/>
      <c r="HQ26" s="168"/>
      <c r="HR26" s="168"/>
      <c r="HS26" s="168"/>
      <c r="IM26" s="163" t="s">
        <v>45</v>
      </c>
    </row>
    <row r="27" spans="4:248" ht="14.5" customHeight="1" x14ac:dyDescent="0.35">
      <c r="D27" s="86"/>
      <c r="E27" s="86"/>
      <c r="GO27" s="168"/>
      <c r="GP27" s="168"/>
      <c r="GQ27" s="168"/>
      <c r="HQ27" s="168"/>
      <c r="HR27" s="168"/>
      <c r="HS27" s="168"/>
      <c r="IM27" s="163" t="s">
        <v>44</v>
      </c>
    </row>
    <row r="28" spans="4:248" ht="18" customHeight="1" x14ac:dyDescent="0.3">
      <c r="D28" s="86"/>
      <c r="E28" s="86"/>
      <c r="GO28" s="168"/>
      <c r="GP28" s="168"/>
      <c r="GQ28" s="168"/>
      <c r="HQ28" s="168"/>
      <c r="HR28" s="168"/>
      <c r="HS28" s="168"/>
      <c r="IN28" s="86" t="s">
        <v>47</v>
      </c>
    </row>
    <row r="29" spans="4:248" ht="14.15" customHeight="1" x14ac:dyDescent="0.3">
      <c r="D29" s="86"/>
      <c r="E29" s="86"/>
      <c r="GO29" s="168"/>
      <c r="GP29" s="168"/>
      <c r="GQ29" s="168"/>
      <c r="HQ29" s="168"/>
      <c r="HR29" s="168"/>
      <c r="HS29" s="168"/>
      <c r="IM29" s="86" t="s">
        <v>43</v>
      </c>
    </row>
    <row r="30" spans="4:248" ht="14.15" customHeight="1" x14ac:dyDescent="0.3">
      <c r="D30" s="86"/>
      <c r="E30" s="86"/>
      <c r="EG30" s="86">
        <v>0.03</v>
      </c>
      <c r="EH30" s="164">
        <f>EG5*(10^(-3.7/10))</f>
        <v>0.25808060887496354</v>
      </c>
      <c r="EI30" s="86">
        <v>2.04</v>
      </c>
      <c r="EJ30" s="164">
        <f>EI30*(10^(-3.7/10))</f>
        <v>0.87022221835524904</v>
      </c>
      <c r="EK30" s="86">
        <v>6.28</v>
      </c>
      <c r="EL30" s="164">
        <f>EK30*(10^(-3.7/10))</f>
        <v>2.6789193780740019</v>
      </c>
      <c r="FG30" s="86">
        <v>0.97899999999999998</v>
      </c>
      <c r="FH30" s="86">
        <v>0.4592</v>
      </c>
      <c r="GO30" s="168"/>
      <c r="GP30" s="168"/>
      <c r="GQ30" s="168"/>
      <c r="HQ30" s="168"/>
      <c r="HR30" s="168"/>
      <c r="HS30" s="168"/>
      <c r="IM30" s="86" t="s">
        <v>43</v>
      </c>
      <c r="IN30" s="86" t="s">
        <v>334</v>
      </c>
    </row>
    <row r="31" spans="4:248" ht="14.15" customHeight="1" x14ac:dyDescent="0.3">
      <c r="D31" s="86"/>
      <c r="E31" s="86"/>
      <c r="EH31" s="86" t="s">
        <v>346</v>
      </c>
      <c r="EJ31" s="86" t="s">
        <v>346</v>
      </c>
      <c r="EL31" s="86" t="s">
        <v>346</v>
      </c>
      <c r="EM31" s="86" t="s">
        <v>351</v>
      </c>
      <c r="FG31" s="86">
        <v>0.94410000000000005</v>
      </c>
      <c r="FH31" s="86">
        <v>0.46329999999999999</v>
      </c>
      <c r="GO31" s="168"/>
      <c r="GP31" s="168"/>
      <c r="GQ31" s="168"/>
      <c r="HQ31" s="168"/>
      <c r="HR31" s="168"/>
      <c r="HS31" s="168"/>
      <c r="IM31" s="86" t="s">
        <v>43</v>
      </c>
      <c r="IN31" s="86" t="s">
        <v>335</v>
      </c>
    </row>
    <row r="32" spans="4:248" ht="14.15" customHeight="1" x14ac:dyDescent="0.3">
      <c r="D32" s="86"/>
      <c r="E32" s="86"/>
      <c r="DR32" s="330" t="s">
        <v>347</v>
      </c>
      <c r="DS32" s="330"/>
      <c r="DT32" s="330"/>
      <c r="DU32" s="330"/>
      <c r="DV32" s="330"/>
      <c r="DW32" s="330"/>
      <c r="DY32" s="330" t="s">
        <v>347</v>
      </c>
      <c r="DZ32" s="330"/>
      <c r="EA32" s="330"/>
      <c r="EB32" s="330"/>
      <c r="EC32" s="330"/>
      <c r="ED32" s="330"/>
      <c r="FG32" s="86">
        <v>0.99399999999999999</v>
      </c>
      <c r="FH32" s="86">
        <v>0.71120000000000005</v>
      </c>
      <c r="GO32" s="168"/>
      <c r="GP32" s="168"/>
      <c r="GQ32" s="168"/>
      <c r="HQ32" s="168"/>
      <c r="HR32" s="168"/>
      <c r="HS32" s="168"/>
      <c r="IM32" s="86" t="s">
        <v>43</v>
      </c>
      <c r="IN32" s="86" t="s">
        <v>336</v>
      </c>
    </row>
    <row r="33" spans="4:247" ht="14.15" customHeight="1" x14ac:dyDescent="0.3">
      <c r="D33" s="86"/>
      <c r="E33" s="86"/>
      <c r="Q33" s="86" t="s">
        <v>4</v>
      </c>
      <c r="DR33" s="157"/>
      <c r="DS33" s="157"/>
      <c r="DT33" s="157"/>
      <c r="DU33" s="157"/>
      <c r="DV33" s="157"/>
      <c r="DW33" s="157"/>
      <c r="DY33" s="157"/>
      <c r="DZ33" s="157"/>
      <c r="EA33" s="157"/>
      <c r="EB33" s="157"/>
      <c r="EC33" s="157"/>
      <c r="ED33" s="157"/>
      <c r="FE33" s="164">
        <v>0.12</v>
      </c>
      <c r="FG33" s="86">
        <v>1</v>
      </c>
      <c r="GO33" s="168"/>
      <c r="GP33" s="168"/>
      <c r="GQ33" s="168"/>
      <c r="HQ33" s="168"/>
      <c r="HR33" s="168"/>
      <c r="HS33" s="168"/>
      <c r="IM33" s="167" t="s">
        <v>333</v>
      </c>
    </row>
    <row r="34" spans="4:247" ht="14.15" customHeight="1" x14ac:dyDescent="0.3">
      <c r="D34" s="86"/>
      <c r="E34" s="86"/>
      <c r="Q34" s="184"/>
      <c r="R34" s="184"/>
      <c r="S34" s="339" t="s">
        <v>14</v>
      </c>
      <c r="T34" s="339"/>
      <c r="U34" s="339"/>
      <c r="V34" s="339"/>
      <c r="W34" s="339"/>
      <c r="X34" s="339"/>
      <c r="Y34" s="340" t="s">
        <v>15</v>
      </c>
      <c r="Z34" s="340"/>
      <c r="AA34" s="340"/>
      <c r="AB34" s="340"/>
      <c r="AC34" s="340"/>
      <c r="AD34" s="340"/>
      <c r="AE34" s="186" t="s">
        <v>14</v>
      </c>
      <c r="AF34" s="186" t="s">
        <v>15</v>
      </c>
      <c r="DJ34" s="86">
        <v>61</v>
      </c>
      <c r="FE34" s="164">
        <v>0.12</v>
      </c>
      <c r="IM34" s="167" t="s">
        <v>342</v>
      </c>
    </row>
    <row r="35" spans="4:247" ht="19.5" customHeight="1" x14ac:dyDescent="0.3">
      <c r="D35" s="86"/>
      <c r="E35" s="86"/>
      <c r="S35" s="86" t="s">
        <v>564</v>
      </c>
      <c r="T35" s="148" t="s">
        <v>458</v>
      </c>
      <c r="U35" s="86" t="s">
        <v>394</v>
      </c>
      <c r="V35" s="86" t="s">
        <v>114</v>
      </c>
      <c r="W35" s="86" t="s">
        <v>568</v>
      </c>
      <c r="X35" s="86" t="s">
        <v>665</v>
      </c>
      <c r="Y35" s="86" t="s">
        <v>564</v>
      </c>
      <c r="Z35" s="86" t="s">
        <v>458</v>
      </c>
      <c r="AA35" s="86" t="s">
        <v>394</v>
      </c>
      <c r="AB35" s="86" t="s">
        <v>114</v>
      </c>
      <c r="AC35" s="86" t="s">
        <v>568</v>
      </c>
      <c r="AD35" s="86" t="s">
        <v>665</v>
      </c>
      <c r="AE35" s="86" t="s">
        <v>575</v>
      </c>
      <c r="AF35" s="86" t="s">
        <v>575</v>
      </c>
      <c r="AJ35" s="86">
        <v>3.9077040094867316E-2</v>
      </c>
      <c r="AK35" s="86">
        <v>6.8410157058963576E-3</v>
      </c>
      <c r="DJ35" s="86">
        <v>161</v>
      </c>
      <c r="IM35" s="169"/>
    </row>
    <row r="36" spans="4:247" x14ac:dyDescent="0.3">
      <c r="D36" s="86"/>
      <c r="E36" s="86"/>
      <c r="Q36" s="330" t="s">
        <v>574</v>
      </c>
      <c r="R36" s="86" t="s">
        <v>606</v>
      </c>
      <c r="S36" s="191">
        <f>SUMPRODUCT($FP$13:$FV$13,FW5:GC5)</f>
        <v>8.0977376563401912E-2</v>
      </c>
      <c r="T36" s="192">
        <f>$AS$5*U36+$AT$5*V36+$AU$5*W36</f>
        <v>1.3671031700591984E-3</v>
      </c>
      <c r="U36" s="193">
        <f>SUMPRODUCT($FP$13:$FV$13,GR5:GX5)</f>
        <v>4.1017674532472159E-3</v>
      </c>
      <c r="V36" s="194">
        <f>SUMPRODUCT($FP$13:$FV$13,GK5:GQ5)</f>
        <v>3.6474718554818968E-6</v>
      </c>
      <c r="W36" s="192">
        <v>0</v>
      </c>
      <c r="X36" s="191">
        <f>SUMPRODUCT($FP$13:$FV$13,GD5:GJ5)</f>
        <v>7.2587091006963735E-3</v>
      </c>
      <c r="Y36" s="195">
        <f>SUMPRODUCT($FP$13:$FV$13,GY5:HE5)</f>
        <v>1.1696557683600523E-2</v>
      </c>
      <c r="Z36" s="192">
        <f>$AS$5*AA36+$AT$5*AB36+$AU$5*AC36</f>
        <v>3.6476698253646842E-3</v>
      </c>
      <c r="AA36" s="195">
        <f>SUMPRODUCT($FP$13:$FV$13,HT5:HZ5)</f>
        <v>1.0726151882459731E-3</v>
      </c>
      <c r="AB36" s="195">
        <f>SUMPRODUCT($FP$13:$FV$13,HM5:HS5)</f>
        <v>9.8813482512876121E-3</v>
      </c>
      <c r="AC36" s="192">
        <v>0</v>
      </c>
      <c r="AD36" s="195">
        <f>SUMPRODUCT($FP$13:$FV$13,HF5:HL5)</f>
        <v>2.3081271513820125E-3</v>
      </c>
      <c r="AE36" s="192">
        <f>$AQ$5*S36+$AR$5*T36+$AV$5*X36</f>
        <v>3.8915610500473735E-2</v>
      </c>
      <c r="AF36" s="194">
        <f>$AQ$5*Y36+$AR$5*Z36+$AV$5*AD36</f>
        <v>6.8193806230065976E-3</v>
      </c>
      <c r="AJ36" s="86">
        <v>3.674870463422017E-2</v>
      </c>
      <c r="AK36" s="86">
        <v>6.6566704734064546E-3</v>
      </c>
      <c r="DK36" s="86">
        <v>1.7</v>
      </c>
      <c r="DL36" s="86">
        <v>0.2</v>
      </c>
      <c r="DN36" s="86">
        <v>0.4</v>
      </c>
      <c r="DQ36" s="86">
        <v>0.15</v>
      </c>
      <c r="IM36" s="167" t="s">
        <v>337</v>
      </c>
    </row>
    <row r="37" spans="4:247" x14ac:dyDescent="0.3">
      <c r="D37" s="86"/>
      <c r="E37" s="86"/>
      <c r="Q37" s="330"/>
      <c r="R37" s="86" t="s">
        <v>607</v>
      </c>
      <c r="S37" s="191">
        <f>SUMPRODUCT($FP$14:$FV$14,FW5:GC5)</f>
        <v>7.6177772244223133E-2</v>
      </c>
      <c r="T37" s="192">
        <f>$AS$5*U37+$AT$5*V37+$AU$5*W37</f>
        <v>1.275783164274402E-3</v>
      </c>
      <c r="U37" s="193">
        <f>SUMPRODUCT($FP$14:$FV$14,GR5:GX5)</f>
        <v>3.8276322647999854E-3</v>
      </c>
      <c r="V37" s="194">
        <f>SUMPRODUCT($FP$14:$FV$14,GK5:GQ5)</f>
        <v>3.5484086967169337E-6</v>
      </c>
      <c r="W37" s="192">
        <v>0</v>
      </c>
      <c r="X37" s="191">
        <f>SUMPRODUCT($FP$14:$FV$14,GD5:GJ5)</f>
        <v>6.7977406141770157E-3</v>
      </c>
      <c r="Y37" s="195">
        <f>SUMPRODUCT($FP$14:$FV$14,GY5:HE5)</f>
        <v>1.14239659564121E-2</v>
      </c>
      <c r="Z37" s="192">
        <f>$AS$5*AA37+$AT$5*AB37+$AU$5*AC37</f>
        <v>3.4955571866451692E-3</v>
      </c>
      <c r="AA37" s="195">
        <f>SUMPRODUCT($FP$14:$FV$14,HT5:HZ5)</f>
        <v>1.0617191049494324E-3</v>
      </c>
      <c r="AB37" s="195">
        <f>SUMPRODUCT($FP$14:$FV$14,HM5:HS5)</f>
        <v>9.4354496237147381E-3</v>
      </c>
      <c r="AC37" s="192">
        <v>0</v>
      </c>
      <c r="AD37" s="195">
        <f>SUMPRODUCT($FP$14:$FV$14,HF5:HL5)</f>
        <v>2.2247113752894383E-3</v>
      </c>
      <c r="AE37" s="192">
        <f>$AQ$5*S37+$AR$5*T37+$AV$5*X37</f>
        <v>3.6596764016274992E-2</v>
      </c>
      <c r="AF37" s="194">
        <f>$AQ$5*Y37+$AR$5*Z37+$AV$5*AD37</f>
        <v>6.6354928126504883E-3</v>
      </c>
      <c r="AJ37" s="86">
        <v>3.6128107257716709E-2</v>
      </c>
      <c r="AK37" s="86">
        <v>6.650326563091208E-3</v>
      </c>
      <c r="DJ37" s="86">
        <v>40.700000000000003</v>
      </c>
      <c r="DQ37" s="86">
        <v>1.72</v>
      </c>
      <c r="IM37" s="167" t="s">
        <v>343</v>
      </c>
    </row>
    <row r="38" spans="4:247" x14ac:dyDescent="0.3">
      <c r="D38" s="86"/>
      <c r="E38" s="86"/>
      <c r="Q38" s="330"/>
      <c r="R38" s="86" t="s">
        <v>565</v>
      </c>
      <c r="S38" s="191">
        <f>SUMPRODUCT($FP$15:$FV$15,FW5:GC5)</f>
        <v>7.5016092672356899E-2</v>
      </c>
      <c r="T38" s="192">
        <f>$AS$5*U38+$AT$5*V38+$AU$5*W38</f>
        <v>1.2000649609297726E-3</v>
      </c>
      <c r="U38" s="193">
        <f>SUMPRODUCT($FP$15:$FV$15,GR5:GX5)</f>
        <v>3.5994190755805062E-3</v>
      </c>
      <c r="V38" s="194">
        <f>SUMPRODUCT($FP$15:$FV$15,GK5:GQ5)</f>
        <v>4.3796058902823037E-6</v>
      </c>
      <c r="W38" s="192">
        <v>0</v>
      </c>
      <c r="X38" s="195">
        <f>SUMPRODUCT($FP$15:$FV$15,GD5:GJ5)</f>
        <v>6.5464081691945413E-3</v>
      </c>
      <c r="Y38" s="195">
        <f>SUMPRODUCT($FP$15:$FV$15,GY5:HE5)</f>
        <v>1.1416454737362918E-2</v>
      </c>
      <c r="Z38" s="192">
        <f>$AS$5*AA38+$AT$5*AB38+$AU$5*AC38</f>
        <v>3.4733674349022785E-3</v>
      </c>
      <c r="AA38" s="195">
        <f>SUMPRODUCT($FP$15:$FV$15,HT5:HZ5)</f>
        <v>1.0361508752064711E-3</v>
      </c>
      <c r="AB38" s="195">
        <f>SUMPRODUCT($FP$15:$FV$15,HM5:HS5)</f>
        <v>9.3943819623379075E-3</v>
      </c>
      <c r="AC38" s="192">
        <v>0</v>
      </c>
      <c r="AD38" s="195">
        <f>SUMPRODUCT($FP$15:$FV$15,HF5:HL5)</f>
        <v>2.231398191407408E-3</v>
      </c>
      <c r="AE38" s="192">
        <f>$AQ$5*S38+$AR$5*T38+$AV$5*X38</f>
        <v>3.5978107153141661E-2</v>
      </c>
      <c r="AF38" s="194">
        <f>$AQ$5*Y38+$AR$5*Z38+$AV$5*AD38</f>
        <v>6.6291954484837745E-3</v>
      </c>
      <c r="AJ38" s="86">
        <v>2.8501102031075506E-3</v>
      </c>
      <c r="AK38" s="86">
        <v>5.8640449114109195E-3</v>
      </c>
      <c r="DJ38" s="86">
        <v>34.35</v>
      </c>
      <c r="IM38" s="167" t="s">
        <v>343</v>
      </c>
    </row>
    <row r="39" spans="4:247" x14ac:dyDescent="0.3">
      <c r="D39" s="86"/>
      <c r="E39" s="86"/>
      <c r="Q39" s="330"/>
      <c r="R39" s="86" t="s">
        <v>566</v>
      </c>
      <c r="S39" s="182">
        <f>GC5</f>
        <v>5.5389928959028957E-3</v>
      </c>
      <c r="T39" s="86">
        <f>$AS$5*U39+$AT$5*V39+$AU$5*W39</f>
        <v>2.2368506342184441E-4</v>
      </c>
      <c r="U39" s="172">
        <f>GX5</f>
        <v>6.714956907631352E-4</v>
      </c>
      <c r="V39" s="168">
        <f>GQ5</f>
        <v>2.3122641958068375E-7</v>
      </c>
      <c r="W39" s="86">
        <v>0</v>
      </c>
      <c r="X39" s="162">
        <f>GJ5</f>
        <v>9.5661198551319775E-4</v>
      </c>
      <c r="Y39" s="162">
        <f>HE5</f>
        <v>9.3079112655697072E-3</v>
      </c>
      <c r="Z39" s="86">
        <f>$AS$5*AA39+$AT$5*AB39+$AU$5*AC39</f>
        <v>1.6019779470933938E-3</v>
      </c>
      <c r="AA39" s="172">
        <f>HZ5</f>
        <v>7.2627610438770105E-4</v>
      </c>
      <c r="AB39" s="172">
        <f>HS5</f>
        <v>4.0844684814783459E-3</v>
      </c>
      <c r="AC39" s="86">
        <v>0</v>
      </c>
      <c r="AD39" s="162">
        <f>HS5</f>
        <v>4.0844684814783459E-3</v>
      </c>
      <c r="AE39" s="86">
        <f>$AQ$5*S39+$AR$5*T39+$AV$5*X39</f>
        <v>2.8402645213815142E-3</v>
      </c>
      <c r="AF39" s="168">
        <f>$AQ$5*Y39+$AR$5*Z39+$AV$5*AD39</f>
        <v>5.8536700341053965E-3</v>
      </c>
      <c r="AJ39" s="86">
        <v>1.2611402502593875E-2</v>
      </c>
      <c r="AK39" s="86">
        <v>5.621195196041792E-3</v>
      </c>
      <c r="IM39" s="167"/>
    </row>
    <row r="40" spans="4:247" x14ac:dyDescent="0.3">
      <c r="D40" s="86"/>
      <c r="E40" s="86"/>
      <c r="Q40" s="330"/>
      <c r="R40" s="86" t="s">
        <v>576</v>
      </c>
      <c r="S40" s="182"/>
      <c r="U40" s="172"/>
      <c r="V40" s="168"/>
      <c r="X40" s="162"/>
      <c r="AE40" s="86">
        <f>$AQ$5*BI5+$AR$5*BJ5+$AV$5*BN5</f>
        <v>1.2555856508780952E-2</v>
      </c>
      <c r="AF40" s="168">
        <f>$AQ$5*BO5+$AR$5*BP5+$AV$5*BT5</f>
        <v>5.6024498260986398E-3</v>
      </c>
      <c r="AJ40" s="86">
        <v>5.9909692072868895E-4</v>
      </c>
      <c r="AK40" s="86">
        <v>3.5810480442924069E-3</v>
      </c>
      <c r="IM40" s="167"/>
    </row>
    <row r="41" spans="4:247" x14ac:dyDescent="0.3">
      <c r="D41" s="86"/>
      <c r="E41" s="86"/>
      <c r="Q41" s="330"/>
      <c r="R41" s="86" t="s">
        <v>577</v>
      </c>
      <c r="S41" s="182"/>
      <c r="U41" s="172"/>
      <c r="V41" s="168"/>
      <c r="X41" s="162"/>
      <c r="AE41" s="86">
        <f>$AQ$5*BU5+$AR$5*BV5+$AV$5*BZ5</f>
        <v>5.9763416109220413E-4</v>
      </c>
      <c r="AF41" s="168">
        <f>$AQ$5*CA5+$AR$5*CB5+$AV$5*CF5</f>
        <v>3.5694331538437701E-3</v>
      </c>
      <c r="IM41" s="167"/>
    </row>
    <row r="42" spans="4:247" x14ac:dyDescent="0.3">
      <c r="D42" s="86"/>
      <c r="E42" s="86"/>
      <c r="Q42" s="336" t="s">
        <v>569</v>
      </c>
      <c r="R42" s="336"/>
      <c r="S42" s="336"/>
      <c r="T42" s="336"/>
      <c r="U42" s="336"/>
      <c r="V42" s="336"/>
      <c r="W42" s="336"/>
      <c r="X42" s="336"/>
      <c r="Y42" s="336"/>
      <c r="Z42" s="336"/>
      <c r="AA42" s="336"/>
      <c r="AB42" s="336"/>
      <c r="AC42" s="336"/>
      <c r="AD42" s="336"/>
      <c r="AE42" s="336"/>
      <c r="AF42" s="336"/>
      <c r="IM42" s="167" t="s">
        <v>341</v>
      </c>
    </row>
    <row r="43" spans="4:247" ht="14.5" x14ac:dyDescent="0.35">
      <c r="S43" s="86" t="s">
        <v>573</v>
      </c>
      <c r="T43" s="86" t="s">
        <v>327</v>
      </c>
      <c r="U43" s="86" t="s">
        <v>578</v>
      </c>
      <c r="FM43" s="86">
        <v>8.0000000000000002E-3</v>
      </c>
      <c r="IM43" s="163" t="s">
        <v>44</v>
      </c>
    </row>
    <row r="44" spans="4:247" ht="14.5" x14ac:dyDescent="0.35">
      <c r="Q44" s="330" t="s">
        <v>572</v>
      </c>
      <c r="R44" s="86" t="s">
        <v>5</v>
      </c>
      <c r="S44" s="164">
        <f>((Farfield!$N$5+Farfield!$P$5)*DF5+Farfield!$O$5*DG5+Farfield!$Q$5*DJ5)*FE5</f>
        <v>142.49923467390911</v>
      </c>
      <c r="T44" s="86">
        <v>0</v>
      </c>
      <c r="V44" s="86" t="s">
        <v>605</v>
      </c>
      <c r="FM44" s="86">
        <v>3.1E-2</v>
      </c>
      <c r="FS44"/>
      <c r="IM44" s="163" t="s">
        <v>44</v>
      </c>
    </row>
    <row r="45" spans="4:247" ht="14.5" x14ac:dyDescent="0.35">
      <c r="Q45" s="330"/>
      <c r="R45" s="86" t="s">
        <v>6</v>
      </c>
      <c r="S45" s="164">
        <f>((Farfield!$N$5+Farfield!$P$5)*DM5+Farfield!$O$5*DN5+Farfield!$Q$5*DQ5)*FG5</f>
        <v>1.8446285971043437</v>
      </c>
      <c r="T45" s="294">
        <f>((Farfield!$N$5+Farfield!$P$5)*EI5+Farfield!$O$5*EJ5+Farfield!$Q$5*EM5)*FH5</f>
        <v>1.0441778432820048</v>
      </c>
      <c r="AJ45" s="287">
        <v>3.9077040094867316E-2</v>
      </c>
      <c r="AK45" s="287">
        <v>3.674870463422017E-2</v>
      </c>
      <c r="AL45" s="287">
        <v>3.6128107257716709E-2</v>
      </c>
      <c r="AM45" s="287">
        <v>2.8501102031075506E-3</v>
      </c>
      <c r="AN45" s="287">
        <v>1.2611402502593875E-2</v>
      </c>
      <c r="AO45" s="287">
        <v>5.9909692072868895E-4</v>
      </c>
      <c r="IM45" s="163"/>
    </row>
    <row r="46" spans="4:247" ht="14.5" x14ac:dyDescent="0.35">
      <c r="Q46" s="330"/>
      <c r="R46" s="86" t="s">
        <v>7</v>
      </c>
      <c r="S46" s="164">
        <f>((Farfield!$N$5+Farfield!$P$5)*DT5+Farfield!$O$5*DU5+Farfield!$Q$5*DX5)*FI5</f>
        <v>6.6325021341325296</v>
      </c>
      <c r="T46" s="158">
        <f>((Farfield!$N$5+Farfield!$P$5)*EP5+Farfield!$O$5*EQ5+Farfield!$Q$5*ET5)*FJ5</f>
        <v>4.2838527480051223</v>
      </c>
      <c r="AJ46" s="287">
        <v>6.8410157058963576E-3</v>
      </c>
      <c r="AK46" s="287">
        <v>6.6566704734064546E-3</v>
      </c>
      <c r="AL46" s="287">
        <v>6.650326563091208E-3</v>
      </c>
      <c r="AM46" s="287">
        <v>5.8640449114109195E-3</v>
      </c>
      <c r="AN46" s="287">
        <v>5.621195196041792E-3</v>
      </c>
      <c r="AO46" s="287">
        <v>3.5810480442924069E-3</v>
      </c>
      <c r="IM46" s="163"/>
    </row>
    <row r="47" spans="4:247" x14ac:dyDescent="0.3">
      <c r="Q47" s="330"/>
      <c r="R47" s="86" t="s">
        <v>8</v>
      </c>
      <c r="S47" s="164">
        <f>((Farfield!$N$5+Farfield!$P$5)*EA5+Farfield!$O$5*EB5+Farfield!$Q$5*EE5)*FK5</f>
        <v>0</v>
      </c>
      <c r="T47" s="158">
        <f>((Farfield!$N$5+Farfield!$P$5)*EW5+Farfield!$O$5*EX5+Farfield!$Q$5*FA5)*FL5</f>
        <v>2.4669861898213266</v>
      </c>
      <c r="CU47" s="164">
        <f>SUM(CT5:CW5)</f>
        <v>1</v>
      </c>
      <c r="FM47" s="86">
        <v>2.2200000000000001E-2</v>
      </c>
      <c r="IM47" s="167" t="s">
        <v>43</v>
      </c>
    </row>
    <row r="48" spans="4:247" x14ac:dyDescent="0.3">
      <c r="Q48" s="330"/>
      <c r="R48" s="86" t="s">
        <v>576</v>
      </c>
      <c r="S48" s="164"/>
      <c r="T48" s="158"/>
      <c r="U48" s="164">
        <f>FM5*FB5</f>
        <v>2.7380000000000004</v>
      </c>
      <c r="IM48" s="167"/>
    </row>
    <row r="49" spans="17:247" x14ac:dyDescent="0.3">
      <c r="Q49" s="330"/>
      <c r="R49" s="86" t="s">
        <v>577</v>
      </c>
      <c r="S49" s="164"/>
      <c r="T49" s="158"/>
      <c r="U49" s="164">
        <f>FN5*FC5</f>
        <v>9.8600000000000012</v>
      </c>
      <c r="FM49" s="86">
        <v>3.0200000000000001E-2</v>
      </c>
      <c r="IM49" s="167" t="s">
        <v>43</v>
      </c>
    </row>
    <row r="50" spans="17:247" x14ac:dyDescent="0.3">
      <c r="Q50" s="335" t="s">
        <v>570</v>
      </c>
      <c r="R50" s="335"/>
      <c r="S50" s="335"/>
      <c r="T50" s="335"/>
      <c r="U50" s="335"/>
      <c r="V50" s="335"/>
      <c r="W50" s="335"/>
      <c r="X50" s="335"/>
      <c r="Y50" s="335"/>
      <c r="Z50" s="335"/>
      <c r="AA50" s="335"/>
      <c r="AB50" s="335"/>
      <c r="AC50" s="335"/>
      <c r="AD50" s="335"/>
      <c r="AE50" s="335"/>
      <c r="AF50" s="335"/>
      <c r="AJ50" s="86">
        <v>3.8276322647999854E-3</v>
      </c>
      <c r="AK50" s="86">
        <v>1.0617191049494324E-3</v>
      </c>
      <c r="FM50" s="86">
        <v>4.5499999999999999E-2</v>
      </c>
      <c r="IM50" s="167" t="s">
        <v>43</v>
      </c>
    </row>
    <row r="51" spans="17:247" x14ac:dyDescent="0.3">
      <c r="Q51" s="185"/>
      <c r="R51" s="185"/>
      <c r="S51" s="185" t="s">
        <v>581</v>
      </c>
      <c r="T51" s="185" t="s">
        <v>582</v>
      </c>
      <c r="U51" s="185" t="s">
        <v>583</v>
      </c>
      <c r="V51" s="185" t="s">
        <v>584</v>
      </c>
      <c r="W51" s="185" t="s">
        <v>585</v>
      </c>
      <c r="X51" s="185" t="s">
        <v>586</v>
      </c>
      <c r="Y51" s="185"/>
      <c r="Z51" s="185"/>
      <c r="AA51" s="185"/>
      <c r="AB51" s="185"/>
      <c r="AC51" s="185"/>
      <c r="AD51" s="185"/>
      <c r="AE51" s="185"/>
      <c r="AF51" s="185"/>
      <c r="AJ51" s="86">
        <v>3.5994190755805062E-3</v>
      </c>
      <c r="AK51" s="86">
        <v>1.0361508752064711E-3</v>
      </c>
      <c r="EM51" s="86" t="s">
        <v>352</v>
      </c>
      <c r="ET51" s="86" t="s">
        <v>352</v>
      </c>
      <c r="FA51" s="86" t="s">
        <v>352</v>
      </c>
      <c r="FN51" s="86" t="s">
        <v>691</v>
      </c>
    </row>
    <row r="52" spans="17:247" x14ac:dyDescent="0.3">
      <c r="Q52" s="330" t="s">
        <v>580</v>
      </c>
      <c r="R52" s="86" t="s">
        <v>5</v>
      </c>
      <c r="S52" s="183">
        <f>AE36*S44</f>
        <v>5.5454447131854483</v>
      </c>
      <c r="T52" s="86">
        <v>0</v>
      </c>
      <c r="V52" s="162">
        <f>AF36*S44</f>
        <v>0.97175651972852573</v>
      </c>
      <c r="W52" s="162">
        <f>AF36*T44</f>
        <v>0</v>
      </c>
      <c r="AJ52" s="86">
        <v>6.714956907631352E-4</v>
      </c>
      <c r="AK52" s="86">
        <v>7.2627610438770105E-4</v>
      </c>
      <c r="FM52" s="86" t="s">
        <v>687</v>
      </c>
      <c r="FN52" s="86">
        <v>4.5900000000000003E-2</v>
      </c>
      <c r="IM52" s="170" t="s">
        <v>474</v>
      </c>
    </row>
    <row r="53" spans="17:247" x14ac:dyDescent="0.3">
      <c r="Q53" s="330"/>
      <c r="R53" s="86" t="s">
        <v>6</v>
      </c>
      <c r="S53" s="183">
        <f>AE37*S45</f>
        <v>6.7507437465900058E-2</v>
      </c>
      <c r="T53" s="182">
        <f>T45*AE37</f>
        <v>3.8213530121614499E-2</v>
      </c>
      <c r="V53" s="162">
        <f>AF37*S45</f>
        <v>1.2240019798095426E-2</v>
      </c>
      <c r="W53" s="162">
        <f>AF37*T45</f>
        <v>6.928634574226631E-3</v>
      </c>
      <c r="FM53" s="86" t="s">
        <v>688</v>
      </c>
      <c r="FN53" s="86">
        <v>3.7699999999999997E-2</v>
      </c>
      <c r="IM53" s="170"/>
    </row>
    <row r="54" spans="17:247" x14ac:dyDescent="0.3">
      <c r="Q54" s="330"/>
      <c r="R54" s="86" t="s">
        <v>7</v>
      </c>
      <c r="S54" s="183">
        <f>AE38*S46</f>
        <v>0.2386248724752609</v>
      </c>
      <c r="T54" s="182">
        <f>T46*AE38</f>
        <v>0.15412491319600866</v>
      </c>
      <c r="V54" s="162">
        <f>AF38*S46</f>
        <v>4.3968152959650286E-2</v>
      </c>
      <c r="W54" s="162">
        <f>AF38*T46</f>
        <v>2.8398497139050266E-2</v>
      </c>
      <c r="FM54" s="86" t="s">
        <v>689</v>
      </c>
      <c r="FN54" s="86">
        <v>5.2299999999999999E-2</v>
      </c>
      <c r="IM54" s="170"/>
    </row>
    <row r="55" spans="17:247" ht="15" customHeight="1" x14ac:dyDescent="0.3">
      <c r="Q55" s="330"/>
      <c r="R55" s="86" t="s">
        <v>8</v>
      </c>
      <c r="S55" s="183">
        <f>AE38*S47</f>
        <v>0</v>
      </c>
      <c r="T55" s="182">
        <f>T47*AE39</f>
        <v>7.0068933496876757E-3</v>
      </c>
      <c r="V55" s="162">
        <f>AF38*S47</f>
        <v>0</v>
      </c>
      <c r="W55" s="162">
        <f>AF39*T47</f>
        <v>1.4440923133908946E-2</v>
      </c>
      <c r="AJ55" s="287">
        <v>3.8276322647999854E-3</v>
      </c>
      <c r="AK55" s="287">
        <v>3.5994190755805062E-3</v>
      </c>
      <c r="AL55" s="287">
        <v>6.714956907631352E-4</v>
      </c>
      <c r="FM55" s="86" t="s">
        <v>690</v>
      </c>
      <c r="FN55" s="86">
        <v>6.13E-2</v>
      </c>
    </row>
    <row r="56" spans="17:247" ht="15" customHeight="1" x14ac:dyDescent="0.3">
      <c r="Q56" s="330"/>
      <c r="R56" s="86" t="s">
        <v>567</v>
      </c>
      <c r="S56" s="183">
        <f>(S52*CT5+S53*CU5+S54*CV5+S55*CW5)</f>
        <v>0.27543146616792347</v>
      </c>
      <c r="T56" s="182">
        <f>(T52*CX5+T53*CY5+T54*CZ5+T55*DA5)</f>
        <v>0.10465090259176825</v>
      </c>
      <c r="U56" s="182">
        <f>DB5*U48*AE40+DC5*U49*AE41</f>
        <v>2.2414124958119543E-2</v>
      </c>
      <c r="V56" s="183">
        <f>V52*CT5+V53*CU5+V54*CV5+V55*CW5</f>
        <v>5.0371323380089643E-2</v>
      </c>
      <c r="W56" s="182">
        <f>(W52*CX5+W53*CY5+W54*CZ5+W55*DA5)</f>
        <v>2.3521456927507775E-2</v>
      </c>
      <c r="X56" s="182">
        <f>DB5*U48*AF40+DC5*U49*AF41</f>
        <v>2.3678650998535507E-2</v>
      </c>
      <c r="AJ56" s="287">
        <v>1.0617191049494324E-3</v>
      </c>
      <c r="AK56" s="287">
        <v>1.0361508752064711E-3</v>
      </c>
      <c r="AL56" s="287">
        <v>7.2627610438770105E-4</v>
      </c>
    </row>
    <row r="57" spans="17:247" x14ac:dyDescent="0.3">
      <c r="Q57" s="187" t="s">
        <v>571</v>
      </c>
      <c r="R57" s="187"/>
      <c r="S57" s="187"/>
      <c r="T57" s="187"/>
      <c r="U57" s="187"/>
      <c r="V57" s="187"/>
      <c r="W57" s="187"/>
      <c r="X57" s="187"/>
      <c r="Y57" s="187"/>
      <c r="Z57" s="187"/>
      <c r="AA57" s="187"/>
      <c r="AB57" s="187"/>
      <c r="AC57" s="187"/>
      <c r="AD57" s="187"/>
      <c r="AE57" s="187"/>
      <c r="AF57" s="187"/>
    </row>
    <row r="58" spans="17:247" x14ac:dyDescent="0.3">
      <c r="Q58" s="86" t="s">
        <v>587</v>
      </c>
      <c r="R58" s="164"/>
      <c r="S58" s="164">
        <f>S56*J5*CG5</f>
        <v>295.63360531008351</v>
      </c>
      <c r="T58" s="164">
        <f>T56*J5*CH5</f>
        <v>18.516833140786339</v>
      </c>
      <c r="U58" s="158">
        <f>U56*J5*CI5</f>
        <v>6.3446967400162197</v>
      </c>
      <c r="V58" s="164">
        <f>V56*J5*CG5</f>
        <v>54.06592116100876</v>
      </c>
      <c r="W58" s="164">
        <f>W56*J5*CH5</f>
        <v>4.1618646602013518</v>
      </c>
      <c r="X58" s="158">
        <f>X56*J5*CI5</f>
        <v>6.7026421990195812</v>
      </c>
      <c r="DE58" s="86" t="s">
        <v>344</v>
      </c>
    </row>
    <row r="59" spans="17:247" x14ac:dyDescent="0.3">
      <c r="Q59" s="86" t="s">
        <v>579</v>
      </c>
      <c r="R59" s="164">
        <f>SUM(S58:U58)</f>
        <v>320.49513519088606</v>
      </c>
      <c r="DE59" s="86">
        <v>25</v>
      </c>
      <c r="DG59" s="86">
        <v>35</v>
      </c>
      <c r="DI59" s="86">
        <v>43</v>
      </c>
      <c r="IM59" s="86" t="s">
        <v>343</v>
      </c>
    </row>
    <row r="60" spans="17:247" x14ac:dyDescent="0.3">
      <c r="Q60" s="86" t="s">
        <v>588</v>
      </c>
      <c r="R60" s="164">
        <f>SUM(V58:X58)</f>
        <v>64.930428020229698</v>
      </c>
      <c r="S60" s="164"/>
      <c r="CW60" s="171" t="s">
        <v>348</v>
      </c>
      <c r="DE60" s="86">
        <f>DE59/0.12</f>
        <v>208.33333333333334</v>
      </c>
      <c r="DG60" s="86">
        <f>DG59/0.12</f>
        <v>291.66666666666669</v>
      </c>
      <c r="DI60" s="86">
        <f>DI59/0.12</f>
        <v>358.33333333333337</v>
      </c>
    </row>
    <row r="61" spans="17:247" x14ac:dyDescent="0.3">
      <c r="CW61" s="171" t="s">
        <v>350</v>
      </c>
      <c r="DD61" s="86">
        <f>DE60*(10^(4.3/10))</f>
        <v>560.73641748477417</v>
      </c>
      <c r="DF61" s="86">
        <f>DG60*(10^(4.3/10))</f>
        <v>785.03098447868388</v>
      </c>
      <c r="DH61" s="86">
        <f>DI60*(10^(4.3/10))</f>
        <v>964.46663807381162</v>
      </c>
    </row>
    <row r="62" spans="17:247" x14ac:dyDescent="0.3">
      <c r="DK62" s="86">
        <v>1.07</v>
      </c>
      <c r="DL62" s="86">
        <v>0.2</v>
      </c>
      <c r="IM62" s="86" t="s">
        <v>349</v>
      </c>
    </row>
    <row r="63" spans="17:247" x14ac:dyDescent="0.3">
      <c r="S63" s="164"/>
      <c r="FB63" s="86">
        <v>100</v>
      </c>
      <c r="FC63" s="86">
        <v>200</v>
      </c>
      <c r="IM63" s="86" t="s">
        <v>473</v>
      </c>
    </row>
  </sheetData>
  <mergeCells count="108">
    <mergeCell ref="FP12:FV12"/>
    <mergeCell ref="K3:L3"/>
    <mergeCell ref="V3:Z3"/>
    <mergeCell ref="AA2:AJ2"/>
    <mergeCell ref="AA3:AE3"/>
    <mergeCell ref="AF3:AJ3"/>
    <mergeCell ref="AN3:AP3"/>
    <mergeCell ref="AK3:AM3"/>
    <mergeCell ref="K2:L2"/>
    <mergeCell ref="Q3:U3"/>
    <mergeCell ref="BI3:BN3"/>
    <mergeCell ref="CJ2:CM2"/>
    <mergeCell ref="CN2:CQ2"/>
    <mergeCell ref="CR2:CS2"/>
    <mergeCell ref="M2:N2"/>
    <mergeCell ref="O2:P2"/>
    <mergeCell ref="GY3:HE3"/>
    <mergeCell ref="FK2:FL2"/>
    <mergeCell ref="FE2:FF2"/>
    <mergeCell ref="FW3:GC3"/>
    <mergeCell ref="GY2:HZ2"/>
    <mergeCell ref="FW2:GX2"/>
    <mergeCell ref="HF3:HL3"/>
    <mergeCell ref="HM3:HS3"/>
    <mergeCell ref="FI2:FJ2"/>
    <mergeCell ref="IK3:IL3"/>
    <mergeCell ref="IE12:IF12"/>
    <mergeCell ref="IG12:IH12"/>
    <mergeCell ref="II12:IJ12"/>
    <mergeCell ref="IK12:IL12"/>
    <mergeCell ref="Q52:Q56"/>
    <mergeCell ref="IE3:IF3"/>
    <mergeCell ref="IG3:IH3"/>
    <mergeCell ref="HT3:HZ3"/>
    <mergeCell ref="DY32:ED32"/>
    <mergeCell ref="DR32:DW32"/>
    <mergeCell ref="DY3:EE3"/>
    <mergeCell ref="DR3:DX3"/>
    <mergeCell ref="DK3:DQ3"/>
    <mergeCell ref="DD3:DJ3"/>
    <mergeCell ref="IC3:ID3"/>
    <mergeCell ref="BU3:BZ3"/>
    <mergeCell ref="EN3:ET3"/>
    <mergeCell ref="EU3:FA3"/>
    <mergeCell ref="II3:IJ3"/>
    <mergeCell ref="EG3:EM3"/>
    <mergeCell ref="GD3:GJ3"/>
    <mergeCell ref="GK3:GQ3"/>
    <mergeCell ref="GR3:GX3"/>
    <mergeCell ref="B1:C1"/>
    <mergeCell ref="D1:E1"/>
    <mergeCell ref="F1:G1"/>
    <mergeCell ref="H1:I1"/>
    <mergeCell ref="AQ2:AV2"/>
    <mergeCell ref="B2:C2"/>
    <mergeCell ref="D2:E2"/>
    <mergeCell ref="F2:G2"/>
    <mergeCell ref="H2:I2"/>
    <mergeCell ref="K1:L1"/>
    <mergeCell ref="Q1:AP1"/>
    <mergeCell ref="Q2:Z2"/>
    <mergeCell ref="M1:P1"/>
    <mergeCell ref="IC1:IL1"/>
    <mergeCell ref="IC2:IL2"/>
    <mergeCell ref="FE1:FO1"/>
    <mergeCell ref="BU1:CF1"/>
    <mergeCell ref="CG2:CI2"/>
    <mergeCell ref="BU2:CF2"/>
    <mergeCell ref="CX1:DA1"/>
    <mergeCell ref="CX2:DA2"/>
    <mergeCell ref="CG1:CI1"/>
    <mergeCell ref="IA1:IB1"/>
    <mergeCell ref="IA2:IB2"/>
    <mergeCell ref="DB1:DC1"/>
    <mergeCell ref="CT1:CW1"/>
    <mergeCell ref="CT2:CW2"/>
    <mergeCell ref="FG2:FH2"/>
    <mergeCell ref="FW1:HZ1"/>
    <mergeCell ref="FP1:FV1"/>
    <mergeCell ref="FP2:FV2"/>
    <mergeCell ref="EF2:FA2"/>
    <mergeCell ref="FB1:FC1"/>
    <mergeCell ref="EF1:EZ1"/>
    <mergeCell ref="FB2:FC2"/>
    <mergeCell ref="Q50:AF50"/>
    <mergeCell ref="Q42:AF42"/>
    <mergeCell ref="AW2:AX2"/>
    <mergeCell ref="AY2:AZ2"/>
    <mergeCell ref="BA2:BB2"/>
    <mergeCell ref="BC2:BD2"/>
    <mergeCell ref="BE2:BF2"/>
    <mergeCell ref="BG2:BH2"/>
    <mergeCell ref="AW1:BH1"/>
    <mergeCell ref="S34:X34"/>
    <mergeCell ref="Y34:AD34"/>
    <mergeCell ref="Q44:Q49"/>
    <mergeCell ref="Q36:Q41"/>
    <mergeCell ref="AQ1:AV1"/>
    <mergeCell ref="AS3:AU3"/>
    <mergeCell ref="BI1:BT1"/>
    <mergeCell ref="CJ1:CS1"/>
    <mergeCell ref="AK2:AP2"/>
    <mergeCell ref="DD1:EE1"/>
    <mergeCell ref="DD2:EE2"/>
    <mergeCell ref="BI2:BT2"/>
    <mergeCell ref="CA3:CF3"/>
    <mergeCell ref="DB2:DC2"/>
    <mergeCell ref="BO3:BT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N83"/>
  <sheetViews>
    <sheetView topLeftCell="AI1" zoomScale="85" zoomScaleNormal="85" workbookViewId="0">
      <selection activeCell="CI5" sqref="CI5"/>
    </sheetView>
  </sheetViews>
  <sheetFormatPr defaultColWidth="9" defaultRowHeight="14" x14ac:dyDescent="0.3"/>
  <cols>
    <col min="1" max="1" width="14.75" customWidth="1"/>
    <col min="2" max="2" width="11.58203125" customWidth="1"/>
    <col min="3" max="3" width="12.58203125" style="4" bestFit="1" customWidth="1"/>
    <col min="4" max="4" width="16.75" customWidth="1"/>
    <col min="5" max="5" width="23.83203125" customWidth="1"/>
    <col min="6" max="6" width="31.33203125" customWidth="1"/>
    <col min="7" max="7" width="16.58203125" customWidth="1"/>
    <col min="8" max="14" width="12.08203125" customWidth="1"/>
    <col min="15" max="15" width="13.33203125" bestFit="1" customWidth="1"/>
    <col min="16" max="20" width="12.08203125" customWidth="1"/>
    <col min="21" max="30" width="16.83203125" customWidth="1"/>
    <col min="31" max="31" width="12.08203125" customWidth="1"/>
    <col min="32" max="32" width="18.58203125" customWidth="1"/>
    <col min="33" max="33" width="22.33203125" customWidth="1"/>
    <col min="34" max="34" width="20.5" customWidth="1"/>
    <col min="35" max="35" width="23.25" customWidth="1"/>
    <col min="36" max="36" width="17.08203125" customWidth="1"/>
    <col min="37" max="37" width="13.83203125" customWidth="1"/>
    <col min="38" max="47" width="9" customWidth="1"/>
    <col min="48" max="50" width="14.33203125" customWidth="1"/>
    <col min="51" max="51" width="21.83203125" customWidth="1"/>
    <col min="52" max="75" width="14.33203125" style="116" customWidth="1"/>
    <col min="76" max="77" width="10" style="116" customWidth="1"/>
    <col min="78" max="78" width="8.08203125" style="116" customWidth="1"/>
    <col min="79" max="79" width="9.08203125" style="116" customWidth="1"/>
    <col min="80" max="80" width="8.58203125" style="116" customWidth="1"/>
    <col min="81" max="81" width="8.83203125" style="116" customWidth="1"/>
    <col min="82" max="82" width="9.83203125" style="116" customWidth="1"/>
    <col min="83" max="84" width="10" style="116" customWidth="1"/>
    <col min="85" max="85" width="8.08203125" style="116" customWidth="1"/>
    <col min="86" max="86" width="9.08203125" style="116" customWidth="1"/>
    <col min="87" max="87" width="8.58203125" style="116" customWidth="1"/>
    <col min="88" max="88" width="8.83203125" style="116" customWidth="1"/>
    <col min="89" max="89" width="9.83203125" style="116" customWidth="1"/>
    <col min="90" max="91" width="10" style="116" customWidth="1"/>
    <col min="92" max="92" width="8.08203125" style="116" customWidth="1"/>
    <col min="93" max="94" width="14.33203125" style="116" customWidth="1"/>
    <col min="95" max="98" width="9" style="116" customWidth="1"/>
    <col min="99" max="99" width="10.58203125" style="116" hidden="1" customWidth="1"/>
    <col min="100" max="103" width="10.33203125" style="116" hidden="1" customWidth="1"/>
    <col min="104" max="104" width="11.33203125" style="116" hidden="1" customWidth="1"/>
    <col min="105" max="106" width="10.33203125" style="116" hidden="1" customWidth="1"/>
    <col min="107" max="107" width="11.33203125" style="116" hidden="1" customWidth="1"/>
    <col min="108" max="116" width="0" style="116" hidden="1" customWidth="1"/>
  </cols>
  <sheetData>
    <row r="1" spans="1:118" ht="14.5" x14ac:dyDescent="0.35">
      <c r="A1" s="86"/>
      <c r="B1" s="330" t="s">
        <v>468</v>
      </c>
      <c r="C1" s="330"/>
      <c r="D1" s="216" t="s">
        <v>594</v>
      </c>
      <c r="E1" s="338" t="s">
        <v>601</v>
      </c>
      <c r="F1" s="338"/>
      <c r="G1" s="361" t="s">
        <v>600</v>
      </c>
      <c r="H1" s="362"/>
      <c r="I1" s="362"/>
      <c r="J1" s="362"/>
      <c r="K1" s="362"/>
      <c r="L1" s="362"/>
      <c r="M1" s="362"/>
      <c r="N1" s="362"/>
      <c r="O1" s="362"/>
      <c r="P1" s="362"/>
      <c r="Q1" s="362"/>
      <c r="R1" s="362"/>
      <c r="S1" s="362"/>
      <c r="T1" s="363"/>
      <c r="U1" s="356" t="s">
        <v>602</v>
      </c>
      <c r="V1" s="356"/>
      <c r="W1" s="356"/>
      <c r="X1" s="356"/>
      <c r="Y1" s="356"/>
      <c r="Z1" s="356"/>
      <c r="AA1" s="356"/>
      <c r="AB1" s="356"/>
      <c r="AC1" s="356"/>
      <c r="AD1" s="356"/>
      <c r="AE1" s="214"/>
      <c r="AF1" s="329" t="s">
        <v>467</v>
      </c>
      <c r="AG1" s="329"/>
      <c r="AH1" s="329"/>
      <c r="AI1" s="329"/>
      <c r="AJ1" s="329" t="s">
        <v>434</v>
      </c>
      <c r="AK1" s="329"/>
      <c r="AL1" s="329" t="s">
        <v>397</v>
      </c>
      <c r="AM1" s="358"/>
      <c r="AN1" s="358"/>
      <c r="AO1" s="329" t="s">
        <v>398</v>
      </c>
      <c r="AP1" s="358"/>
      <c r="AQ1" s="358"/>
      <c r="AR1" s="329" t="s">
        <v>399</v>
      </c>
      <c r="AS1" s="329"/>
      <c r="AT1" s="329" t="s">
        <v>19</v>
      </c>
      <c r="AU1" s="329"/>
      <c r="AV1" s="329" t="s">
        <v>279</v>
      </c>
      <c r="AW1" s="329"/>
      <c r="AX1" s="329"/>
      <c r="AY1" s="329"/>
      <c r="AZ1" s="329" t="s">
        <v>357</v>
      </c>
      <c r="BA1" s="329"/>
      <c r="BB1" s="329"/>
      <c r="BC1" s="329"/>
      <c r="BD1" s="329" t="s">
        <v>359</v>
      </c>
      <c r="BE1" s="329"/>
      <c r="BF1" s="329"/>
      <c r="BG1" s="329"/>
      <c r="BH1" s="329" t="s">
        <v>360</v>
      </c>
      <c r="BI1" s="329"/>
      <c r="BJ1" s="329"/>
      <c r="BK1" s="329"/>
      <c r="BL1" s="329" t="s">
        <v>361</v>
      </c>
      <c r="BM1" s="329"/>
      <c r="BN1" s="329"/>
      <c r="BO1" s="329"/>
      <c r="BP1" s="329" t="s">
        <v>362</v>
      </c>
      <c r="BQ1" s="329"/>
      <c r="BR1" s="329"/>
      <c r="BS1" s="329"/>
      <c r="BT1" s="329" t="s">
        <v>363</v>
      </c>
      <c r="BU1" s="329"/>
      <c r="BV1" s="329"/>
      <c r="BW1" s="329"/>
      <c r="BX1" s="329" t="s">
        <v>411</v>
      </c>
      <c r="BY1" s="329"/>
      <c r="BZ1" s="329"/>
      <c r="CA1" s="329"/>
      <c r="CB1" s="329"/>
      <c r="CC1" s="329"/>
      <c r="CD1" s="329"/>
      <c r="CE1" s="329"/>
      <c r="CF1" s="329"/>
      <c r="CG1" s="329"/>
      <c r="CH1" s="329"/>
      <c r="CI1" s="329"/>
      <c r="CJ1" s="329"/>
      <c r="CK1" s="329"/>
      <c r="CL1" s="329"/>
      <c r="CM1" s="329"/>
      <c r="CN1" s="329"/>
      <c r="CO1" s="329"/>
      <c r="CP1" s="329"/>
      <c r="CQ1" s="329"/>
      <c r="CR1" s="329"/>
      <c r="CS1" s="329"/>
      <c r="CT1" s="329"/>
      <c r="CU1" s="329" t="s">
        <v>612</v>
      </c>
      <c r="CV1" s="329"/>
      <c r="CW1" s="329"/>
      <c r="CX1" s="329"/>
      <c r="CY1" s="329"/>
      <c r="CZ1" s="329"/>
      <c r="DA1" s="329"/>
      <c r="DB1" s="329"/>
      <c r="DC1" s="329"/>
      <c r="DD1" s="329"/>
      <c r="DE1" s="329"/>
      <c r="DF1" s="329"/>
      <c r="DG1" s="329"/>
      <c r="DH1" s="329"/>
      <c r="DI1" s="329"/>
      <c r="DJ1" s="329"/>
      <c r="DK1" s="329"/>
      <c r="DL1" s="329"/>
    </row>
    <row r="2" spans="1:118" x14ac:dyDescent="0.3">
      <c r="A2" s="86"/>
      <c r="B2" s="345" t="s">
        <v>102</v>
      </c>
      <c r="C2" s="330"/>
      <c r="D2" s="86" t="s">
        <v>61</v>
      </c>
      <c r="E2" s="222"/>
      <c r="F2" s="222"/>
      <c r="G2" s="332" t="s">
        <v>616</v>
      </c>
      <c r="H2" s="333"/>
      <c r="I2" s="333"/>
      <c r="J2" s="333"/>
      <c r="K2" s="333"/>
      <c r="L2" s="333"/>
      <c r="M2" s="333"/>
      <c r="N2" s="334"/>
      <c r="O2" s="215"/>
      <c r="P2" s="333" t="s">
        <v>212</v>
      </c>
      <c r="Q2" s="333"/>
      <c r="R2" s="333"/>
      <c r="S2" s="333"/>
      <c r="T2" s="334"/>
      <c r="U2" s="333" t="s">
        <v>616</v>
      </c>
      <c r="V2" s="333"/>
      <c r="W2" s="333"/>
      <c r="X2" s="333"/>
      <c r="Y2" s="333"/>
      <c r="Z2" s="334"/>
      <c r="AA2" s="333" t="s">
        <v>212</v>
      </c>
      <c r="AB2" s="333"/>
      <c r="AC2" s="333"/>
      <c r="AD2" s="334"/>
      <c r="AE2" s="86" t="s">
        <v>22</v>
      </c>
      <c r="AF2" s="330" t="s">
        <v>122</v>
      </c>
      <c r="AG2" s="330"/>
      <c r="AH2" s="330"/>
      <c r="AI2" s="330"/>
      <c r="AJ2" s="330" t="s">
        <v>430</v>
      </c>
      <c r="AK2" s="330"/>
      <c r="AL2" s="330" t="s">
        <v>430</v>
      </c>
      <c r="AM2" s="330"/>
      <c r="AN2" s="330"/>
      <c r="AO2" s="330" t="s">
        <v>70</v>
      </c>
      <c r="AP2" s="330"/>
      <c r="AQ2" s="330"/>
      <c r="AR2" s="330" t="s">
        <v>430</v>
      </c>
      <c r="AS2" s="330"/>
      <c r="AT2" s="330" t="s">
        <v>70</v>
      </c>
      <c r="AU2" s="330"/>
      <c r="AV2" s="330" t="s">
        <v>61</v>
      </c>
      <c r="AW2" s="330"/>
      <c r="AX2" s="330"/>
      <c r="AY2" s="330"/>
      <c r="AZ2" s="157"/>
      <c r="BA2" s="157"/>
      <c r="BB2" s="157"/>
      <c r="BC2" s="157"/>
      <c r="BD2" s="157"/>
      <c r="BE2" s="157"/>
      <c r="BF2" s="157"/>
      <c r="BG2" s="157"/>
      <c r="BH2" s="157"/>
      <c r="BI2" s="157"/>
      <c r="BJ2" s="157"/>
      <c r="BK2" s="157"/>
      <c r="BL2" s="157"/>
      <c r="BM2" s="157"/>
      <c r="BN2" s="157"/>
      <c r="BO2" s="157"/>
      <c r="BP2" s="157"/>
      <c r="BQ2" s="157"/>
      <c r="BR2" s="157"/>
      <c r="BS2" s="157"/>
      <c r="BT2" s="157"/>
      <c r="BU2" s="157"/>
      <c r="BV2" s="157"/>
      <c r="BW2" s="157"/>
      <c r="BX2" s="330" t="s">
        <v>6</v>
      </c>
      <c r="BY2" s="330"/>
      <c r="BZ2" s="330"/>
      <c r="CA2" s="330"/>
      <c r="CB2" s="330"/>
      <c r="CC2" s="330"/>
      <c r="CD2" s="330"/>
      <c r="CE2" s="330" t="s">
        <v>7</v>
      </c>
      <c r="CF2" s="330"/>
      <c r="CG2" s="330"/>
      <c r="CH2" s="330"/>
      <c r="CI2" s="330"/>
      <c r="CJ2" s="330"/>
      <c r="CK2" s="330"/>
      <c r="CL2" s="330" t="s">
        <v>8</v>
      </c>
      <c r="CM2" s="330"/>
      <c r="CN2" s="330"/>
      <c r="CO2" s="330"/>
      <c r="CP2" s="330"/>
      <c r="CQ2" s="330"/>
      <c r="CR2" s="330"/>
      <c r="CS2" s="330" t="s">
        <v>3</v>
      </c>
      <c r="CT2" s="330"/>
      <c r="CU2" s="157"/>
      <c r="CV2" s="157"/>
      <c r="CW2" s="157"/>
      <c r="CX2" s="157"/>
      <c r="CY2" s="157"/>
      <c r="CZ2" s="157"/>
      <c r="DA2" s="157"/>
      <c r="DB2" s="157"/>
      <c r="DC2" s="157"/>
      <c r="DD2" s="157"/>
      <c r="DE2" s="157"/>
      <c r="DF2" s="157"/>
      <c r="DG2" s="157"/>
      <c r="DH2" s="157"/>
      <c r="DI2" s="157"/>
      <c r="DJ2" s="157"/>
      <c r="DK2" s="157"/>
      <c r="DL2" s="157"/>
    </row>
    <row r="3" spans="1:118" s="1" customFormat="1" x14ac:dyDescent="0.3">
      <c r="A3" s="148"/>
      <c r="B3" s="148"/>
      <c r="C3" s="219"/>
      <c r="D3" s="148"/>
      <c r="E3" s="222" t="s">
        <v>65</v>
      </c>
      <c r="F3" s="222" t="s">
        <v>595</v>
      </c>
      <c r="G3" s="332" t="s">
        <v>65</v>
      </c>
      <c r="H3" s="333"/>
      <c r="I3" s="333"/>
      <c r="J3" s="334"/>
      <c r="K3" s="332" t="s">
        <v>15</v>
      </c>
      <c r="L3" s="333"/>
      <c r="M3" s="333"/>
      <c r="N3" s="334"/>
      <c r="O3" s="332" t="s">
        <v>65</v>
      </c>
      <c r="P3" s="333"/>
      <c r="Q3" s="334"/>
      <c r="R3" s="332" t="s">
        <v>15</v>
      </c>
      <c r="S3" s="333"/>
      <c r="T3" s="334"/>
      <c r="U3" s="333" t="s">
        <v>65</v>
      </c>
      <c r="V3" s="333"/>
      <c r="W3" s="334"/>
      <c r="X3" s="333" t="s">
        <v>15</v>
      </c>
      <c r="Y3" s="333"/>
      <c r="Z3" s="334"/>
      <c r="AA3" s="333" t="s">
        <v>65</v>
      </c>
      <c r="AB3" s="334"/>
      <c r="AC3" s="333" t="s">
        <v>15</v>
      </c>
      <c r="AD3" s="334"/>
      <c r="AE3" s="148"/>
      <c r="AF3" s="331" t="s">
        <v>65</v>
      </c>
      <c r="AG3" s="331"/>
      <c r="AH3" s="331" t="s">
        <v>15</v>
      </c>
      <c r="AI3" s="331"/>
      <c r="AJ3" s="148" t="s">
        <v>2</v>
      </c>
      <c r="AK3" s="148" t="s">
        <v>3</v>
      </c>
      <c r="AL3" s="148" t="s">
        <v>6</v>
      </c>
      <c r="AM3" s="148" t="s">
        <v>7</v>
      </c>
      <c r="AN3" s="148" t="s">
        <v>8</v>
      </c>
      <c r="AO3" s="148" t="s">
        <v>6</v>
      </c>
      <c r="AP3" s="148" t="s">
        <v>7</v>
      </c>
      <c r="AQ3" s="148" t="s">
        <v>8</v>
      </c>
      <c r="AR3" s="148" t="s">
        <v>391</v>
      </c>
      <c r="AS3" s="148" t="s">
        <v>331</v>
      </c>
      <c r="AT3" s="148" t="s">
        <v>391</v>
      </c>
      <c r="AU3" s="148" t="s">
        <v>331</v>
      </c>
      <c r="AV3" s="148"/>
      <c r="AW3" s="148"/>
      <c r="AX3" s="148"/>
      <c r="AY3" s="148"/>
      <c r="AZ3" s="331"/>
      <c r="BA3" s="331"/>
      <c r="BB3" s="331"/>
      <c r="BC3" s="331"/>
      <c r="BD3" s="221"/>
      <c r="BE3" s="221"/>
      <c r="BF3" s="221"/>
      <c r="BG3" s="221"/>
      <c r="BH3" s="221"/>
      <c r="BI3" s="221"/>
      <c r="BJ3" s="221"/>
      <c r="BK3" s="221"/>
      <c r="BL3" s="221"/>
      <c r="BM3" s="221"/>
      <c r="BN3" s="221"/>
      <c r="BO3" s="221"/>
      <c r="BP3" s="221"/>
      <c r="BQ3" s="221"/>
      <c r="BR3" s="221"/>
      <c r="BS3" s="221"/>
      <c r="BT3" s="221"/>
      <c r="BU3" s="221"/>
      <c r="BV3" s="221"/>
      <c r="BW3" s="221"/>
      <c r="BX3" s="331" t="s">
        <v>338</v>
      </c>
      <c r="BY3" s="331"/>
      <c r="BZ3" s="331" t="s">
        <v>339</v>
      </c>
      <c r="CA3" s="331"/>
      <c r="CB3" s="331" t="s">
        <v>340</v>
      </c>
      <c r="CC3" s="331"/>
      <c r="CD3" s="148" t="s">
        <v>26</v>
      </c>
      <c r="CE3" s="331" t="s">
        <v>338</v>
      </c>
      <c r="CF3" s="331"/>
      <c r="CG3" s="331" t="s">
        <v>339</v>
      </c>
      <c r="CH3" s="331"/>
      <c r="CI3" s="331" t="s">
        <v>340</v>
      </c>
      <c r="CJ3" s="331"/>
      <c r="CK3" s="148" t="s">
        <v>26</v>
      </c>
      <c r="CL3" s="331" t="s">
        <v>338</v>
      </c>
      <c r="CM3" s="331"/>
      <c r="CN3" s="331" t="s">
        <v>339</v>
      </c>
      <c r="CO3" s="331"/>
      <c r="CP3" s="331" t="s">
        <v>340</v>
      </c>
      <c r="CQ3" s="331"/>
      <c r="CR3" s="148" t="s">
        <v>26</v>
      </c>
      <c r="CS3" s="157" t="s">
        <v>391</v>
      </c>
      <c r="CT3" s="157" t="s">
        <v>331</v>
      </c>
      <c r="CU3" s="337" t="s">
        <v>65</v>
      </c>
      <c r="CV3" s="337"/>
      <c r="CW3" s="337"/>
      <c r="CX3" s="337"/>
      <c r="CY3" s="337"/>
      <c r="CZ3" s="337"/>
      <c r="DA3" s="337"/>
      <c r="DB3" s="337"/>
      <c r="DC3" s="337"/>
      <c r="DD3" s="337" t="s">
        <v>15</v>
      </c>
      <c r="DE3" s="337"/>
      <c r="DF3" s="337"/>
      <c r="DG3" s="337"/>
      <c r="DH3" s="337"/>
      <c r="DI3" s="337"/>
      <c r="DJ3" s="337"/>
      <c r="DK3" s="337"/>
      <c r="DL3" s="337"/>
      <c r="DM3" s="1" t="s">
        <v>9</v>
      </c>
      <c r="DN3" s="1" t="s">
        <v>16</v>
      </c>
    </row>
    <row r="4" spans="1:118" s="2" customFormat="1" ht="19.5" customHeight="1" thickBot="1" x14ac:dyDescent="0.35">
      <c r="A4" s="215" t="s">
        <v>10</v>
      </c>
      <c r="B4" s="215" t="s">
        <v>65</v>
      </c>
      <c r="C4" s="224" t="s">
        <v>15</v>
      </c>
      <c r="D4" s="215"/>
      <c r="E4" s="222"/>
      <c r="F4" s="222"/>
      <c r="G4" s="222" t="s">
        <v>116</v>
      </c>
      <c r="H4" s="222" t="s">
        <v>6</v>
      </c>
      <c r="I4" s="222" t="s">
        <v>7</v>
      </c>
      <c r="J4" s="222" t="s">
        <v>8</v>
      </c>
      <c r="K4" s="222" t="s">
        <v>116</v>
      </c>
      <c r="L4" s="222" t="s">
        <v>6</v>
      </c>
      <c r="M4" s="222" t="s">
        <v>7</v>
      </c>
      <c r="N4" s="222" t="s">
        <v>8</v>
      </c>
      <c r="O4" s="222" t="s">
        <v>116</v>
      </c>
      <c r="P4" s="222" t="s">
        <v>391</v>
      </c>
      <c r="Q4" s="222" t="s">
        <v>331</v>
      </c>
      <c r="R4" s="222" t="s">
        <v>116</v>
      </c>
      <c r="S4" s="222" t="s">
        <v>391</v>
      </c>
      <c r="T4" s="222" t="s">
        <v>331</v>
      </c>
      <c r="U4" s="222" t="s">
        <v>6</v>
      </c>
      <c r="V4" s="222" t="s">
        <v>7</v>
      </c>
      <c r="W4" s="222" t="s">
        <v>8</v>
      </c>
      <c r="X4" s="222" t="s">
        <v>6</v>
      </c>
      <c r="Y4" s="222" t="s">
        <v>7</v>
      </c>
      <c r="Z4" s="222" t="s">
        <v>8</v>
      </c>
      <c r="AA4" s="218" t="s">
        <v>391</v>
      </c>
      <c r="AB4" s="222" t="s">
        <v>331</v>
      </c>
      <c r="AC4" s="218" t="s">
        <v>391</v>
      </c>
      <c r="AD4" s="222" t="s">
        <v>331</v>
      </c>
      <c r="AE4" s="215"/>
      <c r="AF4" s="215" t="s">
        <v>391</v>
      </c>
      <c r="AG4" s="215" t="s">
        <v>331</v>
      </c>
      <c r="AH4" s="215" t="s">
        <v>391</v>
      </c>
      <c r="AI4" s="215" t="s">
        <v>331</v>
      </c>
      <c r="AJ4" s="215"/>
      <c r="AK4" s="215"/>
      <c r="AL4" s="215"/>
      <c r="AM4" s="215"/>
      <c r="AN4" s="215"/>
      <c r="AO4" s="215"/>
      <c r="AP4" s="215"/>
      <c r="AQ4" s="215"/>
      <c r="AR4" s="215"/>
      <c r="AS4" s="215"/>
      <c r="AT4" s="215"/>
      <c r="AU4" s="215"/>
      <c r="AV4" s="215" t="s">
        <v>589</v>
      </c>
      <c r="AW4" s="215" t="s">
        <v>304</v>
      </c>
      <c r="AX4" s="215" t="s">
        <v>356</v>
      </c>
      <c r="AY4" s="215" t="s">
        <v>222</v>
      </c>
      <c r="AZ4" s="215" t="s">
        <v>358</v>
      </c>
      <c r="BA4" s="215" t="s">
        <v>355</v>
      </c>
      <c r="BB4" s="215" t="s">
        <v>356</v>
      </c>
      <c r="BC4" s="215" t="s">
        <v>222</v>
      </c>
      <c r="BD4" s="215" t="s">
        <v>358</v>
      </c>
      <c r="BE4" s="215" t="s">
        <v>355</v>
      </c>
      <c r="BF4" s="215" t="s">
        <v>356</v>
      </c>
      <c r="BG4" s="215" t="s">
        <v>222</v>
      </c>
      <c r="BH4" s="215" t="s">
        <v>358</v>
      </c>
      <c r="BI4" s="215" t="s">
        <v>355</v>
      </c>
      <c r="BJ4" s="215" t="s">
        <v>356</v>
      </c>
      <c r="BK4" s="215" t="s">
        <v>222</v>
      </c>
      <c r="BL4" s="215" t="s">
        <v>358</v>
      </c>
      <c r="BM4" s="215" t="s">
        <v>355</v>
      </c>
      <c r="BN4" s="215" t="s">
        <v>356</v>
      </c>
      <c r="BO4" s="215" t="s">
        <v>222</v>
      </c>
      <c r="BP4" s="215" t="s">
        <v>358</v>
      </c>
      <c r="BQ4" s="215" t="s">
        <v>355</v>
      </c>
      <c r="BR4" s="215" t="s">
        <v>356</v>
      </c>
      <c r="BS4" s="215" t="s">
        <v>222</v>
      </c>
      <c r="BT4" s="215" t="s">
        <v>358</v>
      </c>
      <c r="BU4" s="215" t="s">
        <v>355</v>
      </c>
      <c r="BV4" s="215" t="s">
        <v>356</v>
      </c>
      <c r="BW4" s="215" t="s">
        <v>222</v>
      </c>
      <c r="BX4" s="215" t="s">
        <v>353</v>
      </c>
      <c r="BY4" s="215" t="s">
        <v>74</v>
      </c>
      <c r="BZ4" s="215" t="s">
        <v>353</v>
      </c>
      <c r="CA4" s="215" t="s">
        <v>74</v>
      </c>
      <c r="CB4" s="215" t="s">
        <v>353</v>
      </c>
      <c r="CC4" s="215" t="s">
        <v>74</v>
      </c>
      <c r="CD4" s="215"/>
      <c r="CE4" s="215" t="s">
        <v>353</v>
      </c>
      <c r="CF4" s="215" t="s">
        <v>74</v>
      </c>
      <c r="CG4" s="215" t="s">
        <v>353</v>
      </c>
      <c r="CH4" s="215" t="s">
        <v>74</v>
      </c>
      <c r="CI4" s="215" t="s">
        <v>353</v>
      </c>
      <c r="CJ4" s="215" t="s">
        <v>74</v>
      </c>
      <c r="CK4" s="215"/>
      <c r="CL4" s="215" t="s">
        <v>353</v>
      </c>
      <c r="CM4" s="215" t="s">
        <v>74</v>
      </c>
      <c r="CN4" s="215" t="s">
        <v>353</v>
      </c>
      <c r="CO4" s="215" t="s">
        <v>74</v>
      </c>
      <c r="CP4" s="215" t="s">
        <v>353</v>
      </c>
      <c r="CQ4" s="215" t="s">
        <v>74</v>
      </c>
      <c r="CR4" s="215"/>
      <c r="CS4" s="215"/>
      <c r="CT4" s="215"/>
      <c r="CU4" s="222">
        <v>700</v>
      </c>
      <c r="CV4" s="222">
        <v>800</v>
      </c>
      <c r="CW4" s="222">
        <v>900</v>
      </c>
      <c r="CX4" s="222">
        <v>1800</v>
      </c>
      <c r="CY4" s="222">
        <v>2100</v>
      </c>
      <c r="CZ4" s="222">
        <v>2400</v>
      </c>
      <c r="DA4" s="222">
        <v>2600</v>
      </c>
      <c r="DB4" s="222">
        <v>3500</v>
      </c>
      <c r="DC4" s="222">
        <v>5000</v>
      </c>
      <c r="DD4" s="222">
        <v>700</v>
      </c>
      <c r="DE4" s="222">
        <v>800</v>
      </c>
      <c r="DF4" s="222">
        <v>900</v>
      </c>
      <c r="DG4" s="222">
        <v>1800</v>
      </c>
      <c r="DH4" s="222">
        <v>2100</v>
      </c>
      <c r="DI4" s="222">
        <v>2400</v>
      </c>
      <c r="DJ4" s="222">
        <v>2600</v>
      </c>
      <c r="DK4" s="222">
        <v>3500</v>
      </c>
      <c r="DL4" s="222">
        <v>5000</v>
      </c>
    </row>
    <row r="5" spans="1:118" s="2" customFormat="1" ht="19.5" customHeight="1" thickBot="1" x14ac:dyDescent="0.35">
      <c r="A5" s="215" t="s">
        <v>11</v>
      </c>
      <c r="B5" s="5">
        <f>D5*E5</f>
        <v>146.94670653357969</v>
      </c>
      <c r="C5" s="227">
        <f>D5*F5</f>
        <v>78.687031128907165</v>
      </c>
      <c r="D5" s="215">
        <f>SUM(AV5:AY5)</f>
        <v>14557.004624640344</v>
      </c>
      <c r="E5" s="241">
        <f>G5*AJ5+O5*AK5</f>
        <v>1.0094570299500078E-2</v>
      </c>
      <c r="F5" s="241">
        <f>K5*AJ5+R5*AK5</f>
        <v>5.4054411026094778E-3</v>
      </c>
      <c r="G5" s="232">
        <f>H5*AL5+I5*AM5+J5*AN5</f>
        <v>1.7927726206765148E-2</v>
      </c>
      <c r="H5" s="162">
        <f>U5*AO5</f>
        <v>0.20552638988561894</v>
      </c>
      <c r="I5" s="230">
        <f>V5*AP5</f>
        <v>2.0097394245768816E-2</v>
      </c>
      <c r="J5" s="230">
        <f>W5*AQ5</f>
        <v>3.3077028885562746E-3</v>
      </c>
      <c r="K5" s="232">
        <f>L5*AL5+M5*AM5+N5*AN5</f>
        <v>5.9697609325088264E-3</v>
      </c>
      <c r="L5" s="126">
        <f>X5*AO5</f>
        <v>5.7009472074833749E-2</v>
      </c>
      <c r="M5" s="126">
        <f>Y5*AP5</f>
        <v>5.7853593037827684E-3</v>
      </c>
      <c r="N5" s="126">
        <f>Z5*AQ5</f>
        <v>3.577544281248398E-3</v>
      </c>
      <c r="O5" s="233">
        <f>AR5*P5+AS5*Q5</f>
        <v>5.1982319020084005E-3</v>
      </c>
      <c r="P5" s="215">
        <f>AT5*AA5</f>
        <v>7.0834841173920294E-3</v>
      </c>
      <c r="Q5" s="215">
        <f>AU5*AB5</f>
        <v>2.5947883664786293E-3</v>
      </c>
      <c r="R5" s="215">
        <f>AR5*S5+AS5*T5</f>
        <v>5.0526968339757537E-3</v>
      </c>
      <c r="S5" s="215">
        <f>AC5*AT5</f>
        <v>5.4614368847115107E-3</v>
      </c>
      <c r="T5" s="215">
        <f>AU5*AD5</f>
        <v>4.4882462877216135E-3</v>
      </c>
      <c r="U5" s="228">
        <f>P77*AE5</f>
        <v>3.8276322647999854E-3</v>
      </c>
      <c r="V5" s="228">
        <f>P78*AE5</f>
        <v>3.5994190755805062E-3</v>
      </c>
      <c r="W5" s="228">
        <f>P79*AE5</f>
        <v>6.714956907631352E-4</v>
      </c>
      <c r="X5" s="228">
        <f>S77*AE5</f>
        <v>1.0617191049494324E-3</v>
      </c>
      <c r="Y5" s="228">
        <f>S78*AE5</f>
        <v>1.0361508752064711E-3</v>
      </c>
      <c r="Z5" s="228">
        <f>S79*AE5</f>
        <v>7.2627610438770105E-4</v>
      </c>
      <c r="AA5" s="228">
        <f>P80*AE5</f>
        <v>1.1194631548332708E-3</v>
      </c>
      <c r="AB5" s="228">
        <f>P81*AE5</f>
        <v>3.2007162078540112E-4</v>
      </c>
      <c r="AC5" s="228">
        <f>S80*AE5</f>
        <v>8.631172546671739E-4</v>
      </c>
      <c r="AD5" s="228">
        <f>S81*AE5</f>
        <v>5.5363292141804351E-4</v>
      </c>
      <c r="AE5" s="215">
        <v>1</v>
      </c>
      <c r="AF5" s="286">
        <f>MobileCall!BK5</f>
        <v>1.1194631548332708E-3</v>
      </c>
      <c r="AG5" s="286">
        <f>MobileCall!BW5</f>
        <v>3.2007162078540112E-4</v>
      </c>
      <c r="AH5" s="285">
        <f>MobileCall!BQ5</f>
        <v>8.631172546671739E-4</v>
      </c>
      <c r="AI5" s="285">
        <f>MobileCall!CC5</f>
        <v>5.5363292141804351E-4</v>
      </c>
      <c r="AJ5" s="225">
        <f>MobileCall!IC5</f>
        <v>0.38464516187905573</v>
      </c>
      <c r="AK5" s="225">
        <f>MobileCall!ID5</f>
        <v>0.61535483812094427</v>
      </c>
      <c r="AL5" s="225">
        <f>MobileCall!CY5</f>
        <v>1.7499999999999998E-2</v>
      </c>
      <c r="AM5" s="225">
        <f>MobileCall!CZ5</f>
        <v>0.66</v>
      </c>
      <c r="AN5" s="225">
        <f>MobileCall!DA5</f>
        <v>0.32250000000000001</v>
      </c>
      <c r="AO5" s="225">
        <f>((Farfield!N5+Farfield!P5)*( AZ5*BD5*BZ5+BA5*BE5*BZ5+BB5*BF5*BZ5+BC5*BG5*BZ5))+ (Farfield!O5* (AZ5*BD5*CA5+BA5*BE5*CA5+BB5*BF5*CA5+BC5*BG5*CA5))+ (Farfield!Q5*(AZ5*BD5*CD5+BA5*BE5*CD5+BB5*BF5*CD5+BC5*BG5*CD5))</f>
        <v>53.695437718952036</v>
      </c>
      <c r="AP5" s="225">
        <f>((Farfield!N5+Farfield!P5)*( AZ5*BH5*CG5+BA5*BI5*CG5+BB5*BJ5*CG5+BC5*BK5*CG5))+ (Farfield!O5* (AZ5*BH5*CH5+BA5*BI5*CH5+BB5*BJ5*CH5+BC5*BK5*CH5))+ (Farfield!Q5*(AZ5*BH5*CK5+BA5*BI5*CK5+BB5*BJ5*CK5+BC5*BK5*CK5))</f>
        <v>5.5835105120477122</v>
      </c>
      <c r="AQ5" s="225">
        <f>((Farfield!N5+Farfield!P5)*( AZ5*BL5*CN5+BA5*BM5*CN5+BB5*BN5*CN5+BC5*BO5*CN5))+ (Farfield!O5* ( AZ5*BL5*CO5+BA5*BM5*CO5+BB5*BN5*CO5+BC5*BO5*CO5))+ (Farfield!Q5*(AZ5*BL5*CR5+BA5*BM5*CR5+BB5*BN5*CR5+BC5*BO5*CR5))</f>
        <v>4.9258735894450298</v>
      </c>
      <c r="AR5" s="215">
        <f>MobileCall!DB5</f>
        <v>0.57999999999999996</v>
      </c>
      <c r="AS5" s="215">
        <f>MobileCall!DC5</f>
        <v>0.42</v>
      </c>
      <c r="AT5" s="225">
        <f>(AZ5*BP5*CS5+BA5*BQ5*CS5+BB5*BR5*CS5+BC5*BS5*CS5)</f>
        <v>6.3275723607419847</v>
      </c>
      <c r="AU5" s="225">
        <f>(AZ5*BT5*CT5+BA5*BU5*CT5+BB5*BV5*CT5+BC5*BW5*CT5)</f>
        <v>8.1068991999711244</v>
      </c>
      <c r="AV5" s="267">
        <f>[1]Sheet1!$B$13</f>
        <v>3989.3181408159999</v>
      </c>
      <c r="AW5" s="267">
        <f>[1]Sheet1!$B$14</f>
        <v>4916.971704997758</v>
      </c>
      <c r="AX5" s="267">
        <f>[1]Sheet1!$B$15</f>
        <v>5650.7147788265866</v>
      </c>
      <c r="AY5" s="267">
        <v>0</v>
      </c>
      <c r="AZ5" s="164">
        <f>AV5/D5</f>
        <v>0.2740480094416789</v>
      </c>
      <c r="BA5" s="164">
        <f>AW5/D5</f>
        <v>0.33777358953880532</v>
      </c>
      <c r="BB5" s="164">
        <f>AX5/D5</f>
        <v>0.3881784010195159</v>
      </c>
      <c r="BC5" s="164">
        <f>AY5/D5</f>
        <v>0</v>
      </c>
      <c r="BD5" s="158">
        <v>0.438</v>
      </c>
      <c r="BE5" s="275">
        <v>0.505</v>
      </c>
      <c r="BF5" s="275">
        <v>0.54200000000000004</v>
      </c>
      <c r="BG5" s="298">
        <v>0.78300000000000003</v>
      </c>
      <c r="BH5" s="158">
        <f>BI5/10</f>
        <v>5.5612500000000002E-3</v>
      </c>
      <c r="BI5" s="158">
        <f>AVERAGE(BI18,BI23)</f>
        <v>5.5612500000000002E-2</v>
      </c>
      <c r="BJ5" s="158">
        <f>AVERAGE(BJ18,BJ23)</f>
        <v>0.13441249999999999</v>
      </c>
      <c r="BK5" s="235">
        <v>1</v>
      </c>
      <c r="BL5" s="158">
        <f>BM5/10</f>
        <v>5.1400000000000005E-3</v>
      </c>
      <c r="BM5" s="158">
        <f>AVERAGE(BM18,BM23)</f>
        <v>5.1400000000000001E-2</v>
      </c>
      <c r="BN5" s="158">
        <f>AVERAGE(BN18,BN23)</f>
        <v>0.21603749999999999</v>
      </c>
      <c r="BO5" s="234">
        <v>1</v>
      </c>
      <c r="BP5" s="182">
        <f>AVERAGE(BP27:BP31)</f>
        <v>8.6E-3</v>
      </c>
      <c r="BQ5" s="322">
        <f>AVERAGE(BQ20:BQ30)</f>
        <v>2.2009999999999998E-2</v>
      </c>
      <c r="BR5" s="322">
        <f>BR58</f>
        <v>0.13778333333333334</v>
      </c>
      <c r="BS5" s="323">
        <f>AVERAGE(BS26:BS31)</f>
        <v>0.67064000000000001</v>
      </c>
      <c r="BT5" s="324">
        <f>AVERAGE(BT34:BT37)</f>
        <v>2.4275000000000001E-2</v>
      </c>
      <c r="BU5" s="324">
        <f>AVERAGE(BU34:BU45)</f>
        <v>3.8625E-2</v>
      </c>
      <c r="BV5" s="324">
        <f>AVERAGE(BV34:BV49)</f>
        <v>5.3674999999999987E-2</v>
      </c>
      <c r="BW5" s="324">
        <f>AVERAGE(BW34:BW37)</f>
        <v>0.49477500000000002</v>
      </c>
      <c r="BX5" s="326">
        <f>10^(2.64/10)</f>
        <v>1.8365383433483466</v>
      </c>
      <c r="BY5" s="327">
        <f>BX5*(10^(-3.7/10))</f>
        <v>0.78342964276621185</v>
      </c>
      <c r="BZ5" s="326">
        <f>10^(20.57/10)</f>
        <v>114.02497875611692</v>
      </c>
      <c r="CA5" s="327">
        <f>BZ5*(10^(-3.7/10))</f>
        <v>48.640720569146183</v>
      </c>
      <c r="CB5" s="326">
        <f>10^(CB30/10)</f>
        <v>167.10906143107084</v>
      </c>
      <c r="CC5" s="326">
        <f>CB5*(10^(-3.7/10))</f>
        <v>71.285303012651994</v>
      </c>
      <c r="CD5" s="328">
        <v>48.64</v>
      </c>
      <c r="CE5" s="158">
        <f>MobileCall!EN5</f>
        <v>64.105638299594204</v>
      </c>
      <c r="CF5" s="158">
        <f>MobileCall!EO5</f>
        <v>54.479069244189219</v>
      </c>
      <c r="CG5" s="158">
        <f>MobileCall!EP5</f>
        <v>77.898518395128534</v>
      </c>
      <c r="CH5" s="158">
        <f>MobileCall!EQ5</f>
        <v>68.405662259749306</v>
      </c>
      <c r="CI5" s="158">
        <f>MobileCall!ER5</f>
        <v>91.691398490662863</v>
      </c>
      <c r="CJ5" s="158">
        <f>MobileCall!ES5</f>
        <v>82.332255275309393</v>
      </c>
      <c r="CK5" s="158">
        <f>MobileCall!ET5</f>
        <v>74.3</v>
      </c>
      <c r="CL5" s="158">
        <f>MobileCall!EU5</f>
        <v>46.35</v>
      </c>
      <c r="CM5" s="158">
        <f>MobileCall!EV5</f>
        <v>36.92</v>
      </c>
      <c r="CN5" s="158">
        <f>MobileCall!EW5</f>
        <v>49.13</v>
      </c>
      <c r="CO5" s="158">
        <f>MobileCall!EX5</f>
        <v>40.045000000000002</v>
      </c>
      <c r="CP5" s="158">
        <f>MobileCall!EY5</f>
        <v>51.91</v>
      </c>
      <c r="CQ5" s="158">
        <f>MobileCall!EZ5</f>
        <v>43.17</v>
      </c>
      <c r="CR5" s="158">
        <f>MobileCall!FA5</f>
        <v>31.52</v>
      </c>
      <c r="CS5" s="225">
        <f>MobileCall!FB5</f>
        <v>100</v>
      </c>
      <c r="CT5" s="225">
        <f>MobileCall!FC5</f>
        <v>200</v>
      </c>
      <c r="CU5" s="236">
        <v>3.3334105213197397E-5</v>
      </c>
      <c r="CV5" s="236">
        <v>2.4300658816708898E-5</v>
      </c>
      <c r="CW5" s="236">
        <v>1.6262291417168952E-5</v>
      </c>
      <c r="CX5" s="236">
        <v>1.96694713501527E-6</v>
      </c>
      <c r="CY5" s="236">
        <v>1.3806737880430949E-6</v>
      </c>
      <c r="CZ5" s="237">
        <v>4.7510979418409601E-7</v>
      </c>
      <c r="DA5" s="236">
        <v>4.1307496412216702E-7</v>
      </c>
      <c r="DB5" s="236">
        <v>1.6677806326026099E-7</v>
      </c>
      <c r="DC5" s="237">
        <v>2.14027078663862E-8</v>
      </c>
      <c r="DD5" s="222">
        <v>1.2656730113732351E-2</v>
      </c>
      <c r="DE5" s="222">
        <v>1.2442919206611851E-2</v>
      </c>
      <c r="DF5" s="222">
        <v>1.2197825532870099E-2</v>
      </c>
      <c r="DG5" s="222">
        <v>1.2356117949965601E-2</v>
      </c>
      <c r="DH5" s="222">
        <v>9.3095822164085754E-3</v>
      </c>
      <c r="DI5" s="222">
        <v>1.01532466228958E-2</v>
      </c>
      <c r="DJ5" s="222">
        <v>7.1090367641409996E-3</v>
      </c>
      <c r="DK5" s="222">
        <v>4.7746415911633557E-3</v>
      </c>
      <c r="DL5" s="222">
        <v>2.6463740700765899E-3</v>
      </c>
    </row>
    <row r="6" spans="1:118" s="2" customFormat="1" ht="15.75" customHeight="1" x14ac:dyDescent="0.3">
      <c r="A6" s="215" t="s">
        <v>28</v>
      </c>
      <c r="B6" s="215"/>
      <c r="C6" s="224"/>
      <c r="D6" s="215"/>
      <c r="E6" s="215"/>
      <c r="F6" s="215"/>
      <c r="G6" s="215"/>
      <c r="H6" s="215"/>
      <c r="I6" s="215"/>
      <c r="J6" s="215"/>
      <c r="K6" s="215"/>
      <c r="L6" s="215"/>
      <c r="M6" s="215"/>
      <c r="N6" s="215"/>
      <c r="O6" s="215"/>
      <c r="P6" s="215"/>
      <c r="Q6" s="215"/>
      <c r="R6" s="215"/>
      <c r="S6" s="215"/>
      <c r="T6" s="215"/>
      <c r="U6" s="215"/>
      <c r="V6" s="215"/>
      <c r="W6" s="215"/>
      <c r="X6" s="215"/>
      <c r="Y6" s="215"/>
      <c r="Z6" s="215"/>
      <c r="AA6" s="215"/>
      <c r="AB6" s="215"/>
      <c r="AC6" s="215"/>
      <c r="AD6" s="215"/>
      <c r="AE6" s="215"/>
      <c r="AF6" s="215"/>
      <c r="AG6" s="215"/>
      <c r="AH6" s="215"/>
      <c r="AI6" s="215"/>
      <c r="AJ6" s="215"/>
      <c r="AK6" s="215"/>
      <c r="AL6" s="215"/>
      <c r="AM6" s="215"/>
      <c r="AN6" s="215"/>
      <c r="AO6" s="215"/>
      <c r="AP6" s="215"/>
      <c r="AQ6" s="215"/>
      <c r="AR6" s="215"/>
      <c r="AS6" s="215"/>
      <c r="AT6" s="215"/>
      <c r="AU6" s="215"/>
      <c r="AV6" s="86"/>
      <c r="AW6" s="86"/>
      <c r="AX6" s="86"/>
      <c r="AY6" s="86"/>
      <c r="AZ6" s="225"/>
      <c r="BA6" s="225"/>
      <c r="BB6" s="225"/>
      <c r="BC6" s="225"/>
      <c r="BD6" s="215"/>
      <c r="BE6" s="215"/>
      <c r="BF6" s="215"/>
      <c r="BG6" s="215"/>
      <c r="BH6" s="215"/>
      <c r="BI6" s="215"/>
      <c r="BJ6" s="215"/>
      <c r="BK6" s="215"/>
      <c r="BL6" s="215"/>
      <c r="BM6" s="215"/>
      <c r="BN6" s="215"/>
      <c r="BO6" s="215"/>
      <c r="BP6" s="215"/>
      <c r="BQ6" s="215"/>
      <c r="BR6" s="215"/>
      <c r="BS6" s="215"/>
      <c r="BT6" s="215"/>
      <c r="BU6" s="215"/>
      <c r="BV6" s="215"/>
      <c r="BW6" s="215"/>
      <c r="BX6" s="215"/>
      <c r="BY6" s="215"/>
      <c r="BZ6" s="215"/>
      <c r="CA6" s="215"/>
      <c r="CB6" s="215"/>
      <c r="CC6" s="215"/>
      <c r="CD6" s="215"/>
      <c r="CE6" s="215"/>
      <c r="CF6" s="215"/>
      <c r="CG6" s="215"/>
      <c r="CH6" s="215"/>
      <c r="CI6" s="215"/>
      <c r="CJ6" s="215"/>
      <c r="CK6" s="215"/>
      <c r="CL6" s="215"/>
      <c r="CM6" s="215"/>
      <c r="CN6" s="215"/>
      <c r="CO6" s="215"/>
      <c r="CP6" s="215"/>
      <c r="CQ6" s="215"/>
      <c r="CR6" s="215"/>
      <c r="CS6" s="215"/>
      <c r="CT6" s="215"/>
      <c r="CU6" s="215"/>
      <c r="CV6" s="215"/>
      <c r="CW6" s="215"/>
      <c r="CX6" s="215"/>
      <c r="CY6" s="215"/>
      <c r="CZ6" s="215"/>
      <c r="DA6" s="215"/>
      <c r="DB6" s="215"/>
      <c r="DC6" s="215"/>
      <c r="DD6" s="215"/>
      <c r="DE6" s="215"/>
      <c r="DF6" s="215"/>
      <c r="DG6" s="215"/>
      <c r="DH6" s="215"/>
      <c r="DI6" s="215"/>
      <c r="DJ6" s="215"/>
      <c r="DK6" s="215"/>
      <c r="DL6" s="215"/>
    </row>
    <row r="7" spans="1:118" ht="14.15" customHeight="1" x14ac:dyDescent="0.3">
      <c r="A7" s="86" t="s">
        <v>27</v>
      </c>
      <c r="B7" s="86"/>
      <c r="C7" s="159"/>
      <c r="D7" s="86">
        <v>47</v>
      </c>
      <c r="E7" s="86"/>
      <c r="F7" s="86"/>
      <c r="G7" s="86"/>
      <c r="H7" s="86"/>
      <c r="I7" s="86"/>
      <c r="J7" s="86"/>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86"/>
      <c r="BD7" s="86"/>
      <c r="BE7" s="86"/>
      <c r="BF7" s="86"/>
      <c r="BG7" s="86"/>
      <c r="BH7" s="86"/>
      <c r="BI7" s="86"/>
      <c r="BJ7" s="86"/>
      <c r="BK7" s="86"/>
      <c r="BL7" s="86"/>
      <c r="BM7" s="86"/>
      <c r="BN7" s="86"/>
      <c r="BO7" s="86"/>
      <c r="BP7" s="86"/>
      <c r="BQ7" s="86"/>
      <c r="BR7" s="86"/>
      <c r="BS7" s="86"/>
      <c r="BT7" s="86"/>
      <c r="BU7" s="86"/>
      <c r="BV7" s="86"/>
      <c r="BW7" s="86"/>
      <c r="BX7" s="86"/>
      <c r="BY7" s="86"/>
      <c r="BZ7" s="86"/>
      <c r="CA7" s="86"/>
      <c r="CB7" s="86"/>
      <c r="CC7" s="86"/>
      <c r="CD7" s="86"/>
      <c r="CE7" s="86"/>
      <c r="CF7" s="86"/>
      <c r="CG7" s="86"/>
      <c r="CH7" s="86"/>
      <c r="CI7" s="86"/>
      <c r="CJ7" s="86"/>
      <c r="CK7" s="86"/>
      <c r="CL7" s="86"/>
      <c r="CM7" s="86"/>
      <c r="CN7" s="86"/>
      <c r="CO7" s="86"/>
      <c r="CP7" s="86"/>
      <c r="CQ7" s="86"/>
      <c r="CR7" s="86"/>
      <c r="CS7" s="86"/>
      <c r="CT7" s="86"/>
      <c r="CU7" s="86"/>
      <c r="CV7" s="86"/>
      <c r="CW7" s="86"/>
      <c r="CX7" s="86"/>
      <c r="CY7" s="86"/>
      <c r="CZ7" s="86"/>
      <c r="DA7" s="86"/>
      <c r="DB7" s="86"/>
      <c r="DC7" s="86"/>
      <c r="DD7" s="86"/>
      <c r="DE7" s="86"/>
      <c r="DF7" s="86"/>
      <c r="DG7" s="86"/>
      <c r="DH7" s="86"/>
      <c r="DI7" s="86"/>
      <c r="DJ7" s="86"/>
      <c r="DK7" s="86"/>
      <c r="DL7" s="86"/>
      <c r="DM7" s="154" t="s">
        <v>414</v>
      </c>
    </row>
    <row r="8" spans="1:118" ht="14.15" customHeight="1" x14ac:dyDescent="0.3">
      <c r="A8" s="86"/>
      <c r="B8" s="86"/>
      <c r="C8" s="159"/>
      <c r="D8" s="86">
        <v>59.6</v>
      </c>
      <c r="E8" s="86"/>
      <c r="F8" s="86"/>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t="s">
        <v>283</v>
      </c>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6"/>
      <c r="CF8" s="86"/>
      <c r="CG8" s="86"/>
      <c r="CH8" s="86"/>
      <c r="CI8" s="86"/>
      <c r="CJ8" s="86"/>
      <c r="CK8" s="86"/>
      <c r="CL8" s="86"/>
      <c r="CM8" s="86"/>
      <c r="CN8" s="86"/>
      <c r="CO8" s="86"/>
      <c r="CP8" s="86"/>
      <c r="CQ8" s="86"/>
      <c r="CR8" s="86"/>
      <c r="CS8" s="86"/>
      <c r="CT8" s="86"/>
      <c r="CU8" s="86"/>
      <c r="CV8" s="86"/>
      <c r="CW8" s="86"/>
      <c r="CX8" s="86"/>
      <c r="CY8" s="86"/>
      <c r="CZ8" s="86"/>
      <c r="DA8" s="86"/>
      <c r="DB8" s="86"/>
      <c r="DC8" s="86"/>
      <c r="DD8" s="86"/>
      <c r="DE8" s="86"/>
      <c r="DF8" s="86"/>
      <c r="DG8" s="86"/>
      <c r="DH8" s="86"/>
      <c r="DI8" s="86"/>
      <c r="DJ8" s="86"/>
      <c r="DK8" s="86"/>
      <c r="DL8" s="86"/>
      <c r="DM8" s="154" t="s">
        <v>415</v>
      </c>
    </row>
    <row r="9" spans="1:118" ht="14.5" customHeight="1" x14ac:dyDescent="0.3">
      <c r="A9" s="86"/>
      <c r="B9" s="86"/>
      <c r="C9" s="159"/>
      <c r="D9" s="86">
        <v>146</v>
      </c>
      <c r="E9" s="86"/>
      <c r="F9" s="86"/>
      <c r="G9" s="86"/>
      <c r="H9" s="86"/>
      <c r="I9" s="86"/>
      <c r="J9" s="86"/>
      <c r="K9" s="86"/>
      <c r="L9" s="86"/>
      <c r="M9" s="86"/>
      <c r="N9" s="86"/>
      <c r="O9" s="86"/>
      <c r="P9" s="86"/>
      <c r="Q9" s="86"/>
      <c r="R9" s="86"/>
      <c r="S9" s="86"/>
      <c r="T9" s="86"/>
      <c r="U9" s="86"/>
      <c r="V9" s="86"/>
      <c r="W9" s="86"/>
      <c r="X9" s="86"/>
      <c r="Y9" s="86"/>
      <c r="Z9" s="86"/>
      <c r="AA9" s="86"/>
      <c r="AB9" s="86"/>
      <c r="AC9" s="86"/>
      <c r="AD9" s="86"/>
      <c r="AE9" s="86"/>
      <c r="AF9" s="86" t="s">
        <v>470</v>
      </c>
      <c r="AG9" s="86" t="s">
        <v>470</v>
      </c>
      <c r="AH9" s="86" t="s">
        <v>470</v>
      </c>
      <c r="AI9" s="86" t="s">
        <v>470</v>
      </c>
      <c r="AJ9" s="86"/>
      <c r="AK9" s="86"/>
      <c r="AL9" s="86"/>
      <c r="AM9" s="86"/>
      <c r="AN9" s="86"/>
      <c r="AO9" s="164"/>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6"/>
      <c r="BQ9" s="86"/>
      <c r="BR9" s="86"/>
      <c r="BS9" s="86"/>
      <c r="BT9" s="86"/>
      <c r="BU9" s="86"/>
      <c r="BV9" s="86"/>
      <c r="BW9" s="86"/>
      <c r="BX9" s="86"/>
      <c r="BY9" s="86"/>
      <c r="BZ9" s="86"/>
      <c r="CA9" s="86"/>
      <c r="CB9" s="86"/>
      <c r="CC9" s="86"/>
      <c r="CD9" s="86"/>
      <c r="CE9" s="86"/>
      <c r="CF9" s="86"/>
      <c r="CG9" s="86"/>
      <c r="CH9" s="86"/>
      <c r="CI9" s="86"/>
      <c r="CJ9" s="86"/>
      <c r="CK9" s="86"/>
      <c r="CL9" s="86"/>
      <c r="CM9" s="86"/>
      <c r="CN9" s="86"/>
      <c r="CO9" s="86"/>
      <c r="CP9" s="86"/>
      <c r="CQ9" s="86"/>
      <c r="CR9" s="86"/>
      <c r="CS9" s="86"/>
      <c r="CT9" s="86"/>
      <c r="CU9" s="86"/>
      <c r="CV9" s="86"/>
      <c r="CW9" s="86"/>
      <c r="CX9" s="86"/>
      <c r="CY9" s="86"/>
      <c r="CZ9" s="86"/>
      <c r="DA9" s="86"/>
      <c r="DB9" s="86"/>
      <c r="DC9" s="86"/>
      <c r="DD9" s="86"/>
      <c r="DE9" s="86"/>
      <c r="DF9" s="86"/>
      <c r="DG9" s="86"/>
      <c r="DH9" s="86"/>
      <c r="DI9" s="86"/>
      <c r="DJ9" s="86"/>
      <c r="DK9" s="86"/>
      <c r="DL9" s="86"/>
      <c r="DM9" t="s">
        <v>36</v>
      </c>
    </row>
    <row r="10" spans="1:118" ht="14.15" customHeight="1" x14ac:dyDescent="0.3">
      <c r="A10" s="86"/>
      <c r="B10" s="86"/>
      <c r="C10" s="159"/>
      <c r="D10" s="86">
        <v>56</v>
      </c>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t="s">
        <v>280</v>
      </c>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86"/>
      <c r="CD10" s="160" t="s">
        <v>427</v>
      </c>
      <c r="CE10" s="86"/>
      <c r="CF10" s="86"/>
      <c r="CG10" s="86"/>
      <c r="CH10" s="86"/>
      <c r="CI10" s="86"/>
      <c r="CJ10" s="86"/>
      <c r="CK10" s="86"/>
      <c r="CL10" s="86"/>
      <c r="CM10" s="86"/>
      <c r="CN10" s="86"/>
      <c r="CO10" s="86"/>
      <c r="CP10" s="86"/>
      <c r="CQ10" s="86"/>
      <c r="CR10" s="86"/>
      <c r="CS10" s="86"/>
      <c r="CT10" s="86"/>
      <c r="CU10" s="86"/>
      <c r="CV10" s="86"/>
      <c r="CW10" s="86"/>
      <c r="CX10" s="86"/>
      <c r="CY10" s="86"/>
      <c r="CZ10" s="86"/>
      <c r="DA10" s="86"/>
      <c r="DB10" s="86"/>
      <c r="DC10" s="86"/>
      <c r="DD10" s="86"/>
      <c r="DE10" s="86"/>
      <c r="DF10" s="86"/>
      <c r="DG10" s="86"/>
      <c r="DH10" s="86"/>
      <c r="DI10" s="86"/>
      <c r="DJ10" s="86"/>
      <c r="DK10" s="86"/>
      <c r="DL10" s="86"/>
      <c r="DM10" t="s">
        <v>416</v>
      </c>
    </row>
    <row r="11" spans="1:118" ht="14.15" customHeight="1" x14ac:dyDescent="0.3">
      <c r="A11" s="86"/>
      <c r="B11" s="86"/>
      <c r="C11" s="159"/>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t="s">
        <v>281</v>
      </c>
      <c r="AW11" s="86"/>
      <c r="AX11" s="86"/>
      <c r="AY11" s="86"/>
      <c r="AZ11" s="86"/>
      <c r="BA11" s="86"/>
      <c r="BB11" s="86"/>
      <c r="BC11" s="86"/>
      <c r="BD11" s="86"/>
      <c r="BE11" s="86"/>
      <c r="BF11" s="86"/>
      <c r="BG11" s="86"/>
      <c r="BH11" s="175" t="s">
        <v>423</v>
      </c>
      <c r="BI11" s="175" t="s">
        <v>423</v>
      </c>
      <c r="BJ11" s="175" t="s">
        <v>423</v>
      </c>
      <c r="BK11" s="175" t="s">
        <v>423</v>
      </c>
      <c r="BL11" s="175" t="s">
        <v>423</v>
      </c>
      <c r="BM11" s="175" t="s">
        <v>423</v>
      </c>
      <c r="BN11" s="175" t="s">
        <v>423</v>
      </c>
      <c r="BO11" s="86" t="s">
        <v>423</v>
      </c>
      <c r="BP11" s="86"/>
      <c r="BQ11" s="86"/>
      <c r="BR11" s="86"/>
      <c r="BS11" s="86"/>
      <c r="BT11" s="86"/>
      <c r="BU11" s="86"/>
      <c r="BV11" s="86"/>
      <c r="BW11" s="86"/>
      <c r="BX11" s="86"/>
      <c r="BY11" s="86"/>
      <c r="BZ11" s="86"/>
      <c r="CA11" s="86"/>
      <c r="CB11" s="86"/>
      <c r="CC11" s="86"/>
      <c r="CD11" s="86"/>
      <c r="CE11" s="86"/>
      <c r="CF11" s="86"/>
      <c r="CG11" s="86"/>
      <c r="CH11" s="86"/>
      <c r="CI11" s="86"/>
      <c r="CJ11" s="86"/>
      <c r="CK11" s="86"/>
      <c r="CL11" s="86"/>
      <c r="CM11" s="86"/>
      <c r="CN11" s="86"/>
      <c r="CO11" s="86"/>
      <c r="CP11" s="86"/>
      <c r="CQ11" s="86"/>
      <c r="CR11" s="86"/>
      <c r="CS11" s="86"/>
      <c r="CT11" s="86"/>
      <c r="CU11" s="86"/>
      <c r="CV11" s="86"/>
      <c r="CW11" s="86"/>
      <c r="CX11" s="86"/>
      <c r="CY11" s="86"/>
      <c r="CZ11" s="86"/>
      <c r="DA11" s="86"/>
      <c r="DB11" s="86"/>
      <c r="DC11" s="86"/>
      <c r="DD11" s="86"/>
      <c r="DE11" s="86"/>
      <c r="DF11" s="86"/>
      <c r="DG11" s="86"/>
      <c r="DH11" s="86"/>
      <c r="DI11" s="86"/>
      <c r="DJ11" s="86"/>
      <c r="DK11" s="86"/>
      <c r="DL11" s="86"/>
      <c r="DM11" t="s">
        <v>417</v>
      </c>
    </row>
    <row r="12" spans="1:118" ht="14.15" customHeight="1" x14ac:dyDescent="0.3">
      <c r="A12" s="86"/>
      <c r="B12" s="86"/>
      <c r="C12" s="159"/>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86"/>
      <c r="BW12" s="86"/>
      <c r="BX12" s="86"/>
      <c r="BY12" s="86"/>
      <c r="BZ12" s="86"/>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c r="CY12" s="86"/>
      <c r="CZ12" s="86"/>
      <c r="DA12" s="86"/>
      <c r="DB12" s="86"/>
      <c r="DC12" s="86"/>
      <c r="DD12" s="86"/>
      <c r="DE12" s="86"/>
      <c r="DF12" s="86"/>
      <c r="DG12" s="86"/>
      <c r="DH12" s="86"/>
      <c r="DI12" s="86"/>
      <c r="DJ12" s="86"/>
      <c r="DK12" s="86"/>
      <c r="DL12" s="86"/>
      <c r="DM12" t="s">
        <v>418</v>
      </c>
    </row>
    <row r="13" spans="1:118" ht="14.15" customHeight="1" x14ac:dyDescent="0.3">
      <c r="A13" s="86"/>
      <c r="B13" s="86"/>
      <c r="C13" s="159"/>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t="s">
        <v>428</v>
      </c>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86"/>
      <c r="BW13" s="86"/>
      <c r="BX13" s="86"/>
      <c r="BY13" s="86"/>
      <c r="BZ13" s="86"/>
      <c r="CA13" s="86"/>
      <c r="CB13" s="86"/>
      <c r="CC13" s="86"/>
      <c r="CD13" s="86"/>
      <c r="CE13" s="86"/>
      <c r="CF13" s="86"/>
      <c r="CG13" s="86"/>
      <c r="CH13" s="86"/>
      <c r="CI13" s="86"/>
      <c r="CJ13" s="86"/>
      <c r="CK13" s="86"/>
      <c r="CL13" s="86"/>
      <c r="CM13" s="86"/>
      <c r="CN13" s="86"/>
      <c r="CO13" s="86"/>
      <c r="CP13" s="86"/>
      <c r="CQ13" s="86"/>
      <c r="CR13" s="86"/>
      <c r="CS13" s="86"/>
      <c r="CT13" s="86"/>
      <c r="CU13" s="86"/>
      <c r="CV13" s="86"/>
      <c r="CW13" s="86"/>
      <c r="CX13" s="86"/>
      <c r="CY13" s="86"/>
      <c r="CZ13" s="86"/>
      <c r="DA13" s="86"/>
      <c r="DB13" s="86"/>
      <c r="DC13" s="86"/>
      <c r="DD13" s="86"/>
      <c r="DE13" s="86"/>
      <c r="DF13" s="86"/>
      <c r="DG13" s="86"/>
      <c r="DH13" s="86"/>
      <c r="DI13" s="86"/>
      <c r="DJ13" s="86"/>
      <c r="DK13" s="86"/>
      <c r="DL13" s="86"/>
    </row>
    <row r="14" spans="1:118" ht="14.5" customHeight="1" x14ac:dyDescent="0.35">
      <c r="CJ14"/>
      <c r="CK14"/>
      <c r="CL14"/>
      <c r="CM14"/>
      <c r="CN14"/>
      <c r="CO14"/>
      <c r="CP14"/>
      <c r="CQ14"/>
      <c r="DM14" s="3" t="s">
        <v>59</v>
      </c>
    </row>
    <row r="15" spans="1:118" ht="14.5" customHeight="1" x14ac:dyDescent="0.35">
      <c r="B15" t="s">
        <v>546</v>
      </c>
      <c r="C15" s="4" t="s">
        <v>551</v>
      </c>
      <c r="AV15" s="116"/>
      <c r="AW15" s="116"/>
      <c r="AX15" s="116"/>
      <c r="AY15" s="116"/>
      <c r="CJ15"/>
      <c r="CK15"/>
      <c r="CL15"/>
      <c r="CM15"/>
      <c r="CN15"/>
      <c r="CO15"/>
      <c r="CP15"/>
      <c r="CQ15"/>
      <c r="DM15" s="3" t="s">
        <v>59</v>
      </c>
    </row>
    <row r="16" spans="1:118" ht="14.15" customHeight="1" x14ac:dyDescent="0.3">
      <c r="AV16" s="116"/>
      <c r="AW16" s="116"/>
      <c r="AX16" s="116"/>
      <c r="AY16" s="116"/>
      <c r="BR16" s="116">
        <v>1.9E-2</v>
      </c>
      <c r="CJ16"/>
      <c r="CK16"/>
      <c r="CL16"/>
      <c r="CM16"/>
      <c r="CN16"/>
      <c r="CO16"/>
      <c r="CP16"/>
      <c r="CQ16"/>
      <c r="DM16" t="s">
        <v>39</v>
      </c>
    </row>
    <row r="17" spans="4:117" ht="14.15" customHeight="1" x14ac:dyDescent="0.3">
      <c r="D17" t="s">
        <v>284</v>
      </c>
      <c r="AV17" s="116"/>
      <c r="AW17" s="116"/>
      <c r="AX17" s="116"/>
      <c r="AY17" s="116"/>
      <c r="BH17" s="116" t="s">
        <v>364</v>
      </c>
      <c r="BI17" s="116" t="s">
        <v>347</v>
      </c>
      <c r="BJ17" s="116" t="s">
        <v>347</v>
      </c>
      <c r="BK17" s="116" t="s">
        <v>420</v>
      </c>
      <c r="BL17" s="116" t="s">
        <v>364</v>
      </c>
      <c r="BM17" s="116" t="s">
        <v>347</v>
      </c>
      <c r="BN17" s="116" t="s">
        <v>347</v>
      </c>
      <c r="BO17" s="116" t="s">
        <v>420</v>
      </c>
      <c r="BR17" s="116">
        <v>1.9599999999999999E-2</v>
      </c>
      <c r="CJ17"/>
      <c r="CK17"/>
      <c r="CL17"/>
      <c r="CM17"/>
      <c r="CN17"/>
      <c r="CO17"/>
      <c r="CP17"/>
      <c r="CQ17"/>
    </row>
    <row r="18" spans="4:117" ht="14.15" customHeight="1" x14ac:dyDescent="0.3">
      <c r="D18" t="s">
        <v>282</v>
      </c>
      <c r="AV18" s="116"/>
      <c r="AW18" s="116"/>
      <c r="AX18" s="116"/>
      <c r="AY18" s="116"/>
      <c r="BI18" s="116">
        <v>8.5000000000000006E-2</v>
      </c>
      <c r="BJ18" s="116">
        <v>0.20799999999999999</v>
      </c>
      <c r="BK18" s="116" t="s">
        <v>419</v>
      </c>
      <c r="BM18" s="116">
        <v>4.8000000000000001E-2</v>
      </c>
      <c r="BN18" s="116">
        <v>0.34699999999999998</v>
      </c>
      <c r="BR18" s="116">
        <v>3.5099999999999999E-2</v>
      </c>
      <c r="CJ18"/>
      <c r="CK18"/>
      <c r="CL18"/>
      <c r="CM18"/>
      <c r="CN18"/>
      <c r="CO18"/>
      <c r="CP18"/>
      <c r="CQ18"/>
    </row>
    <row r="19" spans="4:117" ht="15" customHeight="1" thickBot="1" x14ac:dyDescent="0.4">
      <c r="AV19" s="116"/>
      <c r="AW19" s="116"/>
      <c r="AX19" s="116"/>
      <c r="AY19" s="116"/>
      <c r="BJ19" s="116" t="s">
        <v>347</v>
      </c>
      <c r="BK19" s="116">
        <v>0.76700000000000002</v>
      </c>
      <c r="BO19" s="179">
        <v>0.39793899999999999</v>
      </c>
      <c r="BR19" s="116">
        <v>8.77E-2</v>
      </c>
      <c r="BT19" s="116" t="s">
        <v>429</v>
      </c>
      <c r="BU19" s="116" t="s">
        <v>429</v>
      </c>
      <c r="BV19" s="116" t="s">
        <v>429</v>
      </c>
      <c r="BW19" s="116" t="s">
        <v>429</v>
      </c>
      <c r="CJ19"/>
      <c r="CK19"/>
      <c r="CL19"/>
      <c r="CM19"/>
      <c r="CN19"/>
      <c r="CO19"/>
      <c r="CP19"/>
      <c r="CQ19"/>
      <c r="DM19" s="3" t="s">
        <v>38</v>
      </c>
    </row>
    <row r="20" spans="4:117" ht="14.15" customHeight="1" x14ac:dyDescent="0.3">
      <c r="AV20" s="116"/>
      <c r="AW20" s="116"/>
      <c r="AX20" s="116"/>
      <c r="AY20" s="116"/>
      <c r="BJ20" s="116" t="s">
        <v>421</v>
      </c>
      <c r="BK20" s="116">
        <v>0.72199999999999998</v>
      </c>
      <c r="BO20" s="180">
        <v>0.40400000000000003</v>
      </c>
      <c r="BQ20" s="116">
        <v>1.2999999999999999E-3</v>
      </c>
      <c r="BR20" s="116">
        <v>0.1341</v>
      </c>
      <c r="CM20"/>
      <c r="CN20"/>
      <c r="CO20"/>
      <c r="CP20"/>
    </row>
    <row r="21" spans="4:117" ht="14.15" customHeight="1" x14ac:dyDescent="0.3">
      <c r="AV21" s="116"/>
      <c r="AW21" s="116"/>
      <c r="AX21" s="116"/>
      <c r="AY21" s="116"/>
      <c r="BD21" s="116">
        <f>AVERAGE(BD22:BD24)</f>
        <v>43.800000000000004</v>
      </c>
      <c r="BQ21" s="116">
        <v>6.7000000000000004E-2</v>
      </c>
      <c r="BR21" s="116">
        <v>0.20319999999999999</v>
      </c>
      <c r="CM21"/>
      <c r="CN21"/>
      <c r="CO21"/>
      <c r="CP21"/>
    </row>
    <row r="22" spans="4:117" ht="14.15" customHeight="1" x14ac:dyDescent="0.3">
      <c r="AV22" s="116"/>
      <c r="AW22" s="116"/>
      <c r="AX22" s="116"/>
      <c r="AY22" s="116"/>
      <c r="BD22" s="116">
        <v>49.17</v>
      </c>
      <c r="BJ22" s="116" t="s">
        <v>422</v>
      </c>
      <c r="BK22" s="116">
        <f>AVERAGE(BK19:BK20)</f>
        <v>0.74449999999999994</v>
      </c>
      <c r="BO22" s="180">
        <f>AVERAGE(BO19:BO20)</f>
        <v>0.40096949999999998</v>
      </c>
      <c r="BQ22" s="116">
        <v>8.0000000000000002E-3</v>
      </c>
      <c r="BS22"/>
      <c r="BW22"/>
      <c r="CM22"/>
      <c r="CN22"/>
      <c r="CO22"/>
      <c r="CP22"/>
    </row>
    <row r="23" spans="4:117" ht="14.5" customHeight="1" x14ac:dyDescent="0.35">
      <c r="AV23" s="116"/>
      <c r="AW23" s="116"/>
      <c r="AX23" s="116"/>
      <c r="AY23" s="116"/>
      <c r="BD23" s="116">
        <v>50.74</v>
      </c>
      <c r="BH23" s="116" t="s">
        <v>555</v>
      </c>
      <c r="BI23" s="116">
        <f>MobileCall!FJ15</f>
        <v>2.6225000000000002E-2</v>
      </c>
      <c r="BJ23" s="181">
        <f>AVERAGE(5.22,4.06,14.19,0.86)/100</f>
        <v>6.0824999999999997E-2</v>
      </c>
      <c r="BM23" s="116">
        <f>MobileCall!FL15</f>
        <v>5.4800000000000001E-2</v>
      </c>
      <c r="BN23" s="181">
        <f>AVERAGE(4.64,2.2,10.7,16.49)/100</f>
        <v>8.5074999999999998E-2</v>
      </c>
      <c r="BQ23" s="116">
        <v>3.1E-2</v>
      </c>
      <c r="BS23"/>
      <c r="BW23"/>
      <c r="CM23"/>
      <c r="CN23"/>
      <c r="CO23"/>
      <c r="CP23"/>
      <c r="DM23" s="3" t="s">
        <v>44</v>
      </c>
    </row>
    <row r="24" spans="4:117" ht="14.5" customHeight="1" x14ac:dyDescent="0.35">
      <c r="BD24" s="116">
        <v>31.49</v>
      </c>
      <c r="BQ24"/>
      <c r="BR24" s="116">
        <v>1.0800000000000001E-2</v>
      </c>
      <c r="BS24"/>
      <c r="BW24"/>
      <c r="CM24"/>
      <c r="CN24"/>
      <c r="CO24"/>
      <c r="CP24"/>
      <c r="DM24" s="3" t="s">
        <v>44</v>
      </c>
    </row>
    <row r="25" spans="4:117" ht="14.5" customHeight="1" x14ac:dyDescent="0.35">
      <c r="BQ25" s="116">
        <v>2.2200000000000001E-2</v>
      </c>
      <c r="BR25" s="116">
        <v>2.35E-2</v>
      </c>
      <c r="BS25"/>
      <c r="BW25"/>
      <c r="DM25" s="3" t="s">
        <v>44</v>
      </c>
    </row>
    <row r="26" spans="4:117" ht="14.5" customHeight="1" x14ac:dyDescent="0.35">
      <c r="BQ26" s="116">
        <v>3.0200000000000001E-2</v>
      </c>
      <c r="BR26" s="116">
        <v>0.1069</v>
      </c>
      <c r="BS26">
        <v>0.46179999999999999</v>
      </c>
      <c r="BW26"/>
      <c r="DM26" s="3" t="s">
        <v>44</v>
      </c>
    </row>
    <row r="27" spans="4:117" ht="15" customHeight="1" thickBot="1" x14ac:dyDescent="0.4">
      <c r="BP27" s="116">
        <v>2.5000000000000001E-3</v>
      </c>
      <c r="BQ27" s="116">
        <v>4.5499999999999999E-2</v>
      </c>
      <c r="BR27" s="116">
        <v>5.4199999999999998E-2</v>
      </c>
      <c r="BS27" s="116">
        <v>0.87409999999999999</v>
      </c>
      <c r="BV27" s="149"/>
      <c r="BX27" s="149"/>
      <c r="DM27" s="3" t="s">
        <v>44</v>
      </c>
    </row>
    <row r="28" spans="4:117" ht="14.15" customHeight="1" x14ac:dyDescent="0.3">
      <c r="BE28" s="116">
        <v>0.15</v>
      </c>
      <c r="BP28" s="116">
        <v>1.5699999999999999E-2</v>
      </c>
      <c r="BQ28" s="116">
        <v>4.0000000000000001E-3</v>
      </c>
      <c r="BR28" s="116">
        <v>0.1454</v>
      </c>
      <c r="DM28" s="110" t="s">
        <v>43</v>
      </c>
    </row>
    <row r="29" spans="4:117" ht="14.15" customHeight="1" x14ac:dyDescent="0.3">
      <c r="BE29" s="116">
        <v>10</v>
      </c>
      <c r="BP29" s="116">
        <v>8.8999999999999999E-3</v>
      </c>
      <c r="BQ29" s="116">
        <v>5.3E-3</v>
      </c>
      <c r="BR29" s="116">
        <v>0.81389999999999996</v>
      </c>
      <c r="BS29" s="116">
        <v>0.56810000000000005</v>
      </c>
      <c r="CF29" s="155" t="s">
        <v>498</v>
      </c>
      <c r="DM29" s="110" t="s">
        <v>43</v>
      </c>
    </row>
    <row r="30" spans="4:117" ht="14.15" customHeight="1" x14ac:dyDescent="0.3">
      <c r="BP30" s="116">
        <v>6.7999999999999996E-3</v>
      </c>
      <c r="BQ30" s="116">
        <v>5.5999999999999999E-3</v>
      </c>
      <c r="BS30" s="116">
        <v>0.71260000000000001</v>
      </c>
      <c r="BX30" s="116">
        <v>2.64</v>
      </c>
      <c r="BY30" s="116" t="s">
        <v>483</v>
      </c>
      <c r="BZ30" s="116">
        <v>20.57</v>
      </c>
      <c r="CA30" s="116" t="s">
        <v>483</v>
      </c>
      <c r="CB30" s="116">
        <v>22.23</v>
      </c>
      <c r="CC30" s="116" t="s">
        <v>483</v>
      </c>
      <c r="DM30" s="110" t="s">
        <v>43</v>
      </c>
    </row>
    <row r="31" spans="4:117" ht="14.15" customHeight="1" x14ac:dyDescent="0.3">
      <c r="BP31" s="116">
        <v>9.1000000000000004E-3</v>
      </c>
      <c r="BS31" s="116">
        <v>0.73660000000000003</v>
      </c>
      <c r="DM31" s="110" t="s">
        <v>43</v>
      </c>
    </row>
    <row r="32" spans="4:117" ht="14.15" customHeight="1" x14ac:dyDescent="0.3">
      <c r="DM32" s="110" t="s">
        <v>43</v>
      </c>
    </row>
    <row r="33" spans="51:117" ht="14.15" customHeight="1" x14ac:dyDescent="0.3">
      <c r="BI33" s="264">
        <f>STDEVA(BI18,BI23)</f>
        <v>4.1560201064239334E-2</v>
      </c>
      <c r="BJ33" s="264">
        <f t="shared" ref="BJ33:BO33" si="0">STDEVA(BJ18,BJ23)</f>
        <v>0.10406844052113015</v>
      </c>
      <c r="BK33" s="264" t="e">
        <f t="shared" si="0"/>
        <v>#DIV/0!</v>
      </c>
      <c r="BL33" s="264" t="e">
        <f t="shared" si="0"/>
        <v>#DIV/0!</v>
      </c>
      <c r="BM33" s="264">
        <f>STDEVA(BM18,BM23)</f>
        <v>4.8083261120685237E-3</v>
      </c>
      <c r="BN33" s="264">
        <f>STDEVA(BN18,BN23)</f>
        <v>0.18520894366228649</v>
      </c>
      <c r="BO33" s="264" t="e">
        <f t="shared" si="0"/>
        <v>#DIV/0!</v>
      </c>
      <c r="BP33" s="264">
        <f>STDEV(BP27:BP31)</f>
        <v>4.7749345545253317E-3</v>
      </c>
      <c r="BQ33" s="264">
        <f ca="1">STDEV(BQ20:BQ34)</f>
        <v>1.0767450951826992E-2</v>
      </c>
      <c r="BR33" s="264">
        <f>STDEV(BR16:BR29)</f>
        <v>0.22151114412077999</v>
      </c>
      <c r="BS33" s="264">
        <f>STDEVA(BS26:BS31)</f>
        <v>0.15940195419128284</v>
      </c>
      <c r="BT33" s="264">
        <f>STDEVA(BT34:BT37)</f>
        <v>1.7089446060848973E-2</v>
      </c>
      <c r="BU33" s="264">
        <f>STDEVA(BU34:BU45)</f>
        <v>3.0956571486225968E-2</v>
      </c>
      <c r="BV33" s="264">
        <f>STDEVA(BV34:BV49)</f>
        <v>4.2789289937241702E-2</v>
      </c>
      <c r="BW33" s="264">
        <f>STDEVA(BW34:BW37)</f>
        <v>0.41422091831131197</v>
      </c>
      <c r="DM33" s="110"/>
    </row>
    <row r="34" spans="51:117" ht="14.15" customHeight="1" x14ac:dyDescent="0.35">
      <c r="BT34" s="317">
        <v>0.02</v>
      </c>
      <c r="BU34" s="317">
        <v>5.2299999999999999E-2</v>
      </c>
      <c r="BV34" s="317">
        <v>5.2499999999999998E-2</v>
      </c>
      <c r="BW34" s="317">
        <v>0.94289999999999996</v>
      </c>
      <c r="DM34" s="156" t="s">
        <v>475</v>
      </c>
    </row>
    <row r="35" spans="51:117" ht="14.15" customHeight="1" x14ac:dyDescent="0.35">
      <c r="BT35" s="317">
        <v>1.6E-2</v>
      </c>
      <c r="BU35" s="317">
        <v>6.13E-2</v>
      </c>
      <c r="BV35" s="317">
        <v>4.3200000000000002E-2</v>
      </c>
      <c r="BW35" s="317">
        <v>0.74399999999999999</v>
      </c>
      <c r="DM35" s="156" t="s">
        <v>476</v>
      </c>
    </row>
    <row r="36" spans="51:117" ht="14.15" customHeight="1" x14ac:dyDescent="0.35">
      <c r="BT36" s="317">
        <v>4.9399999999999999E-2</v>
      </c>
      <c r="BU36" s="317">
        <v>4.5900000000000003E-2</v>
      </c>
      <c r="BV36" s="317">
        <v>0.18990000000000001</v>
      </c>
      <c r="BW36" s="317">
        <v>8.0299999999999996E-2</v>
      </c>
      <c r="DM36" s="156" t="s">
        <v>477</v>
      </c>
    </row>
    <row r="37" spans="51:117" ht="14.15" customHeight="1" x14ac:dyDescent="0.35">
      <c r="AY37" s="114"/>
      <c r="BT37" s="317">
        <v>1.17E-2</v>
      </c>
      <c r="BU37" s="317">
        <v>3.7699999999999997E-2</v>
      </c>
      <c r="BV37" s="317">
        <v>3.1E-2</v>
      </c>
      <c r="BW37" s="317">
        <v>0.21190000000000001</v>
      </c>
      <c r="DM37" s="156" t="s">
        <v>478</v>
      </c>
    </row>
    <row r="38" spans="51:117" ht="14.15" customHeight="1" x14ac:dyDescent="0.35">
      <c r="AY38" s="114"/>
      <c r="BU38" s="317">
        <v>7.3000000000000001E-3</v>
      </c>
      <c r="BV38" s="317">
        <v>1.18E-2</v>
      </c>
      <c r="DM38" s="156" t="s">
        <v>479</v>
      </c>
    </row>
    <row r="39" spans="51:117" ht="14.15" customHeight="1" x14ac:dyDescent="0.35">
      <c r="AY39" s="115"/>
      <c r="BU39" s="317">
        <v>8.0999999999999996E-3</v>
      </c>
      <c r="BV39" s="317">
        <v>1.2699999999999999E-2</v>
      </c>
      <c r="DM39" s="156" t="s">
        <v>480</v>
      </c>
    </row>
    <row r="40" spans="51:117" ht="14.15" customHeight="1" x14ac:dyDescent="0.35">
      <c r="AY40" s="115"/>
      <c r="BU40" s="317">
        <v>0.1147</v>
      </c>
      <c r="BV40" s="317">
        <v>3.8800000000000001E-2</v>
      </c>
      <c r="DM40" s="110"/>
    </row>
    <row r="41" spans="51:117" ht="14.15" customHeight="1" x14ac:dyDescent="0.35">
      <c r="AY41" s="115"/>
      <c r="BU41" s="317">
        <v>7.1999999999999998E-3</v>
      </c>
      <c r="BV41" s="317">
        <v>1.0500000000000001E-2</v>
      </c>
      <c r="DM41" s="110"/>
    </row>
    <row r="42" spans="51:117" ht="14.15" customHeight="1" x14ac:dyDescent="0.35">
      <c r="BP42" s="116" t="s">
        <v>669</v>
      </c>
      <c r="BQ42" t="s">
        <v>667</v>
      </c>
      <c r="BU42" s="317">
        <v>2.8199999999999999E-2</v>
      </c>
      <c r="BV42" s="317">
        <v>5.6399999999999999E-2</v>
      </c>
    </row>
    <row r="43" spans="51:117" ht="14.5" customHeight="1" x14ac:dyDescent="0.35">
      <c r="BU43" s="317">
        <v>2.7E-2</v>
      </c>
      <c r="BV43" s="317">
        <v>6.3899999999999998E-2</v>
      </c>
      <c r="DM43" s="3"/>
    </row>
    <row r="44" spans="51:117" ht="14.15" customHeight="1" x14ac:dyDescent="0.35">
      <c r="BU44" s="317">
        <v>5.7500000000000002E-2</v>
      </c>
      <c r="BV44" s="317">
        <v>8.7999999999999995E-2</v>
      </c>
    </row>
    <row r="45" spans="51:117" ht="14.15" customHeight="1" x14ac:dyDescent="0.35">
      <c r="BP45" s="116" t="s">
        <v>670</v>
      </c>
      <c r="BQ45" t="s">
        <v>668</v>
      </c>
      <c r="BU45" s="317">
        <v>1.6299999999999999E-2</v>
      </c>
      <c r="BV45" s="317">
        <v>3.7600000000000001E-2</v>
      </c>
    </row>
    <row r="46" spans="51:117" ht="14.15" customHeight="1" x14ac:dyDescent="0.35">
      <c r="BV46" s="317">
        <v>7.8E-2</v>
      </c>
    </row>
    <row r="47" spans="51:117" ht="14.15" customHeight="1" x14ac:dyDescent="0.35">
      <c r="BV47" s="317">
        <v>5.4699999999999999E-2</v>
      </c>
    </row>
    <row r="48" spans="51:117" ht="14.15" customHeight="1" x14ac:dyDescent="0.35">
      <c r="BV48" s="317">
        <v>6.0199999999999997E-2</v>
      </c>
    </row>
    <row r="49" spans="70:74" ht="14.15" customHeight="1" x14ac:dyDescent="0.35">
      <c r="BV49" s="317">
        <v>2.9600000000000001E-2</v>
      </c>
    </row>
    <row r="50" spans="70:74" ht="14.15" customHeight="1" x14ac:dyDescent="0.3"/>
    <row r="51" spans="70:74" ht="14.15" customHeight="1" x14ac:dyDescent="0.3"/>
    <row r="52" spans="70:74" ht="14.15" customHeight="1" x14ac:dyDescent="0.3"/>
    <row r="53" spans="70:74" ht="14.15" customHeight="1" x14ac:dyDescent="0.3"/>
    <row r="54" spans="70:74" ht="14.15" customHeight="1" x14ac:dyDescent="0.3"/>
    <row r="55" spans="70:74" ht="14.15" customHeight="1" x14ac:dyDescent="0.3"/>
    <row r="56" spans="70:74" ht="14.15" customHeight="1" x14ac:dyDescent="0.3"/>
    <row r="57" spans="70:74" ht="14.15" customHeight="1" x14ac:dyDescent="0.3"/>
    <row r="58" spans="70:74" ht="14.15" customHeight="1" x14ac:dyDescent="0.3">
      <c r="BR58" s="116">
        <f>AVERAGE(BR16:BR29)</f>
        <v>0.13778333333333334</v>
      </c>
    </row>
    <row r="59" spans="70:74" ht="14.15" customHeight="1" x14ac:dyDescent="0.3"/>
    <row r="65" spans="13:116" x14ac:dyDescent="0.3">
      <c r="AO65" s="188" t="s">
        <v>590</v>
      </c>
      <c r="AP65" s="188" t="s">
        <v>590</v>
      </c>
      <c r="AQ65" s="188" t="s">
        <v>590</v>
      </c>
      <c r="AT65" s="188" t="s">
        <v>590</v>
      </c>
      <c r="AU65" s="188" t="s">
        <v>590</v>
      </c>
    </row>
    <row r="67" spans="13:116" x14ac:dyDescent="0.3">
      <c r="AO67" s="188" t="s">
        <v>591</v>
      </c>
      <c r="AP67" s="188" t="s">
        <v>591</v>
      </c>
      <c r="AQ67" s="188" t="s">
        <v>591</v>
      </c>
      <c r="AT67" s="188" t="s">
        <v>591</v>
      </c>
      <c r="AU67" s="188" t="s">
        <v>591</v>
      </c>
    </row>
    <row r="72" spans="13:116" x14ac:dyDescent="0.3">
      <c r="AV72" s="189" t="s">
        <v>425</v>
      </c>
      <c r="AW72" s="189" t="s">
        <v>425</v>
      </c>
      <c r="AX72" s="189" t="s">
        <v>425</v>
      </c>
      <c r="AY72" s="189" t="s">
        <v>425</v>
      </c>
    </row>
    <row r="73" spans="13:116" x14ac:dyDescent="0.3">
      <c r="AI73" s="357"/>
      <c r="AJ73" s="357"/>
      <c r="AK73" s="72"/>
    </row>
    <row r="74" spans="13:116" x14ac:dyDescent="0.3">
      <c r="AH74" s="86"/>
      <c r="CU74" s="355" t="s">
        <v>613</v>
      </c>
      <c r="CV74" s="355"/>
      <c r="CW74" s="355"/>
      <c r="CX74" s="355"/>
      <c r="CY74" s="355"/>
      <c r="CZ74" s="355"/>
      <c r="DA74" s="355"/>
      <c r="DB74" s="355"/>
      <c r="DC74" s="355"/>
      <c r="DD74" s="355"/>
      <c r="DE74" s="355"/>
      <c r="DF74" s="355"/>
      <c r="DG74" s="355"/>
      <c r="DH74" s="355"/>
      <c r="DI74" s="355"/>
      <c r="DJ74" s="355"/>
      <c r="DK74" s="355"/>
      <c r="DL74" s="355"/>
    </row>
    <row r="75" spans="13:116" x14ac:dyDescent="0.3">
      <c r="M75" s="204"/>
      <c r="N75" s="359" t="s">
        <v>65</v>
      </c>
      <c r="O75" s="359"/>
      <c r="P75" s="359"/>
      <c r="Q75" s="359" t="s">
        <v>595</v>
      </c>
      <c r="R75" s="359"/>
      <c r="S75" s="360"/>
      <c r="AH75" s="86"/>
      <c r="AI75" s="126"/>
      <c r="AJ75" s="126"/>
      <c r="AK75" s="126"/>
    </row>
    <row r="76" spans="13:116" x14ac:dyDescent="0.3">
      <c r="M76" s="205"/>
      <c r="N76" s="206" t="s">
        <v>113</v>
      </c>
      <c r="O76" s="206" t="s">
        <v>609</v>
      </c>
      <c r="P76" s="206" t="s">
        <v>394</v>
      </c>
      <c r="Q76" s="206" t="s">
        <v>113</v>
      </c>
      <c r="R76" s="206" t="s">
        <v>609</v>
      </c>
      <c r="S76" s="207" t="s">
        <v>614</v>
      </c>
      <c r="AH76" s="86"/>
      <c r="AI76" s="126"/>
      <c r="AJ76" s="126"/>
      <c r="AK76" s="126"/>
    </row>
    <row r="77" spans="13:116" x14ac:dyDescent="0.3">
      <c r="M77" s="208" t="s">
        <v>6</v>
      </c>
      <c r="N77" s="2">
        <v>0</v>
      </c>
      <c r="O77" s="209">
        <f>MobileCall!FR14*CW5+MobileCall!FT14*CY5</f>
        <v>8.8214826026060228E-6</v>
      </c>
      <c r="P77" s="2">
        <f>MobileCall!U37</f>
        <v>3.8276322647999854E-3</v>
      </c>
      <c r="Q77" s="2">
        <v>0</v>
      </c>
      <c r="R77" s="2">
        <f>MobileCall!FR14*DF5+MobileCall!FT14*DH5</f>
        <v>1.0753703874639337E-2</v>
      </c>
      <c r="S77" s="210">
        <f>MobileCall!AA37</f>
        <v>1.0617191049494324E-3</v>
      </c>
      <c r="AH77" s="86"/>
      <c r="AI77" s="126"/>
      <c r="AJ77" s="126"/>
      <c r="AK77" s="126"/>
    </row>
    <row r="78" spans="13:116" x14ac:dyDescent="0.3">
      <c r="M78" s="208" t="s">
        <v>7</v>
      </c>
      <c r="N78" s="2">
        <v>0</v>
      </c>
      <c r="O78" s="209">
        <f>MobileCall!FP15*CU5+MobileCall!FQ15*CV5+MobileCall!FR15*CW5+MobileCall!FS15*CX5+MobileCall!FT15*CY5+MobileCall!FU15*DA5</f>
        <v>1.0215820545611526E-5</v>
      </c>
      <c r="P78" s="2">
        <f>MobileCall!U38</f>
        <v>3.5994190755805062E-3</v>
      </c>
      <c r="Q78" s="2">
        <v>0</v>
      </c>
      <c r="R78" s="2">
        <f>MobileCall!FP15*DD5+MobileCall!FQ15*DE5+MobileCall!FR15*DF5+MobileCall!FS15*DG5+MobileCall!FT15*DH5+MobileCall!FU15*DJ5</f>
        <v>1.1300314171588954E-2</v>
      </c>
      <c r="S78" s="210">
        <f>MobileCall!AA38</f>
        <v>1.0361508752064711E-3</v>
      </c>
      <c r="AH78" s="86"/>
      <c r="AI78" s="126"/>
      <c r="AJ78" s="126"/>
      <c r="AK78" s="126"/>
    </row>
    <row r="79" spans="13:116" x14ac:dyDescent="0.3">
      <c r="M79" s="208" t="s">
        <v>8</v>
      </c>
      <c r="N79" s="2">
        <v>0</v>
      </c>
      <c r="O79" s="209">
        <f>DB5</f>
        <v>1.6677806326026099E-7</v>
      </c>
      <c r="P79" s="2">
        <f>MobileCall!U39</f>
        <v>6.714956907631352E-4</v>
      </c>
      <c r="Q79" s="2">
        <v>0</v>
      </c>
      <c r="R79" s="2">
        <f>DK5</f>
        <v>4.7746415911633557E-3</v>
      </c>
      <c r="S79" s="210">
        <f>MobileCall!AA39</f>
        <v>7.2627610438770105E-4</v>
      </c>
      <c r="AI79" s="126"/>
      <c r="AJ79" s="126"/>
      <c r="AK79" s="126"/>
    </row>
    <row r="80" spans="13:116" x14ac:dyDescent="0.3">
      <c r="M80" s="208" t="s">
        <v>610</v>
      </c>
      <c r="N80" s="2">
        <v>0</v>
      </c>
      <c r="O80" s="211">
        <f>CZ5</f>
        <v>4.7510979418409601E-7</v>
      </c>
      <c r="P80" s="2">
        <f>MobileCall!BK5</f>
        <v>1.1194631548332708E-3</v>
      </c>
      <c r="Q80" s="2">
        <v>0</v>
      </c>
      <c r="R80" s="2">
        <f>DI5</f>
        <v>1.01532466228958E-2</v>
      </c>
      <c r="S80" s="210">
        <f>MobileCall!BQ5</f>
        <v>8.631172546671739E-4</v>
      </c>
      <c r="AI80" s="126"/>
      <c r="AJ80" s="126"/>
      <c r="AK80" s="126"/>
    </row>
    <row r="81" spans="13:37" x14ac:dyDescent="0.3">
      <c r="M81" s="203" t="s">
        <v>611</v>
      </c>
      <c r="N81" s="1">
        <v>0</v>
      </c>
      <c r="O81" s="201">
        <f>DC5</f>
        <v>2.14027078663862E-8</v>
      </c>
      <c r="P81" s="1">
        <f>MobileCall!BW5</f>
        <v>3.2007162078540112E-4</v>
      </c>
      <c r="Q81" s="1">
        <v>0</v>
      </c>
      <c r="R81" s="1">
        <f>DL5</f>
        <v>2.6463740700765899E-3</v>
      </c>
      <c r="S81" s="202">
        <f>MobileCall!CC5</f>
        <v>5.5363292141804351E-4</v>
      </c>
      <c r="AI81" s="126"/>
      <c r="AJ81" s="126"/>
      <c r="AK81" s="126"/>
    </row>
    <row r="82" spans="13:37" x14ac:dyDescent="0.3">
      <c r="AH82" s="126"/>
      <c r="AI82" s="126"/>
      <c r="AJ82" s="126"/>
      <c r="AK82" s="126"/>
    </row>
    <row r="83" spans="13:37" x14ac:dyDescent="0.3">
      <c r="AH83" s="126"/>
    </row>
  </sheetData>
  <mergeCells count="62">
    <mergeCell ref="G3:J3"/>
    <mergeCell ref="AF1:AI1"/>
    <mergeCell ref="AV1:AY1"/>
    <mergeCell ref="G1:T1"/>
    <mergeCell ref="G2:N2"/>
    <mergeCell ref="AA2:AD2"/>
    <mergeCell ref="AV2:AY2"/>
    <mergeCell ref="N75:P75"/>
    <mergeCell ref="Q75:S75"/>
    <mergeCell ref="X3:Z3"/>
    <mergeCell ref="AA3:AB3"/>
    <mergeCell ref="AC3:AD3"/>
    <mergeCell ref="K3:N3"/>
    <mergeCell ref="O3:Q3"/>
    <mergeCell ref="R3:T3"/>
    <mergeCell ref="CS2:CT2"/>
    <mergeCell ref="CE2:CK2"/>
    <mergeCell ref="BX3:BY3"/>
    <mergeCell ref="AZ3:BA3"/>
    <mergeCell ref="BB3:BC3"/>
    <mergeCell ref="CP3:CQ3"/>
    <mergeCell ref="BZ3:CA3"/>
    <mergeCell ref="CG3:CH3"/>
    <mergeCell ref="CI3:CJ3"/>
    <mergeCell ref="CL3:CM3"/>
    <mergeCell ref="CN3:CO3"/>
    <mergeCell ref="CE3:CF3"/>
    <mergeCell ref="CB3:CC3"/>
    <mergeCell ref="BT1:BW1"/>
    <mergeCell ref="BX1:CT1"/>
    <mergeCell ref="AZ1:BC1"/>
    <mergeCell ref="BD1:BG1"/>
    <mergeCell ref="BH1:BK1"/>
    <mergeCell ref="BL1:BO1"/>
    <mergeCell ref="BP1:BS1"/>
    <mergeCell ref="B2:C2"/>
    <mergeCell ref="U2:Z2"/>
    <mergeCell ref="P2:T2"/>
    <mergeCell ref="CL2:CR2"/>
    <mergeCell ref="BX2:CD2"/>
    <mergeCell ref="B1:C1"/>
    <mergeCell ref="AJ1:AK1"/>
    <mergeCell ref="AO1:AQ1"/>
    <mergeCell ref="E1:F1"/>
    <mergeCell ref="AR1:AS1"/>
    <mergeCell ref="AL1:AN1"/>
    <mergeCell ref="CU1:DL1"/>
    <mergeCell ref="CU74:DL74"/>
    <mergeCell ref="CU3:DC3"/>
    <mergeCell ref="DD3:DL3"/>
    <mergeCell ref="U1:AD1"/>
    <mergeCell ref="U3:W3"/>
    <mergeCell ref="AI73:AJ73"/>
    <mergeCell ref="AH3:AI3"/>
    <mergeCell ref="AF2:AI2"/>
    <mergeCell ref="AJ2:AK2"/>
    <mergeCell ref="AF3:AG3"/>
    <mergeCell ref="AT1:AU1"/>
    <mergeCell ref="AL2:AN2"/>
    <mergeCell ref="AO2:AQ2"/>
    <mergeCell ref="AT2:AU2"/>
    <mergeCell ref="AR2:AS2"/>
  </mergeCells>
  <phoneticPr fontId="24" type="noConversion"/>
  <hyperlinks>
    <hyperlink ref="DM7" r:id="rId1" display="https://www.klicksafe.eu/en/news/kinder-und-jugendliche-verbringen-taeglich-gut-zwei-stunden-am-smartphone" xr:uid="{00000000-0004-0000-0100-000000000000}"/>
    <hyperlink ref="DM8" r:id="rId2" display="https://backlinko.com/smartphone-usage-statistics" xr:uid="{00000000-0004-0000-0100-000001000000}"/>
  </hyperlinks>
  <pageMargins left="0.7" right="0.7" top="0.75" bottom="0.75" header="0.3" footer="0.3"/>
  <pageSetup paperSize="9" orientation="portrait" horizontalDpi="200" verticalDpi="200" r:id="rId3"/>
  <drawing r:id="rId4"/>
  <legacy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69"/>
  <sheetViews>
    <sheetView zoomScale="70" zoomScaleNormal="70" workbookViewId="0">
      <selection activeCell="E21" sqref="E21"/>
    </sheetView>
  </sheetViews>
  <sheetFormatPr defaultColWidth="9" defaultRowHeight="14" x14ac:dyDescent="0.3"/>
  <cols>
    <col min="3" max="3" width="8.58203125" style="4"/>
    <col min="4" max="7" width="17.83203125" customWidth="1"/>
    <col min="8" max="8" width="19.83203125" customWidth="1"/>
    <col min="9" max="9" width="17.83203125" customWidth="1"/>
    <col min="11" max="11" width="19.83203125" customWidth="1"/>
    <col min="12" max="12" width="6.58203125" customWidth="1"/>
    <col min="13" max="13" width="11" customWidth="1"/>
    <col min="14" max="14" width="8.58203125" customWidth="1"/>
    <col min="15" max="15" width="9.33203125" customWidth="1"/>
    <col min="16" max="16" width="18.58203125" customWidth="1"/>
    <col min="17" max="17" width="15.83203125" style="116" customWidth="1"/>
  </cols>
  <sheetData>
    <row r="1" spans="1:19" x14ac:dyDescent="0.3">
      <c r="B1" s="357" t="s">
        <v>86</v>
      </c>
      <c r="C1" s="357"/>
      <c r="D1" s="216" t="s">
        <v>62</v>
      </c>
      <c r="E1" s="329" t="s">
        <v>592</v>
      </c>
      <c r="F1" s="329"/>
      <c r="G1" s="329" t="s">
        <v>620</v>
      </c>
      <c r="H1" s="329"/>
      <c r="I1" s="214" t="s">
        <v>60</v>
      </c>
      <c r="J1" s="329" t="s">
        <v>431</v>
      </c>
      <c r="K1" s="329"/>
      <c r="L1" s="329" t="s">
        <v>4</v>
      </c>
      <c r="M1" s="329"/>
      <c r="N1" s="329"/>
      <c r="O1" s="329"/>
      <c r="P1" s="214" t="s">
        <v>21</v>
      </c>
      <c r="Q1" s="214" t="s">
        <v>325</v>
      </c>
    </row>
    <row r="2" spans="1:19" x14ac:dyDescent="0.3">
      <c r="B2" s="238" t="s">
        <v>102</v>
      </c>
      <c r="C2" s="238" t="s">
        <v>102</v>
      </c>
      <c r="D2" s="86" t="s">
        <v>61</v>
      </c>
      <c r="E2" s="330" t="s">
        <v>122</v>
      </c>
      <c r="F2" s="330"/>
      <c r="G2" s="330" t="s">
        <v>122</v>
      </c>
      <c r="H2" s="330"/>
      <c r="I2" s="86" t="s">
        <v>70</v>
      </c>
      <c r="J2" s="330" t="s">
        <v>430</v>
      </c>
      <c r="K2" s="330"/>
      <c r="L2" s="330" t="s">
        <v>122</v>
      </c>
      <c r="M2" s="330"/>
      <c r="N2" s="330"/>
      <c r="O2" s="330"/>
      <c r="P2" s="157" t="s">
        <v>70</v>
      </c>
      <c r="Q2" s="86" t="s">
        <v>430</v>
      </c>
    </row>
    <row r="3" spans="1:19" s="1" customFormat="1" x14ac:dyDescent="0.3">
      <c r="A3" s="1" t="s">
        <v>12</v>
      </c>
      <c r="B3" s="1" t="s">
        <v>65</v>
      </c>
      <c r="C3" s="239" t="s">
        <v>15</v>
      </c>
      <c r="D3" s="148"/>
      <c r="E3" s="148" t="s">
        <v>65</v>
      </c>
      <c r="F3" s="148" t="s">
        <v>15</v>
      </c>
      <c r="G3" s="148" t="s">
        <v>65</v>
      </c>
      <c r="H3" s="148" t="s">
        <v>15</v>
      </c>
      <c r="I3" s="148"/>
      <c r="J3" s="86" t="s">
        <v>0</v>
      </c>
      <c r="K3" s="86" t="s">
        <v>393</v>
      </c>
      <c r="L3" s="330" t="s">
        <v>65</v>
      </c>
      <c r="M3" s="330"/>
      <c r="N3" s="330" t="s">
        <v>15</v>
      </c>
      <c r="O3" s="330"/>
      <c r="P3" s="148"/>
      <c r="Q3" s="148"/>
      <c r="R3" s="1" t="s">
        <v>9</v>
      </c>
      <c r="S3" s="1" t="s">
        <v>16</v>
      </c>
    </row>
    <row r="4" spans="1:19" s="2" customFormat="1" x14ac:dyDescent="0.3">
      <c r="A4" s="2" t="s">
        <v>10</v>
      </c>
      <c r="C4" s="240"/>
      <c r="D4" s="215"/>
      <c r="E4" s="215"/>
      <c r="F4" s="215"/>
      <c r="G4" s="215"/>
      <c r="H4" s="215"/>
      <c r="I4" s="215"/>
      <c r="J4" s="215"/>
      <c r="K4" s="215"/>
      <c r="L4" s="148" t="s">
        <v>0</v>
      </c>
      <c r="M4" s="148" t="s">
        <v>393</v>
      </c>
      <c r="N4" s="148" t="s">
        <v>0</v>
      </c>
      <c r="O4" s="148" t="s">
        <v>393</v>
      </c>
      <c r="P4" s="215"/>
      <c r="Q4" s="215"/>
    </row>
    <row r="5" spans="1:19" s="2" customFormat="1" x14ac:dyDescent="0.3">
      <c r="A5" s="2" t="s">
        <v>11</v>
      </c>
      <c r="B5" s="2">
        <f>D5*E5</f>
        <v>12.484726384365473</v>
      </c>
      <c r="C5" s="240">
        <f>D5*F5</f>
        <v>3.5809795055520559</v>
      </c>
      <c r="D5" s="318">
        <f>[1]Sheet1!$B$7</f>
        <v>68.825783940379409</v>
      </c>
      <c r="E5" s="215">
        <f>G5*I5</f>
        <v>0.18139606510229384</v>
      </c>
      <c r="F5" s="215">
        <f>H5*I5</f>
        <v>5.2029621757074249E-2</v>
      </c>
      <c r="G5" s="284">
        <f>(L5*J5)+(M5*K5)</f>
        <v>1.8139606510229382E-2</v>
      </c>
      <c r="H5" s="284">
        <f>(N5*J5)+(O5*K5)</f>
        <v>5.2029621757074245E-3</v>
      </c>
      <c r="I5" s="215">
        <f>P5*Q5</f>
        <v>10</v>
      </c>
      <c r="J5" s="289">
        <f>[1]Sheet1!$B$8</f>
        <v>0.34601030851851861</v>
      </c>
      <c r="K5" s="215">
        <f>1-J5</f>
        <v>0.65398969148148134</v>
      </c>
      <c r="L5" s="276">
        <f>MobileCall!FZ5</f>
        <v>4.6356407322852476E-2</v>
      </c>
      <c r="M5" s="276">
        <f>MobileCall!GG5</f>
        <v>3.2107718791138519E-3</v>
      </c>
      <c r="N5" s="276">
        <f>MobileCall!HB5</f>
        <v>1.1088892985597116E-2</v>
      </c>
      <c r="O5" s="276">
        <f>MobileCall!HI5</f>
        <v>2.088856919957755E-3</v>
      </c>
      <c r="P5" s="215">
        <v>250</v>
      </c>
      <c r="Q5" s="225">
        <f>AVERAGE(Q12:Q13)</f>
        <v>0.04</v>
      </c>
    </row>
    <row r="6" spans="1:19" s="2" customFormat="1" x14ac:dyDescent="0.3">
      <c r="A6" s="2" t="s">
        <v>28</v>
      </c>
      <c r="C6" s="240"/>
      <c r="D6" s="215"/>
      <c r="E6" s="215"/>
      <c r="F6" s="215"/>
      <c r="G6" s="215"/>
      <c r="H6" s="215"/>
      <c r="I6" s="215"/>
      <c r="J6" s="215"/>
      <c r="K6" s="215"/>
      <c r="L6" s="215"/>
      <c r="M6" s="215"/>
      <c r="N6" s="215"/>
      <c r="O6" s="215"/>
      <c r="P6" s="215"/>
      <c r="Q6" s="215"/>
    </row>
    <row r="7" spans="1:19" ht="14.5" x14ac:dyDescent="0.35">
      <c r="D7" s="86">
        <v>6.4</v>
      </c>
      <c r="E7" s="86"/>
      <c r="F7" s="86"/>
      <c r="G7" s="86"/>
      <c r="H7" s="86"/>
      <c r="I7" s="86"/>
      <c r="J7" s="86"/>
      <c r="K7" s="86"/>
      <c r="L7" s="86"/>
      <c r="M7" s="86"/>
      <c r="N7" s="86"/>
      <c r="O7" s="86"/>
      <c r="P7" s="86"/>
      <c r="Q7" s="86"/>
      <c r="R7" s="3" t="s">
        <v>45</v>
      </c>
    </row>
    <row r="8" spans="1:19" ht="14.5" x14ac:dyDescent="0.35">
      <c r="D8" s="86">
        <v>0.4</v>
      </c>
      <c r="E8" s="86"/>
      <c r="F8" s="86"/>
      <c r="G8" s="86"/>
      <c r="H8" s="86"/>
      <c r="I8" s="86"/>
      <c r="J8" s="86"/>
      <c r="K8" s="86"/>
      <c r="L8" s="86"/>
      <c r="M8" s="86"/>
      <c r="N8" s="86"/>
      <c r="O8" s="86"/>
      <c r="P8" s="86"/>
      <c r="Q8" s="86"/>
      <c r="R8" s="3" t="s">
        <v>31</v>
      </c>
    </row>
    <row r="9" spans="1:19" x14ac:dyDescent="0.3">
      <c r="D9" s="86"/>
      <c r="E9" s="86"/>
      <c r="F9" s="86"/>
      <c r="G9" s="86"/>
      <c r="H9" s="86"/>
      <c r="I9" s="86"/>
      <c r="J9" s="86">
        <v>0.9</v>
      </c>
      <c r="K9" s="86">
        <v>0.1</v>
      </c>
      <c r="L9" s="86" t="s">
        <v>471</v>
      </c>
      <c r="M9" s="86" t="s">
        <v>471</v>
      </c>
      <c r="N9" s="86" t="s">
        <v>471</v>
      </c>
      <c r="O9" s="86" t="s">
        <v>471</v>
      </c>
      <c r="P9" s="86" t="s">
        <v>437</v>
      </c>
      <c r="Q9" s="86"/>
      <c r="R9" t="s">
        <v>46</v>
      </c>
    </row>
    <row r="10" spans="1:19" x14ac:dyDescent="0.3">
      <c r="B10" s="213"/>
      <c r="C10" s="213"/>
      <c r="D10" s="86"/>
      <c r="E10" s="86"/>
      <c r="F10" s="86"/>
      <c r="G10" s="86"/>
      <c r="H10" s="86"/>
      <c r="I10" s="86"/>
      <c r="J10" s="86"/>
      <c r="K10" s="86"/>
      <c r="L10" s="86"/>
      <c r="M10" s="86"/>
      <c r="N10" s="86"/>
      <c r="O10" s="86"/>
      <c r="P10" s="86"/>
      <c r="Q10" s="86"/>
      <c r="R10" t="s">
        <v>37</v>
      </c>
    </row>
    <row r="11" spans="1:19" ht="14.5" x14ac:dyDescent="0.35">
      <c r="D11" s="86"/>
      <c r="E11" s="86"/>
      <c r="F11" s="86"/>
      <c r="G11" s="86"/>
      <c r="H11" s="86"/>
      <c r="I11" s="86"/>
      <c r="J11" s="86"/>
      <c r="K11" s="86"/>
      <c r="L11" s="86"/>
      <c r="M11" s="86"/>
      <c r="N11" s="86"/>
      <c r="O11" s="86"/>
      <c r="P11" s="86"/>
      <c r="Q11" s="86"/>
      <c r="R11" s="3" t="s">
        <v>48</v>
      </c>
    </row>
    <row r="12" spans="1:19" x14ac:dyDescent="0.3">
      <c r="D12" s="86"/>
      <c r="E12" s="86"/>
      <c r="F12" s="86"/>
      <c r="G12" s="86"/>
      <c r="H12" s="86"/>
      <c r="I12" s="86"/>
      <c r="J12" s="86"/>
      <c r="K12" s="86"/>
      <c r="L12" s="86"/>
      <c r="M12" s="86"/>
      <c r="N12" s="86"/>
      <c r="O12" s="86"/>
      <c r="P12" s="86"/>
      <c r="Q12" s="86">
        <v>0.04</v>
      </c>
      <c r="R12" s="113" t="s">
        <v>333</v>
      </c>
    </row>
    <row r="13" spans="1:19" x14ac:dyDescent="0.3">
      <c r="D13" s="86"/>
      <c r="E13" s="86"/>
      <c r="F13" s="86"/>
      <c r="G13" s="86"/>
      <c r="H13" s="86"/>
      <c r="I13" s="86"/>
      <c r="J13" s="86"/>
      <c r="K13" s="86"/>
      <c r="L13" s="86"/>
      <c r="M13" s="86"/>
      <c r="N13" s="86"/>
      <c r="O13" s="86"/>
      <c r="P13" s="86"/>
      <c r="Q13" s="86">
        <v>0.04</v>
      </c>
      <c r="R13" t="s">
        <v>412</v>
      </c>
    </row>
    <row r="69" spans="12:12" ht="14.5" x14ac:dyDescent="0.35">
      <c r="L69" s="111" t="s">
        <v>413</v>
      </c>
    </row>
  </sheetData>
  <mergeCells count="11">
    <mergeCell ref="L3:M3"/>
    <mergeCell ref="N3:O3"/>
    <mergeCell ref="J1:K1"/>
    <mergeCell ref="B1:C1"/>
    <mergeCell ref="G1:H1"/>
    <mergeCell ref="L1:O1"/>
    <mergeCell ref="G2:H2"/>
    <mergeCell ref="J2:K2"/>
    <mergeCell ref="L2:O2"/>
    <mergeCell ref="E1:F1"/>
    <mergeCell ref="E2:F2"/>
  </mergeCells>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E22"/>
  <sheetViews>
    <sheetView topLeftCell="V1" zoomScale="60" zoomScaleNormal="100" workbookViewId="0">
      <selection activeCell="AB5" sqref="AB5"/>
    </sheetView>
  </sheetViews>
  <sheetFormatPr defaultColWidth="9" defaultRowHeight="14" x14ac:dyDescent="0.3"/>
  <cols>
    <col min="3" max="3" width="11.83203125" style="4" bestFit="1" customWidth="1"/>
    <col min="4" max="4" width="17.75" customWidth="1"/>
    <col min="5" max="8" width="20.33203125" customWidth="1"/>
    <col min="9" max="9" width="17.75" customWidth="1"/>
    <col min="11" max="12" width="12.25" bestFit="1" customWidth="1"/>
    <col min="13" max="14" width="11.83203125" bestFit="1" customWidth="1"/>
    <col min="15" max="15" width="10.33203125" bestFit="1" customWidth="1"/>
    <col min="16" max="16" width="9.75" bestFit="1" customWidth="1"/>
    <col min="17" max="17" width="10.33203125" bestFit="1" customWidth="1"/>
    <col min="18" max="18" width="8.83203125" customWidth="1"/>
    <col min="19" max="19" width="19.83203125" customWidth="1"/>
    <col min="21" max="21" width="10.33203125" bestFit="1" customWidth="1"/>
    <col min="22" max="22" width="20.5" customWidth="1"/>
    <col min="26" max="37" width="14.33203125" customWidth="1"/>
  </cols>
  <sheetData>
    <row r="1" spans="1:57" x14ac:dyDescent="0.3">
      <c r="A1" s="86"/>
      <c r="B1" s="330" t="s">
        <v>87</v>
      </c>
      <c r="C1" s="330"/>
      <c r="D1" s="216" t="s">
        <v>62</v>
      </c>
      <c r="E1" s="364" t="s">
        <v>600</v>
      </c>
      <c r="F1" s="364"/>
      <c r="G1" s="364"/>
      <c r="H1" s="364"/>
      <c r="I1" s="364"/>
      <c r="J1" s="364"/>
      <c r="K1" s="329" t="s">
        <v>602</v>
      </c>
      <c r="L1" s="329"/>
      <c r="M1" s="329"/>
      <c r="N1" s="329"/>
      <c r="O1" s="329" t="s">
        <v>431</v>
      </c>
      <c r="P1" s="329"/>
      <c r="Q1" s="329" t="s">
        <v>432</v>
      </c>
      <c r="R1" s="329"/>
      <c r="S1" s="329"/>
      <c r="T1" s="329"/>
      <c r="U1" s="329" t="s">
        <v>433</v>
      </c>
      <c r="V1" s="329"/>
      <c r="W1" s="329"/>
      <c r="X1" s="329"/>
      <c r="Y1" s="214" t="s">
        <v>434</v>
      </c>
      <c r="Z1" s="330" t="s">
        <v>435</v>
      </c>
      <c r="AA1" s="330"/>
      <c r="AB1" s="330" t="s">
        <v>21</v>
      </c>
      <c r="AC1" s="330"/>
      <c r="AD1" s="329" t="s">
        <v>279</v>
      </c>
      <c r="AE1" s="329"/>
      <c r="AF1" s="329"/>
      <c r="AG1" s="329"/>
      <c r="AH1" s="329" t="s">
        <v>357</v>
      </c>
      <c r="AI1" s="329"/>
      <c r="AJ1" s="329"/>
      <c r="AK1" s="329"/>
      <c r="AL1" s="86" t="s">
        <v>49</v>
      </c>
      <c r="AM1" s="86" t="s">
        <v>50</v>
      </c>
      <c r="AN1" s="86"/>
      <c r="AO1" s="86"/>
      <c r="AP1" s="86"/>
      <c r="AQ1" s="86"/>
      <c r="AR1" s="86"/>
      <c r="AS1" s="86"/>
      <c r="AT1" s="86"/>
      <c r="AU1" s="86"/>
      <c r="AV1" s="86"/>
      <c r="AW1" s="86"/>
      <c r="AX1" s="86"/>
      <c r="AY1" s="86"/>
      <c r="AZ1" s="86"/>
      <c r="BA1" s="86"/>
      <c r="BB1" s="86"/>
      <c r="BC1" s="86"/>
      <c r="BD1" s="86"/>
      <c r="BE1" s="86"/>
    </row>
    <row r="2" spans="1:57" x14ac:dyDescent="0.3">
      <c r="A2" s="86"/>
      <c r="B2" s="161" t="s">
        <v>102</v>
      </c>
      <c r="C2" s="161" t="s">
        <v>102</v>
      </c>
      <c r="D2" s="86" t="s">
        <v>61</v>
      </c>
      <c r="E2" s="215"/>
      <c r="F2" s="333" t="s">
        <v>212</v>
      </c>
      <c r="G2" s="333"/>
      <c r="H2" s="333"/>
      <c r="I2" s="333"/>
      <c r="J2" s="334"/>
      <c r="K2" s="86"/>
      <c r="L2" s="86"/>
      <c r="M2" s="86"/>
      <c r="N2" s="86"/>
      <c r="O2" s="330" t="s">
        <v>430</v>
      </c>
      <c r="P2" s="330"/>
      <c r="Q2" s="330" t="s">
        <v>122</v>
      </c>
      <c r="R2" s="330"/>
      <c r="S2" s="330"/>
      <c r="T2" s="330"/>
      <c r="U2" s="330" t="s">
        <v>122</v>
      </c>
      <c r="V2" s="330"/>
      <c r="W2" s="330"/>
      <c r="X2" s="330"/>
      <c r="Y2" s="86" t="s">
        <v>430</v>
      </c>
      <c r="Z2" s="330" t="s">
        <v>430</v>
      </c>
      <c r="AA2" s="330"/>
      <c r="AB2" s="330" t="s">
        <v>70</v>
      </c>
      <c r="AC2" s="330"/>
      <c r="AD2" s="86" t="s">
        <v>61</v>
      </c>
      <c r="AE2" s="86" t="s">
        <v>61</v>
      </c>
      <c r="AF2" s="86" t="s">
        <v>61</v>
      </c>
      <c r="AG2" s="86" t="s">
        <v>61</v>
      </c>
      <c r="AH2" s="157"/>
      <c r="AI2" s="157"/>
      <c r="AJ2" s="157"/>
      <c r="AK2" s="157"/>
      <c r="AL2" s="86"/>
      <c r="AM2" s="86"/>
      <c r="AN2" s="86"/>
      <c r="AO2" s="86"/>
      <c r="AP2" s="86"/>
      <c r="AQ2" s="86"/>
      <c r="AR2" s="86"/>
      <c r="AS2" s="86"/>
      <c r="AT2" s="86"/>
      <c r="AU2" s="86"/>
      <c r="AV2" s="86"/>
      <c r="AW2" s="86"/>
      <c r="AX2" s="86"/>
      <c r="AY2" s="86"/>
      <c r="AZ2" s="86"/>
      <c r="BA2" s="86"/>
      <c r="BB2" s="86"/>
      <c r="BC2" s="86"/>
      <c r="BD2" s="86"/>
      <c r="BE2" s="86"/>
    </row>
    <row r="3" spans="1:57" s="1" customFormat="1" x14ac:dyDescent="0.3">
      <c r="A3" s="148" t="s">
        <v>12</v>
      </c>
      <c r="B3" s="148" t="s">
        <v>65</v>
      </c>
      <c r="C3" s="219" t="s">
        <v>15</v>
      </c>
      <c r="D3" s="148"/>
      <c r="E3" s="332" t="s">
        <v>65</v>
      </c>
      <c r="F3" s="333"/>
      <c r="G3" s="334"/>
      <c r="H3" s="332" t="s">
        <v>15</v>
      </c>
      <c r="I3" s="333"/>
      <c r="J3" s="334"/>
      <c r="K3" s="337" t="s">
        <v>65</v>
      </c>
      <c r="L3" s="337"/>
      <c r="M3" s="337" t="s">
        <v>15</v>
      </c>
      <c r="N3" s="337"/>
      <c r="O3" s="86"/>
      <c r="P3" s="86"/>
      <c r="Q3" s="330" t="s">
        <v>65</v>
      </c>
      <c r="R3" s="330"/>
      <c r="S3" s="330" t="s">
        <v>15</v>
      </c>
      <c r="T3" s="330"/>
      <c r="U3" s="330" t="s">
        <v>65</v>
      </c>
      <c r="V3" s="330"/>
      <c r="W3" s="330" t="s">
        <v>15</v>
      </c>
      <c r="X3" s="330"/>
      <c r="Y3" s="148" t="s">
        <v>3</v>
      </c>
      <c r="Z3" s="148" t="s">
        <v>391</v>
      </c>
      <c r="AA3" s="148" t="s">
        <v>331</v>
      </c>
      <c r="AB3" s="148" t="s">
        <v>391</v>
      </c>
      <c r="AC3" s="148" t="s">
        <v>331</v>
      </c>
      <c r="AD3" s="148"/>
      <c r="AE3" s="148"/>
      <c r="AF3" s="148"/>
      <c r="AG3" s="148"/>
      <c r="AH3" s="331"/>
      <c r="AI3" s="331"/>
      <c r="AJ3" s="331"/>
      <c r="AK3" s="331"/>
      <c r="AL3" s="148"/>
      <c r="AM3" s="148"/>
      <c r="AN3" s="148"/>
      <c r="AO3" s="148"/>
      <c r="AP3" s="148"/>
      <c r="AQ3" s="148"/>
      <c r="AR3" s="148"/>
      <c r="AS3" s="148"/>
      <c r="AT3" s="148"/>
      <c r="AU3" s="148"/>
      <c r="AV3" s="148"/>
      <c r="AW3" s="148"/>
      <c r="AX3" s="148"/>
      <c r="AY3" s="148"/>
      <c r="AZ3" s="148"/>
      <c r="BA3" s="148"/>
      <c r="BB3" s="148"/>
      <c r="BC3" s="148"/>
      <c r="BD3" s="148"/>
      <c r="BE3" s="148"/>
    </row>
    <row r="4" spans="1:57" s="2" customFormat="1" x14ac:dyDescent="0.3">
      <c r="A4" s="215" t="s">
        <v>10</v>
      </c>
      <c r="B4" s="215"/>
      <c r="C4" s="224"/>
      <c r="D4" s="215"/>
      <c r="E4" s="222" t="s">
        <v>116</v>
      </c>
      <c r="F4" s="222" t="s">
        <v>391</v>
      </c>
      <c r="G4" s="222" t="s">
        <v>331</v>
      </c>
      <c r="H4" s="222" t="s">
        <v>116</v>
      </c>
      <c r="I4" s="222" t="s">
        <v>391</v>
      </c>
      <c r="J4" s="222" t="s">
        <v>331</v>
      </c>
      <c r="K4" s="222" t="s">
        <v>391</v>
      </c>
      <c r="L4" s="222" t="s">
        <v>331</v>
      </c>
      <c r="M4" s="222" t="s">
        <v>391</v>
      </c>
      <c r="N4" s="222" t="s">
        <v>331</v>
      </c>
      <c r="O4" s="86" t="s">
        <v>378</v>
      </c>
      <c r="P4" s="86" t="s">
        <v>20</v>
      </c>
      <c r="Q4" s="86" t="s">
        <v>378</v>
      </c>
      <c r="R4" s="86" t="s">
        <v>20</v>
      </c>
      <c r="S4" s="86" t="s">
        <v>378</v>
      </c>
      <c r="T4" s="86" t="s">
        <v>20</v>
      </c>
      <c r="U4" s="86" t="s">
        <v>378</v>
      </c>
      <c r="V4" s="86" t="s">
        <v>20</v>
      </c>
      <c r="W4" s="86" t="s">
        <v>378</v>
      </c>
      <c r="X4" s="86" t="s">
        <v>20</v>
      </c>
      <c r="Y4" s="215"/>
      <c r="Z4" s="215"/>
      <c r="AA4" s="215"/>
      <c r="AB4" s="215"/>
      <c r="AC4" s="215"/>
      <c r="AD4" s="215" t="s">
        <v>589</v>
      </c>
      <c r="AE4" s="215" t="s">
        <v>304</v>
      </c>
      <c r="AF4" s="215" t="s">
        <v>356</v>
      </c>
      <c r="AG4" s="215" t="s">
        <v>222</v>
      </c>
      <c r="AH4" s="215" t="s">
        <v>358</v>
      </c>
      <c r="AI4" s="215" t="s">
        <v>355</v>
      </c>
      <c r="AJ4" s="215" t="s">
        <v>356</v>
      </c>
      <c r="AK4" s="215" t="s">
        <v>222</v>
      </c>
      <c r="AL4" s="215"/>
      <c r="AM4" s="215"/>
      <c r="AN4" s="215"/>
      <c r="AO4" s="215"/>
      <c r="AP4" s="215"/>
      <c r="AQ4" s="215"/>
      <c r="AR4" s="215"/>
      <c r="AS4" s="215"/>
      <c r="AT4" s="215"/>
      <c r="AU4" s="215"/>
      <c r="AV4" s="215"/>
      <c r="AW4" s="215"/>
      <c r="AX4" s="215"/>
      <c r="AY4" s="215"/>
      <c r="AZ4" s="215"/>
      <c r="BA4" s="215"/>
      <c r="BB4" s="215"/>
      <c r="BC4" s="215"/>
      <c r="BD4" s="215"/>
      <c r="BE4" s="215"/>
    </row>
    <row r="5" spans="1:57" s="2" customFormat="1" x14ac:dyDescent="0.3">
      <c r="A5" s="215" t="s">
        <v>11</v>
      </c>
      <c r="B5" s="225">
        <f>D5*E5</f>
        <v>0.70773816339404305</v>
      </c>
      <c r="C5" s="227">
        <f>D5*H5</f>
        <v>101.37879667327552</v>
      </c>
      <c r="D5" s="259">
        <f>SUM(AD5:AG5)</f>
        <v>3952.392511449988</v>
      </c>
      <c r="E5" s="233">
        <f>Z5*F5+AA5*G5</f>
        <v>1.7906575861171233E-4</v>
      </c>
      <c r="F5" s="215">
        <f>K5*AB5</f>
        <v>2.6200716167959189E-4</v>
      </c>
      <c r="G5" s="215">
        <f>L5*AC5</f>
        <v>6.4527630565592987E-5</v>
      </c>
      <c r="H5" s="215">
        <f>Z5*I5+AA5*J5</f>
        <v>2.5649981974103921E-2</v>
      </c>
      <c r="I5" s="215">
        <f>M5*AB5</f>
        <v>2.7236004851733209E-2</v>
      </c>
      <c r="J5" s="215">
        <f>N5*AC5</f>
        <v>2.345975990499681E-2</v>
      </c>
      <c r="K5" s="284">
        <f>O5*Q5+P5*R5</f>
        <v>3.8175613838933438E-5</v>
      </c>
      <c r="L5" s="284">
        <f>O5*U5+P5*V5</f>
        <v>7.8166023836738915E-6</v>
      </c>
      <c r="M5" s="284">
        <f>O5*S5+P5*T5</f>
        <v>3.9684075697388552E-3</v>
      </c>
      <c r="N5" s="284">
        <f>O5*W5+P5*X5</f>
        <v>2.8418154143659757E-3</v>
      </c>
      <c r="O5" s="215">
        <v>0.2</v>
      </c>
      <c r="P5" s="215">
        <v>0.8</v>
      </c>
      <c r="Q5" s="282">
        <f>[4]Sheet1!$I$47</f>
        <v>3.4320343919544133E-5</v>
      </c>
      <c r="R5" s="282">
        <f>[4]Sheet1!$I$57</f>
        <v>3.9139431318780767E-5</v>
      </c>
      <c r="S5" s="270">
        <f>[5]Sheet1!$H$47</f>
        <v>7.1055682584941259E-3</v>
      </c>
      <c r="T5" s="270">
        <f>[5]Sheet1!$H$57</f>
        <v>3.1841173975500369E-3</v>
      </c>
      <c r="U5" s="280">
        <f>[4]Sheet1!$I$50</f>
        <v>2.2386717373230602E-6</v>
      </c>
      <c r="V5" s="283">
        <f>[4]Sheet1!$I$60</f>
        <v>9.2110850452615998E-6</v>
      </c>
      <c r="W5" s="270">
        <f>[5]Sheet1!$H$50</f>
        <v>5.4622742204646878E-3</v>
      </c>
      <c r="X5" s="270">
        <f>[5]Sheet1!$H$60</f>
        <v>2.1867007128412979E-3</v>
      </c>
      <c r="Y5" s="215">
        <v>1</v>
      </c>
      <c r="Z5" s="215">
        <f>MobileCall!DB5</f>
        <v>0.57999999999999996</v>
      </c>
      <c r="AA5" s="215">
        <f>MobileCall!DC5</f>
        <v>0.42</v>
      </c>
      <c r="AB5" s="225">
        <f>(AH5*MobileData!BP5*MobileCall!FB5+AI5*MobileData!BQ5*MobileCall!FB5+AJ5*MobileData!BR5*MobileCall!FB5+AK5*MobileData!BS5*MobileCall!FB5)</f>
        <v>6.8632075645207733</v>
      </c>
      <c r="AC5" s="225">
        <f>(AH5*MobileData!BT5*MobileCall!FC5+AI5*MobileData!BU5*MobileCall!FC5+AJ5*MobileData!BV5*MobileCall!FC5+AK5*MobileData!BW5*MobileCall!FC5)</f>
        <v>8.255201863711056</v>
      </c>
      <c r="AD5" s="272">
        <f>[1]Sheet1!$B$17</f>
        <v>1068.9706471888769</v>
      </c>
      <c r="AE5" s="272">
        <f>[1]Sheet1!$B$18</f>
        <v>1167.969494453642</v>
      </c>
      <c r="AF5" s="272">
        <f>[1]Sheet1!$B$19</f>
        <v>1715.452369807469</v>
      </c>
      <c r="AG5" s="272">
        <v>0</v>
      </c>
      <c r="AH5" s="164">
        <f>AD5/D5</f>
        <v>0.2704616619154333</v>
      </c>
      <c r="AI5" s="164">
        <f>AE5/D5</f>
        <v>0.29550948977614494</v>
      </c>
      <c r="AJ5" s="164">
        <f>AF5/D5</f>
        <v>0.43402884830842181</v>
      </c>
      <c r="AK5" s="164">
        <f>AG5/D5</f>
        <v>0</v>
      </c>
      <c r="AL5" s="215"/>
      <c r="AM5" s="215"/>
      <c r="AN5" s="215"/>
      <c r="AO5" s="215"/>
      <c r="AP5" s="215"/>
      <c r="AQ5" s="215"/>
      <c r="AR5" s="215"/>
      <c r="AS5" s="215"/>
      <c r="AT5" s="215"/>
      <c r="AU5" s="215"/>
      <c r="AV5" s="215"/>
      <c r="AW5" s="215"/>
      <c r="AX5" s="215"/>
      <c r="AY5" s="215"/>
      <c r="AZ5" s="215"/>
      <c r="BA5" s="215"/>
      <c r="BB5" s="215"/>
      <c r="BC5" s="215"/>
      <c r="BD5" s="215"/>
      <c r="BE5" s="215"/>
    </row>
    <row r="6" spans="1:57" s="2" customFormat="1" x14ac:dyDescent="0.3">
      <c r="A6" s="215" t="s">
        <v>28</v>
      </c>
      <c r="B6" s="215"/>
      <c r="C6" s="224"/>
      <c r="D6" s="215"/>
      <c r="E6" s="215"/>
      <c r="F6" s="215"/>
      <c r="G6" s="215"/>
      <c r="H6" s="215"/>
      <c r="I6" s="215"/>
      <c r="J6" s="215"/>
      <c r="K6" s="215"/>
      <c r="L6" s="215"/>
      <c r="M6" s="215"/>
      <c r="N6" s="215"/>
      <c r="O6" s="215"/>
      <c r="P6" s="215"/>
      <c r="Q6" s="215"/>
      <c r="R6" s="215"/>
      <c r="S6" s="215"/>
      <c r="T6" s="215"/>
      <c r="U6" s="215"/>
      <c r="V6" s="215"/>
      <c r="W6" s="215"/>
      <c r="X6" s="86"/>
      <c r="Y6" s="86"/>
      <c r="Z6" s="86"/>
      <c r="AA6" s="86"/>
      <c r="AB6" s="148"/>
      <c r="AC6" s="148"/>
      <c r="AD6" s="148"/>
      <c r="AE6" s="148"/>
      <c r="AF6" s="215"/>
      <c r="AG6" s="215"/>
      <c r="AH6" s="215"/>
      <c r="AI6" s="215"/>
      <c r="AJ6" s="215"/>
      <c r="AK6" s="215"/>
      <c r="AL6" s="215"/>
      <c r="AM6" s="215"/>
      <c r="AN6" s="215"/>
      <c r="AO6" s="215"/>
      <c r="AP6" s="215"/>
      <c r="AQ6" s="215"/>
      <c r="AR6" s="215"/>
      <c r="AS6" s="215"/>
      <c r="AT6" s="215"/>
      <c r="AU6" s="215"/>
      <c r="AV6" s="215"/>
      <c r="AW6" s="215"/>
      <c r="AX6" s="215"/>
      <c r="AY6" s="215"/>
    </row>
    <row r="7" spans="1:57" ht="14.5" x14ac:dyDescent="0.35">
      <c r="A7" s="86" t="s">
        <v>13</v>
      </c>
      <c r="B7" s="86"/>
      <c r="C7" s="159"/>
      <c r="D7" s="86">
        <v>126.6</v>
      </c>
      <c r="E7" s="86"/>
      <c r="F7" s="86"/>
      <c r="G7" s="86"/>
      <c r="H7" s="86"/>
      <c r="I7" s="86"/>
      <c r="J7" s="86"/>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163" t="s">
        <v>45</v>
      </c>
      <c r="AM7" s="86"/>
      <c r="AN7" s="86"/>
      <c r="AO7" s="86"/>
      <c r="AP7" s="86"/>
      <c r="AQ7" s="86"/>
      <c r="AR7" s="86"/>
      <c r="AS7" s="86"/>
      <c r="AT7" s="86"/>
      <c r="AU7" s="86"/>
      <c r="AV7" s="86"/>
      <c r="AW7" s="86"/>
      <c r="AX7" s="86"/>
      <c r="AY7" s="86"/>
    </row>
    <row r="8" spans="1:57" ht="14.5" x14ac:dyDescent="0.35">
      <c r="A8" s="86"/>
      <c r="B8" s="86"/>
      <c r="C8" s="159"/>
      <c r="D8" s="86">
        <v>19.100000000000001</v>
      </c>
      <c r="E8" s="86"/>
      <c r="F8" s="86"/>
      <c r="G8" s="86"/>
      <c r="H8" s="86"/>
      <c r="I8" s="86"/>
      <c r="J8" s="86"/>
      <c r="K8" s="86"/>
      <c r="L8" s="86"/>
      <c r="M8" s="86"/>
      <c r="N8" s="86"/>
      <c r="O8" s="86"/>
      <c r="P8" s="86"/>
      <c r="Q8" s="86"/>
      <c r="R8" s="86"/>
      <c r="S8" s="86"/>
      <c r="T8" s="86"/>
      <c r="U8" s="86"/>
      <c r="V8" s="86"/>
      <c r="W8" s="86"/>
      <c r="X8" s="86"/>
      <c r="Y8" s="86"/>
      <c r="Z8" s="86" t="s">
        <v>315</v>
      </c>
      <c r="AA8" s="86"/>
      <c r="AB8" s="86"/>
      <c r="AC8" s="86"/>
      <c r="AD8" s="86"/>
      <c r="AE8" s="86"/>
      <c r="AF8" s="86"/>
      <c r="AG8" s="86"/>
      <c r="AH8" s="86"/>
      <c r="AI8" s="86"/>
      <c r="AJ8" s="86"/>
      <c r="AK8" s="86"/>
      <c r="AL8" s="163" t="s">
        <v>31</v>
      </c>
      <c r="AM8" s="86"/>
      <c r="AN8" s="86"/>
      <c r="AO8" s="86"/>
      <c r="AP8" s="86"/>
      <c r="AQ8" s="86"/>
      <c r="AR8" s="86"/>
      <c r="AS8" s="86"/>
      <c r="AT8" s="86"/>
      <c r="AU8" s="86"/>
      <c r="AV8" s="86"/>
      <c r="AW8" s="86"/>
      <c r="AX8" s="86"/>
      <c r="AY8" s="86"/>
    </row>
    <row r="9" spans="1:57" x14ac:dyDescent="0.3">
      <c r="A9" s="86"/>
      <c r="B9" s="86"/>
      <c r="C9" s="159"/>
      <c r="D9" s="86"/>
      <c r="E9" s="86"/>
      <c r="F9" s="86"/>
      <c r="G9" s="86"/>
      <c r="H9" s="86"/>
      <c r="I9" s="86"/>
      <c r="J9" s="86">
        <v>0.2</v>
      </c>
      <c r="K9" s="86">
        <v>0.8</v>
      </c>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t="s">
        <v>46</v>
      </c>
      <c r="AM9" s="86"/>
      <c r="AN9" s="86"/>
      <c r="AO9" s="86"/>
      <c r="AP9" s="86"/>
      <c r="AQ9" s="86"/>
      <c r="AR9" s="86"/>
      <c r="AS9" s="86"/>
      <c r="AT9" s="86"/>
      <c r="AU9" s="86"/>
      <c r="AV9" s="86"/>
      <c r="AW9" s="86"/>
      <c r="AX9" s="86"/>
      <c r="AY9" s="86"/>
    </row>
    <row r="10" spans="1:57" x14ac:dyDescent="0.3">
      <c r="A10" s="86"/>
      <c r="B10" s="86"/>
      <c r="C10" s="159"/>
      <c r="D10" s="86"/>
      <c r="E10" s="86"/>
      <c r="F10" s="86"/>
      <c r="G10" s="86"/>
      <c r="H10" s="86"/>
      <c r="I10" s="86"/>
      <c r="J10" s="86"/>
      <c r="K10" s="86"/>
      <c r="L10" s="86"/>
      <c r="M10" s="86"/>
      <c r="N10" s="86"/>
      <c r="O10" s="86"/>
      <c r="P10" s="86"/>
      <c r="Q10" s="86"/>
      <c r="R10" s="86"/>
      <c r="S10" s="86">
        <v>1</v>
      </c>
      <c r="T10" s="86"/>
      <c r="U10" s="86"/>
      <c r="V10" s="86"/>
      <c r="W10" s="86"/>
      <c r="X10" s="86"/>
      <c r="Y10" s="86"/>
      <c r="Z10" s="86" t="s">
        <v>280</v>
      </c>
      <c r="AA10" s="86"/>
      <c r="AB10" s="86"/>
      <c r="AC10" s="86"/>
      <c r="AD10" s="86"/>
      <c r="AE10" s="86"/>
      <c r="AF10" s="86"/>
      <c r="AG10" s="86"/>
      <c r="AH10" s="86"/>
      <c r="AI10" s="86"/>
      <c r="AJ10" s="86"/>
      <c r="AK10" s="86"/>
      <c r="AL10" s="86" t="s">
        <v>46</v>
      </c>
      <c r="AM10" s="86"/>
      <c r="AN10" s="86"/>
      <c r="AO10" s="86"/>
      <c r="AP10" s="86"/>
      <c r="AQ10" s="86"/>
      <c r="AR10" s="86"/>
      <c r="AS10" s="86"/>
      <c r="AT10" s="86"/>
      <c r="AU10" s="86"/>
      <c r="AV10" s="86"/>
      <c r="AW10" s="86"/>
      <c r="AX10" s="86"/>
      <c r="AY10" s="86"/>
    </row>
    <row r="11" spans="1:57" x14ac:dyDescent="0.3">
      <c r="A11" s="86"/>
      <c r="D11" s="86"/>
      <c r="E11" s="86"/>
      <c r="F11" s="86"/>
      <c r="G11" s="86"/>
      <c r="H11" s="86"/>
      <c r="I11" s="86"/>
      <c r="J11" s="86"/>
      <c r="K11" s="86"/>
      <c r="L11" s="86"/>
      <c r="M11" s="86"/>
      <c r="N11" s="86"/>
      <c r="O11" s="86"/>
      <c r="P11" s="86"/>
      <c r="Q11" s="86"/>
      <c r="R11" s="86"/>
      <c r="S11" s="86"/>
      <c r="T11" s="86"/>
      <c r="U11" s="86"/>
      <c r="V11" s="86"/>
      <c r="W11" s="86"/>
      <c r="X11" s="86"/>
      <c r="Y11" s="86"/>
      <c r="Z11" s="86" t="s">
        <v>285</v>
      </c>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row>
    <row r="12" spans="1:57" x14ac:dyDescent="0.3">
      <c r="A12" s="86"/>
      <c r="B12" s="86"/>
      <c r="C12" s="159"/>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row>
    <row r="13" spans="1:57" x14ac:dyDescent="0.3">
      <c r="A13" s="86"/>
      <c r="B13" s="86"/>
      <c r="C13" s="159"/>
      <c r="D13" s="86"/>
      <c r="E13" s="86"/>
      <c r="F13" s="86"/>
      <c r="G13" s="86"/>
      <c r="H13" s="86"/>
      <c r="I13" s="86"/>
      <c r="J13" s="86"/>
      <c r="K13" s="86"/>
      <c r="L13" s="86"/>
      <c r="M13" s="86"/>
      <c r="N13" s="86"/>
      <c r="O13" s="86"/>
      <c r="P13" s="86"/>
      <c r="Q13" s="86"/>
      <c r="R13" s="86"/>
      <c r="S13" s="86"/>
      <c r="T13" s="86"/>
      <c r="U13" s="86"/>
      <c r="V13" s="86" t="s">
        <v>617</v>
      </c>
      <c r="W13" s="86" t="s">
        <v>617</v>
      </c>
      <c r="X13" s="86"/>
      <c r="Y13" s="86"/>
      <c r="Z13" s="86">
        <f>D5/2</f>
        <v>1976.196255724994</v>
      </c>
      <c r="AA13" s="86">
        <f>D5/2</f>
        <v>1976.196255724994</v>
      </c>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row>
    <row r="15" spans="1:57" x14ac:dyDescent="0.3">
      <c r="B15" s="86"/>
      <c r="C15" s="159"/>
    </row>
    <row r="22" spans="17:26" ht="14.5" x14ac:dyDescent="0.35">
      <c r="Q22" s="111"/>
      <c r="R22" s="111"/>
      <c r="Z22" s="111"/>
    </row>
  </sheetData>
  <mergeCells count="26">
    <mergeCell ref="K3:L3"/>
    <mergeCell ref="M3:N3"/>
    <mergeCell ref="E1:J1"/>
    <mergeCell ref="F2:J2"/>
    <mergeCell ref="E3:G3"/>
    <mergeCell ref="H3:J3"/>
    <mergeCell ref="Z2:AA2"/>
    <mergeCell ref="AB2:AC2"/>
    <mergeCell ref="AD1:AG1"/>
    <mergeCell ref="AH1:AK1"/>
    <mergeCell ref="AH3:AI3"/>
    <mergeCell ref="AJ3:AK3"/>
    <mergeCell ref="Q3:R3"/>
    <mergeCell ref="S3:T3"/>
    <mergeCell ref="Q1:T1"/>
    <mergeCell ref="O2:P2"/>
    <mergeCell ref="U3:V3"/>
    <mergeCell ref="Q2:T2"/>
    <mergeCell ref="U2:X2"/>
    <mergeCell ref="W3:X3"/>
    <mergeCell ref="U1:X1"/>
    <mergeCell ref="B1:C1"/>
    <mergeCell ref="O1:P1"/>
    <mergeCell ref="Z1:AA1"/>
    <mergeCell ref="AB1:AC1"/>
    <mergeCell ref="K1:N1"/>
  </mergeCells>
  <pageMargins left="0.7" right="0.7" top="0.75" bottom="0.75" header="0.3" footer="0.3"/>
  <pageSetup orientation="portrait" horizontalDpi="200" verticalDpi="20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Q81"/>
  <sheetViews>
    <sheetView topLeftCell="R1" zoomScale="80" zoomScaleNormal="80" workbookViewId="0">
      <selection activeCell="Y5" sqref="Y5"/>
    </sheetView>
  </sheetViews>
  <sheetFormatPr defaultColWidth="9" defaultRowHeight="14" x14ac:dyDescent="0.3"/>
  <cols>
    <col min="1" max="1" width="11.5" customWidth="1"/>
    <col min="3" max="3" width="10.83203125" style="4" bestFit="1" customWidth="1"/>
    <col min="4" max="4" width="16.5" customWidth="1"/>
    <col min="5" max="5" width="20.58203125" customWidth="1"/>
    <col min="6" max="6" width="24.33203125" customWidth="1"/>
    <col min="7" max="12" width="12.08203125" customWidth="1"/>
    <col min="13" max="16" width="16.83203125" customWidth="1"/>
    <col min="17" max="17" width="18.08203125" bestFit="1" customWidth="1"/>
    <col min="18" max="18" width="16.58203125" bestFit="1" customWidth="1"/>
    <col min="19" max="19" width="12.83203125" bestFit="1" customWidth="1"/>
    <col min="20" max="20" width="16.75" bestFit="1" customWidth="1"/>
    <col min="21" max="21" width="11.75" bestFit="1" customWidth="1"/>
    <col min="22" max="22" width="25" customWidth="1"/>
    <col min="27" max="28" width="14.75" customWidth="1"/>
    <col min="29" max="29" width="23.08203125" customWidth="1"/>
    <col min="30" max="30" width="12.08203125" customWidth="1"/>
  </cols>
  <sheetData>
    <row r="1" spans="1:34" x14ac:dyDescent="0.3">
      <c r="A1" s="86"/>
      <c r="B1" s="330" t="s">
        <v>88</v>
      </c>
      <c r="C1" s="330"/>
      <c r="D1" s="216" t="s">
        <v>62</v>
      </c>
      <c r="E1" s="338" t="s">
        <v>601</v>
      </c>
      <c r="F1" s="338"/>
      <c r="G1" s="364" t="s">
        <v>600</v>
      </c>
      <c r="H1" s="364"/>
      <c r="I1" s="364"/>
      <c r="J1" s="364"/>
      <c r="K1" s="364"/>
      <c r="L1" s="364"/>
      <c r="M1" s="338" t="s">
        <v>602</v>
      </c>
      <c r="N1" s="338"/>
      <c r="O1" s="338"/>
      <c r="P1" s="338"/>
      <c r="Q1" s="86"/>
      <c r="R1" s="329" t="s">
        <v>432</v>
      </c>
      <c r="S1" s="329"/>
      <c r="T1" s="329" t="s">
        <v>433</v>
      </c>
      <c r="U1" s="329"/>
      <c r="V1" s="214" t="s">
        <v>434</v>
      </c>
      <c r="W1" s="330" t="s">
        <v>435</v>
      </c>
      <c r="X1" s="330"/>
      <c r="Y1" s="330" t="s">
        <v>21</v>
      </c>
      <c r="Z1" s="330"/>
      <c r="AA1" s="329" t="s">
        <v>279</v>
      </c>
      <c r="AB1" s="329"/>
      <c r="AC1" s="329"/>
      <c r="AD1" s="329"/>
      <c r="AE1" s="329" t="s">
        <v>357</v>
      </c>
      <c r="AF1" s="329"/>
      <c r="AG1" s="329"/>
      <c r="AH1" s="329"/>
    </row>
    <row r="2" spans="1:34" x14ac:dyDescent="0.3">
      <c r="A2" s="86"/>
      <c r="B2" s="161" t="s">
        <v>102</v>
      </c>
      <c r="C2" s="161" t="s">
        <v>102</v>
      </c>
      <c r="D2" s="86" t="s">
        <v>61</v>
      </c>
      <c r="E2" s="222"/>
      <c r="F2" s="222"/>
      <c r="G2" s="215"/>
      <c r="H2" s="333" t="s">
        <v>212</v>
      </c>
      <c r="I2" s="333"/>
      <c r="J2" s="333"/>
      <c r="K2" s="333"/>
      <c r="L2" s="334"/>
      <c r="M2" s="333" t="s">
        <v>212</v>
      </c>
      <c r="N2" s="333"/>
      <c r="O2" s="333"/>
      <c r="P2" s="334"/>
      <c r="Q2" s="86" t="s">
        <v>430</v>
      </c>
      <c r="R2" s="330" t="s">
        <v>122</v>
      </c>
      <c r="S2" s="330"/>
      <c r="T2" s="330" t="s">
        <v>122</v>
      </c>
      <c r="U2" s="330"/>
      <c r="V2" s="86" t="s">
        <v>430</v>
      </c>
      <c r="W2" s="330" t="s">
        <v>430</v>
      </c>
      <c r="X2" s="330"/>
      <c r="Y2" s="330" t="s">
        <v>70</v>
      </c>
      <c r="Z2" s="330"/>
      <c r="AA2" s="86" t="s">
        <v>61</v>
      </c>
      <c r="AB2" s="86" t="s">
        <v>61</v>
      </c>
      <c r="AC2" s="86" t="s">
        <v>61</v>
      </c>
      <c r="AD2" s="86" t="s">
        <v>61</v>
      </c>
      <c r="AE2" s="157"/>
      <c r="AF2" s="157"/>
      <c r="AG2" s="157"/>
      <c r="AH2" s="157"/>
    </row>
    <row r="3" spans="1:34" s="1" customFormat="1" x14ac:dyDescent="0.3">
      <c r="A3" s="148" t="s">
        <v>12</v>
      </c>
      <c r="B3" s="148" t="s">
        <v>65</v>
      </c>
      <c r="C3" s="219" t="s">
        <v>15</v>
      </c>
      <c r="D3" s="148"/>
      <c r="E3" s="222" t="s">
        <v>65</v>
      </c>
      <c r="F3" s="222" t="s">
        <v>595</v>
      </c>
      <c r="G3" s="332" t="s">
        <v>65</v>
      </c>
      <c r="H3" s="333"/>
      <c r="I3" s="334"/>
      <c r="J3" s="332" t="s">
        <v>15</v>
      </c>
      <c r="K3" s="333"/>
      <c r="L3" s="334"/>
      <c r="M3" s="333" t="s">
        <v>65</v>
      </c>
      <c r="N3" s="334"/>
      <c r="O3" s="333" t="s">
        <v>15</v>
      </c>
      <c r="P3" s="334"/>
      <c r="Q3" s="148" t="s">
        <v>22</v>
      </c>
      <c r="R3" s="86" t="s">
        <v>65</v>
      </c>
      <c r="S3" s="86" t="s">
        <v>15</v>
      </c>
      <c r="T3" s="86" t="s">
        <v>65</v>
      </c>
      <c r="U3" s="86" t="s">
        <v>15</v>
      </c>
      <c r="V3" s="148" t="s">
        <v>3</v>
      </c>
      <c r="W3" s="148" t="s">
        <v>391</v>
      </c>
      <c r="X3" s="148" t="s">
        <v>331</v>
      </c>
      <c r="Y3" s="148" t="s">
        <v>391</v>
      </c>
      <c r="Z3" s="148" t="s">
        <v>331</v>
      </c>
      <c r="AA3" s="148"/>
      <c r="AB3" s="148"/>
      <c r="AC3" s="148"/>
      <c r="AD3" s="148"/>
      <c r="AE3" s="331"/>
      <c r="AF3" s="331"/>
      <c r="AG3" s="331"/>
      <c r="AH3" s="331"/>
    </row>
    <row r="4" spans="1:34" s="2" customFormat="1" x14ac:dyDescent="0.3">
      <c r="A4" s="215" t="s">
        <v>10</v>
      </c>
      <c r="B4" s="215"/>
      <c r="C4" s="224"/>
      <c r="D4" s="148"/>
      <c r="E4" s="222"/>
      <c r="F4" s="222"/>
      <c r="G4" s="222" t="s">
        <v>116</v>
      </c>
      <c r="H4" s="222" t="s">
        <v>391</v>
      </c>
      <c r="I4" s="222" t="s">
        <v>331</v>
      </c>
      <c r="J4" s="222" t="s">
        <v>116</v>
      </c>
      <c r="K4" s="222" t="s">
        <v>391</v>
      </c>
      <c r="L4" s="222" t="s">
        <v>331</v>
      </c>
      <c r="M4" s="218" t="s">
        <v>391</v>
      </c>
      <c r="N4" s="222" t="s">
        <v>331</v>
      </c>
      <c r="O4" s="218" t="s">
        <v>391</v>
      </c>
      <c r="P4" s="222" t="s">
        <v>331</v>
      </c>
      <c r="Q4" s="215"/>
      <c r="R4" s="215"/>
      <c r="S4" s="215"/>
      <c r="T4" s="215"/>
      <c r="U4" s="215"/>
      <c r="V4" s="215"/>
      <c r="W4" s="215"/>
      <c r="X4" s="215"/>
      <c r="Y4" s="215"/>
      <c r="Z4" s="215"/>
      <c r="AA4" s="215" t="s">
        <v>589</v>
      </c>
      <c r="AB4" s="215" t="s">
        <v>304</v>
      </c>
      <c r="AC4" s="215" t="s">
        <v>356</v>
      </c>
      <c r="AD4" s="215" t="s">
        <v>222</v>
      </c>
      <c r="AE4" s="215" t="s">
        <v>358</v>
      </c>
      <c r="AF4" s="215" t="s">
        <v>355</v>
      </c>
      <c r="AG4" s="215" t="s">
        <v>356</v>
      </c>
      <c r="AH4" s="215" t="s">
        <v>222</v>
      </c>
    </row>
    <row r="5" spans="1:34" s="2" customFormat="1" x14ac:dyDescent="0.3">
      <c r="A5" s="215" t="s">
        <v>11</v>
      </c>
      <c r="B5" s="319">
        <f>D5*E5</f>
        <v>7.8700348237550903</v>
      </c>
      <c r="C5" s="320">
        <f>D5*F5</f>
        <v>7.5665043429291439</v>
      </c>
      <c r="D5" s="259">
        <f>SUM(AA5:AD5)</f>
        <v>1382.8669819193744</v>
      </c>
      <c r="E5" s="241">
        <f>G5</f>
        <v>5.6911003926290423E-3</v>
      </c>
      <c r="F5" s="215">
        <f>J5</f>
        <v>5.4716067719160393E-3</v>
      </c>
      <c r="G5" s="233">
        <f>W5*H5+X5*I5</f>
        <v>5.6911003926290423E-3</v>
      </c>
      <c r="H5" s="215">
        <f>M5*Y5</f>
        <v>7.8632934118709318E-3</v>
      </c>
      <c r="I5" s="215">
        <f>N5*Z5</f>
        <v>2.6914052708188149E-3</v>
      </c>
      <c r="J5" s="215">
        <f>W5*K5+X5*L5</f>
        <v>5.4716067719160393E-3</v>
      </c>
      <c r="K5" s="215">
        <f>O5*Y5</f>
        <v>6.0626776263193226E-3</v>
      </c>
      <c r="L5" s="215">
        <f>P5*Z5</f>
        <v>4.6553660682162679E-3</v>
      </c>
      <c r="M5" s="228">
        <f>MobileData!P80*Q5</f>
        <v>1.1194631548332708E-3</v>
      </c>
      <c r="N5" s="228">
        <f>MobileData!P81*Q5</f>
        <v>3.2007162078540112E-4</v>
      </c>
      <c r="O5" s="228">
        <f>MobileData!S80*Q5</f>
        <v>8.631172546671739E-4</v>
      </c>
      <c r="P5" s="228">
        <f>MobileData!S81*Q5</f>
        <v>5.5363292141804351E-4</v>
      </c>
      <c r="Q5" s="215">
        <v>1</v>
      </c>
      <c r="R5" s="285">
        <f>MobileCall!BK5</f>
        <v>1.1194631548332708E-3</v>
      </c>
      <c r="S5" s="286">
        <f>MobileCall!BQ5</f>
        <v>8.631172546671739E-4</v>
      </c>
      <c r="T5" s="285">
        <f>MobileCall!BW5</f>
        <v>3.2007162078540112E-4</v>
      </c>
      <c r="U5" s="286">
        <f>MobileCall!CC5</f>
        <v>5.5363292141804351E-4</v>
      </c>
      <c r="V5" s="215">
        <v>1</v>
      </c>
      <c r="W5" s="215">
        <f>MobileCall!DB5</f>
        <v>0.57999999999999996</v>
      </c>
      <c r="X5" s="215">
        <f>MobileCall!DC5</f>
        <v>0.42</v>
      </c>
      <c r="Y5" s="225">
        <f>(AE5*MobileData!BP5*MobileCall!FB5+AF5*MobileData!BQ5*MobileCall!FB5+AG5*MobileData!BR5*MobileCall!FB5+AH5*MobileData!BS5*MobileCall!FB5)</f>
        <v>7.0241645541626294</v>
      </c>
      <c r="Z5" s="225">
        <f>(AE5*MobileData!BT5*MobileCall!FC5+AF5*MobileData!BU5*MobileCall!FC5+AG5*MobileData!BV5*MobileCall!FC5+AH5*MobileData!BW5*MobileCall!FC5)</f>
        <v>8.4087594651927144</v>
      </c>
      <c r="AA5" s="268">
        <f>[1]Sheet1!$B$21</f>
        <v>312.74362012396688</v>
      </c>
      <c r="AB5" s="268">
        <f>[1]Sheet1!$B$22</f>
        <v>457.79027948788553</v>
      </c>
      <c r="AC5" s="268">
        <f>[1]Sheet1!$B$23</f>
        <v>612.33308230752209</v>
      </c>
      <c r="AD5" s="268">
        <v>0</v>
      </c>
      <c r="AE5" s="164">
        <f>AA5/D5</f>
        <v>0.22615596743071331</v>
      </c>
      <c r="AF5" s="164">
        <f>AB5/D5</f>
        <v>0.33104433432381725</v>
      </c>
      <c r="AG5" s="164">
        <f>AC5/D5</f>
        <v>0.4427996982454695</v>
      </c>
      <c r="AH5" s="164">
        <f>AD5/D5</f>
        <v>0</v>
      </c>
    </row>
    <row r="6" spans="1:34" s="2" customFormat="1" x14ac:dyDescent="0.3">
      <c r="A6" s="215" t="s">
        <v>28</v>
      </c>
      <c r="B6" s="215"/>
      <c r="C6" s="224"/>
      <c r="D6" s="215"/>
      <c r="E6" s="215"/>
      <c r="F6" s="215"/>
      <c r="G6" s="215"/>
      <c r="H6" s="215"/>
      <c r="I6" s="215"/>
      <c r="J6" s="215"/>
      <c r="K6" s="215"/>
      <c r="L6" s="215"/>
      <c r="M6" s="215"/>
      <c r="N6" s="215"/>
      <c r="O6" s="215"/>
      <c r="P6" s="215"/>
      <c r="Q6" s="215"/>
      <c r="R6" s="215"/>
      <c r="S6" s="215"/>
      <c r="T6" s="215"/>
      <c r="U6" s="215"/>
      <c r="V6" s="215"/>
      <c r="W6" s="215"/>
      <c r="X6" s="215"/>
      <c r="Y6" s="215"/>
      <c r="Z6" s="215"/>
      <c r="AA6" s="86"/>
      <c r="AB6" s="86"/>
      <c r="AC6" s="86"/>
      <c r="AD6" s="86"/>
    </row>
    <row r="7" spans="1:34" ht="14.5" x14ac:dyDescent="0.35">
      <c r="A7" s="86" t="s">
        <v>27</v>
      </c>
      <c r="B7" s="86"/>
      <c r="C7" s="159"/>
      <c r="D7" s="86">
        <v>29.6</v>
      </c>
      <c r="E7" s="86"/>
      <c r="F7" s="86"/>
      <c r="G7" s="86"/>
      <c r="H7" s="86"/>
      <c r="I7" s="86"/>
      <c r="J7" s="86"/>
      <c r="K7" s="86"/>
      <c r="L7" s="86"/>
      <c r="M7" s="86"/>
      <c r="N7" s="86"/>
      <c r="O7" s="86"/>
      <c r="P7" s="86"/>
      <c r="Q7" s="86"/>
      <c r="R7" s="86"/>
      <c r="S7" s="86"/>
      <c r="T7" s="86"/>
      <c r="U7" s="86"/>
      <c r="V7" s="86"/>
      <c r="W7" s="86"/>
      <c r="X7" s="86"/>
      <c r="Y7" s="86"/>
      <c r="Z7" s="86"/>
      <c r="AA7" s="86"/>
      <c r="AB7" s="86"/>
      <c r="AC7" s="86"/>
      <c r="AD7" s="86"/>
      <c r="AE7" s="3" t="s">
        <v>45</v>
      </c>
    </row>
    <row r="8" spans="1:34" ht="14.5" x14ac:dyDescent="0.35">
      <c r="A8" s="86"/>
      <c r="B8" s="86"/>
      <c r="C8" s="159"/>
      <c r="D8" s="86">
        <v>24.3</v>
      </c>
      <c r="E8" s="86"/>
      <c r="F8" s="86"/>
      <c r="G8" s="86"/>
      <c r="H8" s="86"/>
      <c r="I8" s="86"/>
      <c r="J8" s="86"/>
      <c r="K8" s="86"/>
      <c r="L8" s="86"/>
      <c r="M8" s="86"/>
      <c r="N8" s="86"/>
      <c r="O8" s="86"/>
      <c r="P8" s="86"/>
      <c r="Q8" s="86"/>
      <c r="R8" s="86"/>
      <c r="S8" s="86"/>
      <c r="T8" s="86"/>
      <c r="U8" s="86"/>
      <c r="V8" s="86"/>
      <c r="W8" s="86"/>
      <c r="X8" s="86"/>
      <c r="Y8" s="86"/>
      <c r="Z8" s="86"/>
      <c r="AA8" s="86"/>
      <c r="AB8" s="86"/>
      <c r="AC8" s="86"/>
      <c r="AD8" s="86"/>
      <c r="AE8" s="3" t="s">
        <v>31</v>
      </c>
    </row>
    <row r="9" spans="1:34" x14ac:dyDescent="0.3">
      <c r="A9" s="86"/>
      <c r="B9" s="86"/>
      <c r="C9" s="159"/>
      <c r="D9" s="86"/>
      <c r="E9" s="86"/>
      <c r="F9" s="86"/>
      <c r="G9" s="86"/>
      <c r="H9" s="86"/>
      <c r="I9" s="86"/>
      <c r="J9" s="86"/>
      <c r="K9" s="86"/>
      <c r="L9" s="86"/>
      <c r="M9" s="86"/>
      <c r="N9" s="86"/>
      <c r="O9" s="86"/>
      <c r="P9" s="86"/>
      <c r="Q9" s="86"/>
      <c r="R9" s="86"/>
      <c r="S9" s="86"/>
      <c r="T9" s="86"/>
      <c r="U9" s="86"/>
      <c r="V9" s="86"/>
      <c r="W9" s="86"/>
      <c r="X9" s="86"/>
      <c r="Y9" s="86"/>
      <c r="Z9" s="86"/>
      <c r="AA9" s="86"/>
      <c r="AB9" s="86"/>
      <c r="AC9" s="86" t="s">
        <v>436</v>
      </c>
      <c r="AD9" s="86"/>
      <c r="AE9" t="s">
        <v>46</v>
      </c>
    </row>
    <row r="10" spans="1:34" ht="14.5" x14ac:dyDescent="0.35">
      <c r="A10" s="86"/>
      <c r="B10" s="86"/>
      <c r="C10" s="159"/>
      <c r="D10" s="86"/>
      <c r="E10" s="86"/>
      <c r="F10" s="86"/>
      <c r="G10" s="86"/>
      <c r="H10" s="86"/>
      <c r="I10" s="86"/>
      <c r="J10" s="86"/>
      <c r="K10" s="86"/>
      <c r="L10" s="86"/>
      <c r="M10" s="86"/>
      <c r="N10" s="86"/>
      <c r="O10" s="86"/>
      <c r="P10" s="86"/>
      <c r="Q10" s="86"/>
      <c r="R10" s="86"/>
      <c r="S10" s="86"/>
      <c r="T10" s="86"/>
      <c r="U10" s="86"/>
      <c r="V10" s="86"/>
      <c r="W10" s="86"/>
      <c r="X10" s="86"/>
      <c r="Y10" s="86" t="s">
        <v>593</v>
      </c>
      <c r="Z10" s="86" t="s">
        <v>593</v>
      </c>
      <c r="AA10" s="86"/>
      <c r="AB10" s="86"/>
      <c r="AC10" s="86"/>
      <c r="AD10" s="86"/>
      <c r="AE10" s="3"/>
    </row>
    <row r="11" spans="1:34" ht="14.5" x14ac:dyDescent="0.35">
      <c r="A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t="s">
        <v>285</v>
      </c>
      <c r="AD11" s="86"/>
      <c r="AE11" s="3"/>
    </row>
    <row r="12" spans="1:34" ht="14.5" x14ac:dyDescent="0.35">
      <c r="G12" s="86"/>
      <c r="H12" s="86"/>
      <c r="I12" s="86"/>
      <c r="J12" s="86"/>
      <c r="K12" s="86"/>
      <c r="L12" s="86"/>
      <c r="M12" s="86"/>
      <c r="N12" s="86"/>
      <c r="O12" s="86"/>
      <c r="P12" s="86"/>
      <c r="AE12" s="3"/>
    </row>
    <row r="13" spans="1:34" ht="14.5" x14ac:dyDescent="0.35">
      <c r="G13" s="86"/>
      <c r="H13" s="86"/>
      <c r="I13" s="86"/>
      <c r="J13" s="86"/>
      <c r="K13" s="86"/>
      <c r="L13" s="86"/>
      <c r="M13" s="86"/>
      <c r="N13" s="86"/>
      <c r="O13" s="86"/>
      <c r="P13" s="86"/>
      <c r="AE13" s="3"/>
    </row>
    <row r="14" spans="1:34" ht="14.5" x14ac:dyDescent="0.35">
      <c r="AE14" s="3"/>
    </row>
    <row r="15" spans="1:34" ht="14.5" x14ac:dyDescent="0.35">
      <c r="B15" s="86" t="s">
        <v>546</v>
      </c>
      <c r="C15" s="159" t="s">
        <v>547</v>
      </c>
      <c r="AE15" s="3"/>
    </row>
    <row r="16" spans="1:34" ht="14.5" x14ac:dyDescent="0.35">
      <c r="AE16" s="3"/>
    </row>
    <row r="17" spans="29:31" ht="14.5" x14ac:dyDescent="0.35">
      <c r="AE17" s="3"/>
    </row>
    <row r="18" spans="29:31" ht="14.5" x14ac:dyDescent="0.35">
      <c r="AE18" s="3"/>
    </row>
    <row r="30" spans="29:31" ht="14.5" x14ac:dyDescent="0.35">
      <c r="AC30" s="111"/>
      <c r="AD30" s="111"/>
    </row>
    <row r="34" spans="43:43" x14ac:dyDescent="0.3">
      <c r="AQ34" s="107"/>
    </row>
    <row r="35" spans="43:43" x14ac:dyDescent="0.3">
      <c r="AQ35" s="107"/>
    </row>
    <row r="75" spans="7:11" x14ac:dyDescent="0.3">
      <c r="I75" s="359" t="s">
        <v>595</v>
      </c>
      <c r="J75" s="359"/>
      <c r="K75" s="360"/>
    </row>
    <row r="76" spans="7:11" x14ac:dyDescent="0.3">
      <c r="G76" s="206" t="s">
        <v>609</v>
      </c>
      <c r="H76" s="206" t="s">
        <v>394</v>
      </c>
      <c r="I76" s="206" t="s">
        <v>113</v>
      </c>
      <c r="J76" s="206" t="s">
        <v>609</v>
      </c>
      <c r="K76" s="207" t="s">
        <v>614</v>
      </c>
    </row>
    <row r="77" spans="7:11" x14ac:dyDescent="0.3">
      <c r="G77" s="209">
        <f>MobileCall!FK29*EN5+MobileCall!FM29*EP5</f>
        <v>0</v>
      </c>
      <c r="H77" s="2">
        <f>MobileCall!AR42</f>
        <v>0</v>
      </c>
      <c r="I77" s="2">
        <v>0</v>
      </c>
      <c r="J77" s="2">
        <f>MobileCall!FK29*EW5+MobileCall!FM29*EY5</f>
        <v>0</v>
      </c>
      <c r="K77" s="210">
        <f>MobileCall!T37</f>
        <v>1.275783164274402E-3</v>
      </c>
    </row>
    <row r="78" spans="7:11" x14ac:dyDescent="0.3">
      <c r="G78" s="209">
        <f>MobileCall!FI30*EL5+MobileCall!FJ30*EM5+MobileCall!FK30*EN5+MobileCall!FL30*EO5+MobileCall!FM30*EP5+MobileCall!FN30*ER5</f>
        <v>0</v>
      </c>
      <c r="H78" s="2">
        <f>MobileCall!AR43</f>
        <v>0</v>
      </c>
      <c r="I78" s="2">
        <v>0</v>
      </c>
      <c r="J78" s="2">
        <f>MobileCall!FI30*EU5+MobileCall!FJ30*EV5+MobileCall!FK30*EW5+MobileCall!FL30*EX5+MobileCall!FM30*EY5+MobileCall!FN30*FA5</f>
        <v>0</v>
      </c>
      <c r="K78" s="210">
        <f>MobileCall!T38</f>
        <v>1.2000649609297726E-3</v>
      </c>
    </row>
    <row r="79" spans="7:11" x14ac:dyDescent="0.3">
      <c r="G79" s="209">
        <f>ES5</f>
        <v>0</v>
      </c>
      <c r="H79" s="2">
        <f>MobileCall!AR44</f>
        <v>0</v>
      </c>
      <c r="I79" s="2">
        <v>0</v>
      </c>
      <c r="J79" s="2">
        <f>FB5</f>
        <v>0</v>
      </c>
      <c r="K79" s="210">
        <f>MobileCall!T39</f>
        <v>2.2368506342184441E-4</v>
      </c>
    </row>
    <row r="80" spans="7:11" x14ac:dyDescent="0.3">
      <c r="G80" s="211">
        <f>EQ5</f>
        <v>0</v>
      </c>
      <c r="H80" s="2" t="e">
        <f>MobileCall!#REF!</f>
        <v>#REF!</v>
      </c>
      <c r="I80" s="2">
        <v>0</v>
      </c>
      <c r="J80" s="2">
        <f>EZ5</f>
        <v>0</v>
      </c>
      <c r="K80" s="210">
        <f>MobileCall!BJ5</f>
        <v>3.7289034782833717E-4</v>
      </c>
    </row>
    <row r="81" spans="7:11" x14ac:dyDescent="0.3">
      <c r="G81" s="201">
        <f>ET5</f>
        <v>0</v>
      </c>
      <c r="H81" s="1">
        <f>MobileCall!BP5</f>
        <v>2.378039682414929E-3</v>
      </c>
      <c r="I81" s="1">
        <v>0</v>
      </c>
      <c r="J81" s="1">
        <f>FC5</f>
        <v>0</v>
      </c>
      <c r="K81" s="202">
        <f>MobileCall!BV5</f>
        <v>1.0658385428489224E-4</v>
      </c>
    </row>
  </sheetData>
  <mergeCells count="23">
    <mergeCell ref="AE1:AH1"/>
    <mergeCell ref="AE3:AF3"/>
    <mergeCell ref="AG3:AH3"/>
    <mergeCell ref="I75:K75"/>
    <mergeCell ref="G1:L1"/>
    <mergeCell ref="AA1:AD1"/>
    <mergeCell ref="M3:N3"/>
    <mergeCell ref="O3:P3"/>
    <mergeCell ref="M1:P1"/>
    <mergeCell ref="J3:L3"/>
    <mergeCell ref="H2:L2"/>
    <mergeCell ref="G3:I3"/>
    <mergeCell ref="R2:S2"/>
    <mergeCell ref="T2:U2"/>
    <mergeCell ref="Y2:Z2"/>
    <mergeCell ref="W2:X2"/>
    <mergeCell ref="M2:P2"/>
    <mergeCell ref="B1:C1"/>
    <mergeCell ref="W1:X1"/>
    <mergeCell ref="Y1:Z1"/>
    <mergeCell ref="T1:U1"/>
    <mergeCell ref="R1:S1"/>
    <mergeCell ref="E1:F1"/>
  </mergeCells>
  <pageMargins left="0.7" right="0.7" top="0.75" bottom="0.75" header="0.3" footer="0.3"/>
  <pageSetup orientation="portrait" horizontalDpi="200" verticalDpi="200"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Z53"/>
  <sheetViews>
    <sheetView tabSelected="1" topLeftCell="Y24" zoomScale="85" zoomScaleNormal="100" workbookViewId="0">
      <selection activeCell="AI50" sqref="AI50"/>
    </sheetView>
  </sheetViews>
  <sheetFormatPr defaultColWidth="9" defaultRowHeight="14" x14ac:dyDescent="0.3"/>
  <cols>
    <col min="1" max="1" width="9" style="86"/>
    <col min="2" max="2" width="12.33203125" style="86" customWidth="1"/>
    <col min="3" max="3" width="10.25" style="159" customWidth="1"/>
    <col min="4" max="6" width="10.25" style="86" customWidth="1"/>
    <col min="7" max="7" width="12.75" style="86" bestFit="1" customWidth="1"/>
    <col min="8" max="8" width="10.58203125" style="86" bestFit="1" customWidth="1"/>
    <col min="9" max="9" width="19.58203125" style="86" bestFit="1" customWidth="1"/>
    <col min="10" max="10" width="12.83203125" style="86" customWidth="1"/>
    <col min="11" max="12" width="9" style="86"/>
    <col min="13" max="13" width="7.5" style="86" customWidth="1"/>
    <col min="14" max="16" width="9" style="86" customWidth="1"/>
    <col min="17" max="17" width="8.5" style="86" customWidth="1"/>
    <col min="18" max="19" width="9" style="86" customWidth="1"/>
    <col min="20" max="20" width="11.08203125" style="86" customWidth="1"/>
    <col min="21" max="23" width="9" style="86" customWidth="1"/>
    <col min="24" max="25" width="13.5" style="86" customWidth="1"/>
    <col min="26" max="28" width="9" style="86" customWidth="1"/>
    <col min="29" max="29" width="10" style="86" customWidth="1"/>
    <col min="30" max="30" width="10.75" style="86" bestFit="1" customWidth="1"/>
    <col min="31" max="31" width="12.33203125" style="86" bestFit="1" customWidth="1"/>
    <col min="32" max="32" width="12.25" style="86" bestFit="1" customWidth="1"/>
    <col min="33" max="33" width="12.25" style="86" customWidth="1"/>
    <col min="34" max="34" width="15.75" style="86" bestFit="1" customWidth="1"/>
    <col min="35" max="35" width="12.25" style="86" customWidth="1"/>
    <col min="36" max="39" width="11.75" style="86" bestFit="1" customWidth="1"/>
    <col min="40" max="40" width="9" style="86"/>
    <col min="41" max="41" width="10.08203125" style="86" bestFit="1" customWidth="1"/>
    <col min="42" max="42" width="9" style="86"/>
    <col min="43" max="43" width="10.08203125" style="86" bestFit="1" customWidth="1"/>
    <col min="44" max="44" width="6.83203125" style="86" customWidth="1"/>
    <col min="45" max="57" width="9" style="86"/>
    <col min="58" max="66" width="11.75" style="86" bestFit="1" customWidth="1"/>
    <col min="67" max="76" width="11.08203125" style="86" bestFit="1" customWidth="1"/>
    <col min="77" max="16384" width="9" style="86"/>
  </cols>
  <sheetData>
    <row r="1" spans="1:78" x14ac:dyDescent="0.3">
      <c r="B1" s="330" t="s">
        <v>89</v>
      </c>
      <c r="C1" s="330"/>
      <c r="D1" s="214" t="s">
        <v>62</v>
      </c>
      <c r="E1" s="329" t="s">
        <v>621</v>
      </c>
      <c r="F1" s="329"/>
      <c r="G1" s="329" t="s">
        <v>622</v>
      </c>
      <c r="H1" s="329"/>
      <c r="I1" s="214" t="s">
        <v>448</v>
      </c>
      <c r="J1" s="329" t="s">
        <v>438</v>
      </c>
      <c r="K1" s="329"/>
      <c r="L1" s="329"/>
      <c r="M1" s="329"/>
      <c r="N1" s="329" t="s">
        <v>447</v>
      </c>
      <c r="O1" s="329"/>
      <c r="P1" s="329"/>
      <c r="Q1" s="329"/>
      <c r="R1" s="329" t="s">
        <v>449</v>
      </c>
      <c r="S1" s="329"/>
      <c r="T1" s="329"/>
      <c r="U1" s="329"/>
      <c r="V1" s="329"/>
      <c r="W1" s="329"/>
      <c r="X1" s="329"/>
      <c r="Y1" s="329"/>
      <c r="Z1" s="329"/>
      <c r="AA1" s="329"/>
      <c r="AB1" s="329"/>
      <c r="AC1" s="329"/>
      <c r="AD1" s="329" t="s">
        <v>450</v>
      </c>
      <c r="AE1" s="329"/>
      <c r="AF1" s="329"/>
      <c r="AG1" s="329"/>
      <c r="AH1" s="329"/>
      <c r="AI1" s="329"/>
      <c r="AJ1" s="329"/>
      <c r="AK1" s="329"/>
      <c r="AL1" s="329"/>
      <c r="AM1" s="329"/>
      <c r="AN1" s="329" t="s">
        <v>103</v>
      </c>
      <c r="AO1" s="329"/>
      <c r="AP1" s="329"/>
      <c r="AQ1" s="329"/>
      <c r="AR1" s="329" t="s">
        <v>103</v>
      </c>
      <c r="AS1" s="329"/>
      <c r="AT1" s="329"/>
      <c r="AU1" s="330" t="s">
        <v>365</v>
      </c>
      <c r="AV1" s="330"/>
      <c r="AW1" s="330"/>
      <c r="AX1" s="330"/>
      <c r="AY1" s="330"/>
      <c r="AZ1" s="330"/>
      <c r="BA1" s="330"/>
      <c r="BB1" s="330"/>
      <c r="BC1" s="330"/>
      <c r="BD1" s="330"/>
      <c r="BE1" s="329" t="s">
        <v>4</v>
      </c>
      <c r="BF1" s="329"/>
      <c r="BG1" s="329"/>
      <c r="BH1" s="329"/>
      <c r="BI1" s="329"/>
      <c r="BJ1" s="329"/>
      <c r="BK1" s="329"/>
      <c r="BL1" s="329"/>
      <c r="BM1" s="329"/>
      <c r="BN1" s="329"/>
      <c r="BO1" s="329"/>
      <c r="BP1" s="329"/>
      <c r="BQ1" s="329"/>
      <c r="BR1" s="329"/>
      <c r="BS1" s="329"/>
      <c r="BT1" s="329"/>
      <c r="BU1" s="329"/>
      <c r="BV1" s="329"/>
      <c r="BW1" s="329"/>
      <c r="BX1" s="329"/>
    </row>
    <row r="2" spans="1:78" x14ac:dyDescent="0.3">
      <c r="B2" s="161" t="s">
        <v>102</v>
      </c>
      <c r="C2" s="161" t="s">
        <v>102</v>
      </c>
      <c r="D2" s="86" t="s">
        <v>61</v>
      </c>
      <c r="E2" s="330" t="s">
        <v>694</v>
      </c>
      <c r="F2" s="330"/>
      <c r="G2" s="330" t="s">
        <v>693</v>
      </c>
      <c r="H2" s="330"/>
      <c r="I2" s="86" t="s">
        <v>78</v>
      </c>
      <c r="J2" s="330" t="s">
        <v>61</v>
      </c>
      <c r="K2" s="330"/>
      <c r="L2" s="330"/>
      <c r="M2" s="330"/>
      <c r="N2" s="330"/>
      <c r="O2" s="330"/>
      <c r="P2" s="330"/>
      <c r="Q2" s="330"/>
      <c r="R2" s="330" t="s">
        <v>440</v>
      </c>
      <c r="S2" s="330"/>
      <c r="T2" s="330" t="s">
        <v>107</v>
      </c>
      <c r="U2" s="330"/>
      <c r="V2" s="330" t="s">
        <v>441</v>
      </c>
      <c r="W2" s="330"/>
      <c r="X2" s="330" t="s">
        <v>290</v>
      </c>
      <c r="Y2" s="330"/>
      <c r="Z2" s="330" t="s">
        <v>442</v>
      </c>
      <c r="AA2" s="330"/>
      <c r="AB2" s="330" t="s">
        <v>81</v>
      </c>
      <c r="AC2" s="330"/>
      <c r="AD2" s="330" t="s">
        <v>78</v>
      </c>
      <c r="AE2" s="330"/>
      <c r="AF2" s="330"/>
      <c r="AG2" s="330"/>
      <c r="AH2" s="330"/>
      <c r="AI2" s="330"/>
      <c r="AJ2" s="330"/>
      <c r="AK2" s="330"/>
      <c r="AL2" s="330"/>
      <c r="AM2" s="330"/>
      <c r="AN2" s="330" t="s">
        <v>439</v>
      </c>
      <c r="AO2" s="330"/>
      <c r="AP2" s="330" t="s">
        <v>445</v>
      </c>
      <c r="AQ2" s="330"/>
      <c r="AR2" s="330" t="s">
        <v>78</v>
      </c>
      <c r="AS2" s="330"/>
      <c r="AT2" s="330"/>
      <c r="AU2" s="330" t="s">
        <v>430</v>
      </c>
      <c r="AV2" s="330"/>
      <c r="AW2" s="330"/>
      <c r="AX2" s="330"/>
      <c r="AY2" s="330"/>
      <c r="AZ2" s="330"/>
      <c r="BA2" s="330"/>
      <c r="BB2" s="330"/>
      <c r="BC2" s="330"/>
      <c r="BD2" s="330"/>
      <c r="BE2" s="330" t="s">
        <v>693</v>
      </c>
      <c r="BF2" s="330"/>
      <c r="BG2" s="330"/>
      <c r="BH2" s="330"/>
      <c r="BI2" s="330"/>
      <c r="BJ2" s="330"/>
      <c r="BK2" s="330"/>
      <c r="BL2" s="330"/>
      <c r="BM2" s="330"/>
      <c r="BN2" s="330"/>
      <c r="BO2" s="330"/>
      <c r="BP2" s="330"/>
      <c r="BQ2" s="330"/>
      <c r="BR2" s="330"/>
      <c r="BS2" s="330"/>
      <c r="BT2" s="330"/>
      <c r="BU2" s="330"/>
      <c r="BV2" s="330"/>
      <c r="BW2" s="330"/>
      <c r="BX2" s="330"/>
    </row>
    <row r="3" spans="1:78" s="148" customFormat="1" x14ac:dyDescent="0.3">
      <c r="A3" s="148" t="s">
        <v>108</v>
      </c>
      <c r="B3" s="148" t="s">
        <v>65</v>
      </c>
      <c r="C3" s="219" t="s">
        <v>15</v>
      </c>
      <c r="E3" s="148" t="s">
        <v>14</v>
      </c>
      <c r="F3" s="148" t="s">
        <v>15</v>
      </c>
      <c r="G3" s="148" t="s">
        <v>14</v>
      </c>
      <c r="H3" s="148" t="s">
        <v>15</v>
      </c>
      <c r="J3" s="86" t="s">
        <v>439</v>
      </c>
      <c r="K3" s="86" t="s">
        <v>74</v>
      </c>
      <c r="L3" s="86" t="s">
        <v>445</v>
      </c>
      <c r="M3" s="86" t="s">
        <v>26</v>
      </c>
      <c r="N3" s="86" t="s">
        <v>439</v>
      </c>
      <c r="O3" s="86" t="s">
        <v>74</v>
      </c>
      <c r="P3" s="86" t="s">
        <v>445</v>
      </c>
      <c r="Q3" s="86" t="s">
        <v>26</v>
      </c>
      <c r="S3" s="148" t="s">
        <v>1</v>
      </c>
      <c r="U3" s="148" t="s">
        <v>1</v>
      </c>
      <c r="V3" s="148" t="s">
        <v>1</v>
      </c>
      <c r="X3" s="148" t="s">
        <v>1</v>
      </c>
      <c r="AA3" s="148" t="s">
        <v>1</v>
      </c>
      <c r="AC3" s="148" t="s">
        <v>1</v>
      </c>
      <c r="AD3" s="86" t="s">
        <v>440</v>
      </c>
      <c r="AE3" s="86" t="s">
        <v>72</v>
      </c>
      <c r="AF3" s="86" t="s">
        <v>107</v>
      </c>
      <c r="AG3" s="86" t="s">
        <v>441</v>
      </c>
      <c r="AH3" s="86" t="s">
        <v>289</v>
      </c>
      <c r="AI3" s="86" t="s">
        <v>290</v>
      </c>
      <c r="AJ3" s="86" t="s">
        <v>442</v>
      </c>
      <c r="AK3" s="86" t="s">
        <v>73</v>
      </c>
      <c r="AL3" s="86" t="s">
        <v>81</v>
      </c>
      <c r="AM3" s="86" t="s">
        <v>26</v>
      </c>
      <c r="AO3" s="148" t="s">
        <v>1</v>
      </c>
      <c r="AQ3" s="148" t="s">
        <v>1</v>
      </c>
      <c r="AR3" s="331"/>
      <c r="AS3" s="331"/>
      <c r="AU3" s="148" t="s">
        <v>424</v>
      </c>
      <c r="AV3" s="148">
        <v>700</v>
      </c>
      <c r="AW3" s="148">
        <v>800</v>
      </c>
      <c r="AX3" s="148">
        <v>900</v>
      </c>
      <c r="AY3" s="148">
        <v>1800</v>
      </c>
      <c r="AZ3" s="148">
        <v>2100</v>
      </c>
      <c r="BA3" s="148">
        <v>2450</v>
      </c>
      <c r="BB3" s="148">
        <v>2600</v>
      </c>
      <c r="BC3" s="148">
        <v>3500</v>
      </c>
      <c r="BD3" s="148">
        <v>5000</v>
      </c>
      <c r="BE3" s="331" t="s">
        <v>65</v>
      </c>
      <c r="BF3" s="331"/>
      <c r="BG3" s="331"/>
      <c r="BH3" s="331"/>
      <c r="BI3" s="331"/>
      <c r="BJ3" s="331"/>
      <c r="BK3" s="331"/>
      <c r="BL3" s="331"/>
      <c r="BM3" s="331"/>
      <c r="BN3" s="331"/>
      <c r="BO3" s="331" t="s">
        <v>15</v>
      </c>
      <c r="BP3" s="331"/>
      <c r="BQ3" s="331"/>
      <c r="BR3" s="331"/>
      <c r="BS3" s="331"/>
      <c r="BT3" s="331"/>
      <c r="BU3" s="331"/>
      <c r="BV3" s="331"/>
      <c r="BW3" s="331"/>
      <c r="BX3" s="331"/>
      <c r="BY3" s="148" t="s">
        <v>9</v>
      </c>
      <c r="BZ3" s="148" t="s">
        <v>16</v>
      </c>
    </row>
    <row r="4" spans="1:78" s="215" customFormat="1" x14ac:dyDescent="0.3">
      <c r="A4" s="215" t="s">
        <v>10</v>
      </c>
      <c r="C4" s="224"/>
      <c r="R4" s="215" t="s">
        <v>104</v>
      </c>
      <c r="S4" s="215" t="s">
        <v>106</v>
      </c>
      <c r="T4" s="215" t="s">
        <v>104</v>
      </c>
      <c r="U4" s="215" t="s">
        <v>106</v>
      </c>
      <c r="V4" s="215" t="s">
        <v>104</v>
      </c>
      <c r="W4" s="215" t="s">
        <v>106</v>
      </c>
      <c r="X4" s="215" t="s">
        <v>104</v>
      </c>
      <c r="Y4" s="215" t="s">
        <v>106</v>
      </c>
      <c r="Z4" s="215" t="s">
        <v>104</v>
      </c>
      <c r="AA4" s="215" t="s">
        <v>106</v>
      </c>
      <c r="AB4" s="215" t="s">
        <v>104</v>
      </c>
      <c r="AC4" s="215" t="s">
        <v>106</v>
      </c>
      <c r="AN4" s="215" t="s">
        <v>104</v>
      </c>
      <c r="AO4" s="215" t="s">
        <v>105</v>
      </c>
      <c r="AP4" s="215" t="s">
        <v>104</v>
      </c>
      <c r="AQ4" s="215" t="s">
        <v>105</v>
      </c>
      <c r="AR4" s="215" t="s">
        <v>111</v>
      </c>
      <c r="AS4" s="215" t="s">
        <v>124</v>
      </c>
      <c r="AT4" s="215" t="s">
        <v>288</v>
      </c>
      <c r="BE4" s="148" t="s">
        <v>424</v>
      </c>
      <c r="BF4" s="148">
        <v>700</v>
      </c>
      <c r="BG4" s="148">
        <v>800</v>
      </c>
      <c r="BH4" s="148">
        <v>900</v>
      </c>
      <c r="BI4" s="148">
        <v>1800</v>
      </c>
      <c r="BJ4" s="148">
        <v>2100</v>
      </c>
      <c r="BK4" s="148">
        <v>2450</v>
      </c>
      <c r="BL4" s="148">
        <v>2600</v>
      </c>
      <c r="BM4" s="148">
        <v>3500</v>
      </c>
      <c r="BN4" s="148">
        <v>5000</v>
      </c>
      <c r="BO4" s="148" t="s">
        <v>424</v>
      </c>
      <c r="BP4" s="148">
        <v>700</v>
      </c>
      <c r="BQ4" s="148">
        <v>800</v>
      </c>
      <c r="BR4" s="148">
        <v>900</v>
      </c>
      <c r="BS4" s="148">
        <v>1800</v>
      </c>
      <c r="BT4" s="148">
        <v>2100</v>
      </c>
      <c r="BU4" s="148">
        <v>2450</v>
      </c>
      <c r="BV4" s="148">
        <v>2600</v>
      </c>
      <c r="BW4" s="148">
        <v>3500</v>
      </c>
      <c r="BX4" s="148">
        <v>5000</v>
      </c>
    </row>
    <row r="5" spans="1:78" s="215" customFormat="1" x14ac:dyDescent="0.3">
      <c r="A5" s="215" t="s">
        <v>11</v>
      </c>
      <c r="B5" s="319">
        <f>D5*E5</f>
        <v>162.57838938779355</v>
      </c>
      <c r="C5" s="320">
        <f>D5*F5</f>
        <v>136.02053352453879</v>
      </c>
      <c r="D5" s="215">
        <f>SUM(J5:M5)</f>
        <v>86400.000000000015</v>
      </c>
      <c r="E5" s="215">
        <f>G5*I5</f>
        <v>1.8816943216179805E-3</v>
      </c>
      <c r="F5" s="215">
        <f>H5*I5</f>
        <v>1.5743117306080876E-3</v>
      </c>
      <c r="G5" s="215">
        <f>AU5*BE5+AV5*BF5+AW5*BG5+AX5*BH5+AY5*BI5+AZ5*BJ5+BA5*BK5+BB5*BL5+BC5*BM5+BD5*BN5</f>
        <v>5.4913151591311042E-3</v>
      </c>
      <c r="H5" s="215">
        <f>AU5*BE5+AV5*BP5+AW5*BQ5+AX5*BR5+AY5*BS5+AZ5*BT5+BA5*BU5+BB5*BV5+BC5*BW5+BD5*BX5</f>
        <v>4.5942859964909974E-3</v>
      </c>
      <c r="I5" s="225">
        <f>(N5*S5*AD5)+(N5*AA5*AJ5)+(N5*V5*AG5)+(O5*S5*AE5)+(O5*V5*AH5)+(O5*AA5*AL5)+(P5*U5*AF5)+(P5*X5*AI5)+(P5*AC5*AK5)+(Q5*AM5)</f>
        <v>0.3426673332505874</v>
      </c>
      <c r="J5" s="215">
        <f>(24*60*60)-K5-L5-M5</f>
        <v>59349.948849104861</v>
      </c>
      <c r="K5" s="215">
        <f>K8*60*60</f>
        <v>7200</v>
      </c>
      <c r="L5" s="215">
        <f>L9*60*60</f>
        <v>18000</v>
      </c>
      <c r="M5" s="291">
        <f>[1]Sheet1!$B$3</f>
        <v>1850.0511508951411</v>
      </c>
      <c r="N5" s="225">
        <f>J5/D5</f>
        <v>0.68692070427204688</v>
      </c>
      <c r="O5" s="225">
        <f>K5/D5</f>
        <v>8.3333333333333315E-2</v>
      </c>
      <c r="P5" s="225">
        <f>L5/D5</f>
        <v>0.20833333333333329</v>
      </c>
      <c r="Q5" s="225">
        <f>M5/D5</f>
        <v>2.141262906128635E-2</v>
      </c>
      <c r="R5" s="215">
        <v>1</v>
      </c>
      <c r="S5" s="215">
        <v>0</v>
      </c>
      <c r="T5" s="215">
        <v>1</v>
      </c>
      <c r="U5" s="215">
        <v>0</v>
      </c>
      <c r="V5" s="215">
        <v>1</v>
      </c>
      <c r="W5" s="215">
        <v>0</v>
      </c>
      <c r="X5" s="215">
        <v>1</v>
      </c>
      <c r="Y5" s="215">
        <v>0</v>
      </c>
      <c r="Z5" s="215">
        <v>1</v>
      </c>
      <c r="AA5" s="215">
        <v>0</v>
      </c>
      <c r="AB5" s="215">
        <v>1</v>
      </c>
      <c r="AC5" s="215">
        <v>0</v>
      </c>
      <c r="AD5" s="242">
        <v>0.44845924772604401</v>
      </c>
      <c r="AE5" s="242">
        <v>1.2933705983103692</v>
      </c>
      <c r="AF5" s="242">
        <v>0.63857307083118808</v>
      </c>
      <c r="AG5" s="242">
        <v>0.26831997862648488</v>
      </c>
      <c r="AH5" s="242">
        <v>0.77384327127703989</v>
      </c>
      <c r="AI5" s="242">
        <v>0.38316990719799465</v>
      </c>
      <c r="AJ5" s="242">
        <v>8.8180709526925929E-2</v>
      </c>
      <c r="AK5" s="242">
        <v>0.25431594424371079</v>
      </c>
      <c r="AL5" s="242">
        <v>0.12776674356480131</v>
      </c>
      <c r="AM5" s="243">
        <v>0.65563090124859691</v>
      </c>
      <c r="AN5" s="215">
        <v>1</v>
      </c>
      <c r="AO5" s="215">
        <v>0</v>
      </c>
      <c r="AP5" s="215">
        <v>1</v>
      </c>
      <c r="AQ5" s="215">
        <v>0</v>
      </c>
      <c r="AR5" s="215">
        <f>((SQRT(AR18^2+AR19^2+AR14^2))^2/377)*1000</f>
        <v>2.0541114058355436</v>
      </c>
      <c r="AS5" s="215">
        <f>((SQRT(AS15^2+AS14^2+AS20^2))^2/377)*1000</f>
        <v>1.1554376657824934</v>
      </c>
      <c r="AT5" s="215">
        <f>((SQRT(AT16^2+AT14^2+AT20^2))^2/377)*1000</f>
        <v>0.66312997347480107</v>
      </c>
      <c r="AU5" s="270">
        <v>0.08</v>
      </c>
      <c r="AV5" s="270">
        <v>0.04</v>
      </c>
      <c r="AW5" s="273">
        <v>0.15</v>
      </c>
      <c r="AX5" s="270">
        <v>0.17</v>
      </c>
      <c r="AY5" s="270">
        <v>0.23</v>
      </c>
      <c r="AZ5" s="270">
        <v>0.15</v>
      </c>
      <c r="BA5" s="270">
        <v>0.02</v>
      </c>
      <c r="BB5" s="270">
        <v>7.0000000000000007E-2</v>
      </c>
      <c r="BC5" s="270">
        <v>7.0000000000000007E-2</v>
      </c>
      <c r="BD5" s="270">
        <v>0.02</v>
      </c>
      <c r="BE5" s="270">
        <f>[2]Sheet1!$M$2</f>
        <v>6.3492631905124608E-3</v>
      </c>
      <c r="BF5" s="270">
        <f>[2]Sheet1!$L$5</f>
        <v>8.4106059802034824E-3</v>
      </c>
      <c r="BG5" s="270">
        <f>[2]Sheet1!$L$6</f>
        <v>8.6691143973678143E-3</v>
      </c>
      <c r="BH5" s="270">
        <f>[2]Sheet1!$L$7</f>
        <v>8.7110652241486723E-3</v>
      </c>
      <c r="BI5" s="270">
        <f>[2]Sheet1!$L$8</f>
        <v>4.4534376950091954E-3</v>
      </c>
      <c r="BJ5" s="270">
        <f>[2]Sheet1!$L$9</f>
        <v>3.4089009823195567E-3</v>
      </c>
      <c r="BK5" s="270">
        <f>[2]Sheet1!$L$10</f>
        <v>2.618189232664333E-3</v>
      </c>
      <c r="BL5" s="270">
        <f>[2]Sheet1!$L$11</f>
        <v>2.3785686061420369E-3</v>
      </c>
      <c r="BM5" s="270">
        <f>[2]Sheet1!$L$12</f>
        <v>1.4298365803813808E-3</v>
      </c>
      <c r="BN5" s="270">
        <f>[2]Sheet1!$L$13</f>
        <v>5.5618260307735185E-4</v>
      </c>
      <c r="BO5" s="431">
        <f>[3]Sheet1!$M$2</f>
        <v>6.8286363961111126E-3</v>
      </c>
      <c r="BP5" s="431">
        <f>[3]Sheet1!$L$5</f>
        <v>5.6272612825000014E-3</v>
      </c>
      <c r="BQ5" s="431">
        <f>[3]Sheet1!$L$6</f>
        <v>5.4880185316666672E-3</v>
      </c>
      <c r="BR5" s="431">
        <f>[3]Sheet1!$L$7</f>
        <v>5.3320621141666677E-3</v>
      </c>
      <c r="BS5" s="431">
        <f>[3]Sheet1!$L$8</f>
        <v>4.2387457775000005E-3</v>
      </c>
      <c r="BT5" s="431">
        <f>[3]Sheet1!$L$9</f>
        <v>3.9545999350000006E-3</v>
      </c>
      <c r="BU5" s="431">
        <f>[3]Sheet1!$L$10</f>
        <v>3.5596547350000003E-3</v>
      </c>
      <c r="BV5" s="431">
        <f>[3]Sheet1!$L$11</f>
        <v>3.4417504983333337E-3</v>
      </c>
      <c r="BW5" s="431">
        <f>[3]Sheet1!$L$12</f>
        <v>2.9049747566666671E-3</v>
      </c>
      <c r="BX5" s="431">
        <f>[3]Sheet1!$L$13</f>
        <v>2.4017884583333337E-3</v>
      </c>
    </row>
    <row r="6" spans="1:78" s="215" customFormat="1" x14ac:dyDescent="0.3">
      <c r="A6" s="215" t="s">
        <v>28</v>
      </c>
      <c r="C6" s="224"/>
      <c r="N6" s="225"/>
      <c r="O6" s="225"/>
      <c r="P6" s="225"/>
      <c r="Q6" s="225"/>
    </row>
    <row r="7" spans="1:78" x14ac:dyDescent="0.3">
      <c r="A7" s="86" t="s">
        <v>13</v>
      </c>
      <c r="J7" s="86">
        <v>990</v>
      </c>
      <c r="N7" s="164"/>
      <c r="O7" s="164"/>
      <c r="P7" s="164"/>
      <c r="Q7" s="164"/>
      <c r="BY7" s="86" t="s">
        <v>46</v>
      </c>
    </row>
    <row r="8" spans="1:78" x14ac:dyDescent="0.3">
      <c r="K8" s="86">
        <f>120/60</f>
        <v>2</v>
      </c>
      <c r="N8" s="164"/>
      <c r="O8" s="164"/>
      <c r="P8" s="164"/>
      <c r="Q8" s="164"/>
      <c r="BF8" s="127"/>
      <c r="BG8" s="127"/>
      <c r="BH8" s="127"/>
      <c r="BI8" s="127"/>
      <c r="BJ8" s="127"/>
      <c r="BK8" s="127"/>
      <c r="BL8" s="127"/>
      <c r="BM8" s="127"/>
      <c r="BN8" s="127"/>
      <c r="BP8"/>
      <c r="BQ8"/>
      <c r="BR8"/>
      <c r="BS8"/>
      <c r="BT8"/>
      <c r="BU8"/>
      <c r="BV8"/>
      <c r="BW8"/>
      <c r="BX8"/>
      <c r="BY8" s="86" t="s">
        <v>75</v>
      </c>
      <c r="BZ8" s="86" t="s">
        <v>77</v>
      </c>
    </row>
    <row r="9" spans="1:78" x14ac:dyDescent="0.3">
      <c r="B9" s="86" t="s">
        <v>550</v>
      </c>
      <c r="C9" s="86" t="s">
        <v>550</v>
      </c>
      <c r="L9" s="86">
        <f>300/60</f>
        <v>5</v>
      </c>
      <c r="N9" s="164"/>
      <c r="O9" s="164"/>
      <c r="P9" s="164"/>
      <c r="Q9" s="164"/>
      <c r="AT9" s="86" t="s">
        <v>493</v>
      </c>
      <c r="AU9" s="86">
        <v>0.08</v>
      </c>
      <c r="AV9" s="86">
        <v>0.04</v>
      </c>
      <c r="AW9" s="164">
        <v>0.15</v>
      </c>
      <c r="AX9" s="86">
        <v>0.17</v>
      </c>
      <c r="AY9" s="86">
        <v>0.23</v>
      </c>
      <c r="AZ9" s="86">
        <v>0.15</v>
      </c>
      <c r="BA9" s="86">
        <v>0.02</v>
      </c>
      <c r="BB9" s="86">
        <v>7.0000000000000007E-2</v>
      </c>
      <c r="BC9" s="86">
        <v>7.0000000000000007E-2</v>
      </c>
      <c r="BD9" s="86">
        <v>0.02</v>
      </c>
      <c r="BF9" s="162"/>
      <c r="BG9" s="162"/>
      <c r="BH9" s="162"/>
      <c r="BI9" s="162"/>
      <c r="BJ9" s="162"/>
      <c r="BK9" s="162"/>
      <c r="BL9" s="162"/>
      <c r="BM9" s="162"/>
      <c r="BN9" s="162"/>
      <c r="BY9" s="86" t="s">
        <v>446</v>
      </c>
      <c r="BZ9" s="86" t="s">
        <v>76</v>
      </c>
    </row>
    <row r="10" spans="1:78" ht="14.5" x14ac:dyDescent="0.35">
      <c r="M10" s="86">
        <v>30</v>
      </c>
      <c r="N10" s="164"/>
      <c r="O10" s="164"/>
      <c r="P10" s="164"/>
      <c r="Q10" s="164"/>
      <c r="BY10" s="163" t="s">
        <v>55</v>
      </c>
    </row>
    <row r="11" spans="1:78" ht="14.5" x14ac:dyDescent="0.35">
      <c r="N11" s="164"/>
      <c r="O11" s="164"/>
      <c r="P11" s="164"/>
      <c r="Q11" s="164"/>
      <c r="BE11" s="165"/>
      <c r="BY11" s="163" t="s">
        <v>56</v>
      </c>
    </row>
    <row r="12" spans="1:78" x14ac:dyDescent="0.3">
      <c r="AN12" s="164"/>
      <c r="AO12" s="164"/>
      <c r="AP12" s="164"/>
      <c r="AQ12" s="164"/>
      <c r="BE12" s="165"/>
      <c r="BO12" s="165"/>
      <c r="BY12" s="86" t="s">
        <v>497</v>
      </c>
      <c r="BZ12" s="86" t="s">
        <v>29</v>
      </c>
    </row>
    <row r="14" spans="1:78" x14ac:dyDescent="0.3">
      <c r="R14" s="166" t="s">
        <v>80</v>
      </c>
      <c r="S14" s="166"/>
      <c r="T14" s="166"/>
      <c r="U14" s="166"/>
      <c r="V14" s="166"/>
      <c r="W14" s="166"/>
      <c r="X14" s="166"/>
      <c r="Y14" s="166"/>
      <c r="Z14" s="166"/>
      <c r="AA14" s="166"/>
      <c r="AB14" s="166"/>
      <c r="AR14" s="86">
        <v>0.88</v>
      </c>
      <c r="BY14" s="86" t="s">
        <v>443</v>
      </c>
      <c r="BZ14" s="86" t="s">
        <v>57</v>
      </c>
    </row>
    <row r="15" spans="1:78" x14ac:dyDescent="0.3">
      <c r="R15" s="86" t="s">
        <v>444</v>
      </c>
      <c r="AS15" s="86">
        <v>0.66</v>
      </c>
      <c r="BY15" s="86" t="s">
        <v>443</v>
      </c>
      <c r="BZ15" s="86" t="s">
        <v>57</v>
      </c>
    </row>
    <row r="16" spans="1:78" x14ac:dyDescent="0.3">
      <c r="J16" s="212"/>
      <c r="R16" s="86" t="s">
        <v>82</v>
      </c>
      <c r="AT16" s="86">
        <v>0.5</v>
      </c>
      <c r="BY16" s="167" t="s">
        <v>301</v>
      </c>
      <c r="BZ16" s="86" t="s">
        <v>57</v>
      </c>
    </row>
    <row r="17" spans="10:77" x14ac:dyDescent="0.3">
      <c r="R17" s="86" t="s">
        <v>83</v>
      </c>
    </row>
    <row r="18" spans="10:77" ht="14.5" x14ac:dyDescent="0.35">
      <c r="BY18" s="163"/>
    </row>
    <row r="19" spans="10:77" ht="14.5" x14ac:dyDescent="0.35">
      <c r="J19" s="166"/>
      <c r="BY19" s="163"/>
    </row>
    <row r="20" spans="10:77" ht="14.5" x14ac:dyDescent="0.35">
      <c r="BY20" s="163"/>
    </row>
    <row r="21" spans="10:77" x14ac:dyDescent="0.3">
      <c r="AO21" s="164"/>
    </row>
    <row r="22" spans="10:77" x14ac:dyDescent="0.3">
      <c r="AN22" s="166"/>
    </row>
    <row r="23" spans="10:77" x14ac:dyDescent="0.3">
      <c r="AC23" s="86" t="s">
        <v>4</v>
      </c>
    </row>
    <row r="25" spans="10:77" x14ac:dyDescent="0.3">
      <c r="AC25" s="86" t="s">
        <v>503</v>
      </c>
      <c r="AD25" s="86" t="s">
        <v>504</v>
      </c>
      <c r="AG25" s="86" t="s">
        <v>505</v>
      </c>
      <c r="AJ25" s="86" t="s">
        <v>506</v>
      </c>
    </row>
    <row r="26" spans="10:77" x14ac:dyDescent="0.3">
      <c r="AD26" s="86" t="s">
        <v>440</v>
      </c>
      <c r="AE26" s="86" t="s">
        <v>72</v>
      </c>
      <c r="AF26" s="86" t="s">
        <v>507</v>
      </c>
      <c r="AG26" s="86" t="s">
        <v>441</v>
      </c>
      <c r="AH26" s="86" t="s">
        <v>289</v>
      </c>
      <c r="AI26" s="86" t="s">
        <v>508</v>
      </c>
      <c r="AJ26" s="86" t="s">
        <v>442</v>
      </c>
      <c r="AK26" s="86" t="s">
        <v>73</v>
      </c>
      <c r="AL26" s="86" t="s">
        <v>509</v>
      </c>
      <c r="AM26" s="86" t="s">
        <v>26</v>
      </c>
    </row>
    <row r="27" spans="10:77" x14ac:dyDescent="0.3">
      <c r="AC27" s="86" t="s">
        <v>535</v>
      </c>
      <c r="AD27" s="158" t="s">
        <v>536</v>
      </c>
      <c r="AE27" s="158" t="s">
        <v>537</v>
      </c>
      <c r="AF27" s="158" t="s">
        <v>538</v>
      </c>
      <c r="AG27" s="158" t="s">
        <v>539</v>
      </c>
      <c r="AH27" s="158" t="s">
        <v>540</v>
      </c>
      <c r="AI27" s="158" t="s">
        <v>541</v>
      </c>
      <c r="AJ27" s="158" t="s">
        <v>542</v>
      </c>
      <c r="AK27" s="158" t="s">
        <v>543</v>
      </c>
      <c r="AL27" s="158" t="s">
        <v>544</v>
      </c>
      <c r="AM27" s="158" t="s">
        <v>545</v>
      </c>
    </row>
    <row r="28" spans="10:77" ht="14.5" x14ac:dyDescent="0.3">
      <c r="AC28" s="86" t="s">
        <v>510</v>
      </c>
      <c r="AD28" s="158">
        <v>0.52844370743995495</v>
      </c>
      <c r="AE28" s="158">
        <v>1.52404829988585</v>
      </c>
      <c r="AF28" s="158">
        <v>0.10778807230477599</v>
      </c>
      <c r="AG28" s="158">
        <v>0.36727721339864366</v>
      </c>
      <c r="AH28" s="158">
        <v>1.0592390538222416</v>
      </c>
      <c r="AI28" s="158">
        <v>0.24778727799953851</v>
      </c>
      <c r="AJ28" s="158">
        <v>0.20611071935733227</v>
      </c>
      <c r="AK28" s="158">
        <v>0.59442980775863297</v>
      </c>
      <c r="AL28" s="158">
        <v>0.38778648369430102</v>
      </c>
      <c r="AM28" s="158">
        <v>1.0341895367705372</v>
      </c>
      <c r="AN28" s="112"/>
    </row>
    <row r="29" spans="10:77" ht="14.5" x14ac:dyDescent="0.3">
      <c r="AC29" s="86" t="s">
        <v>511</v>
      </c>
      <c r="AD29" s="158">
        <v>0.2989813721873853</v>
      </c>
      <c r="AE29" s="158">
        <v>0.86227169623643996</v>
      </c>
      <c r="AF29" s="158">
        <v>0.21893300166344201</v>
      </c>
      <c r="AG29" s="158">
        <v>0.1915150174813571</v>
      </c>
      <c r="AH29" s="158">
        <v>0.55233534373807647</v>
      </c>
      <c r="AI29" s="158">
        <v>0.15294560010236252</v>
      </c>
      <c r="AJ29" s="158">
        <v>8.4048662775328908E-2</v>
      </c>
      <c r="AK29" s="158">
        <v>0.24239899123971301</v>
      </c>
      <c r="AL29" s="158">
        <v>8.6958198541283005E-2</v>
      </c>
      <c r="AM29" s="158">
        <v>0.48638961015438803</v>
      </c>
      <c r="AN29" s="112"/>
    </row>
    <row r="30" spans="10:77" ht="14.5" x14ac:dyDescent="0.3">
      <c r="AC30" s="86" t="s">
        <v>512</v>
      </c>
      <c r="AD30" s="158">
        <v>1.2384152067173102</v>
      </c>
      <c r="AE30" s="158">
        <v>3.5716284701237702</v>
      </c>
      <c r="AF30" s="158">
        <v>1.7213658733887149</v>
      </c>
      <c r="AG30" s="158">
        <v>0.64513550676010323</v>
      </c>
      <c r="AH30" s="158">
        <v>1.8605911252816851</v>
      </c>
      <c r="AI30" s="158">
        <v>0.89709421478480433</v>
      </c>
      <c r="AJ30" s="158">
        <v>5.1855806802896337E-2</v>
      </c>
      <c r="AK30" s="158">
        <v>0.14955378043959999</v>
      </c>
      <c r="AL30" s="158">
        <v>7.2822556180893783E-2</v>
      </c>
      <c r="AM30" s="158">
        <v>1.1545690135723115</v>
      </c>
      <c r="AN30" s="112"/>
    </row>
    <row r="31" spans="10:77" ht="14.5" x14ac:dyDescent="0.3">
      <c r="AC31" s="86" t="s">
        <v>513</v>
      </c>
      <c r="AD31" s="158">
        <v>0.39518802990849539</v>
      </c>
      <c r="AE31" s="158">
        <v>1.1397347279146399</v>
      </c>
      <c r="AF31" s="158">
        <v>0.316201376544475</v>
      </c>
      <c r="AG31" s="158">
        <v>0.23006383768532229</v>
      </c>
      <c r="AH31" s="158">
        <v>0.66351135561467545</v>
      </c>
      <c r="AI31" s="158">
        <v>0.28185420213775148</v>
      </c>
      <c r="AJ31" s="158">
        <v>6.4939645462149198E-2</v>
      </c>
      <c r="AK31" s="158">
        <v>0.187287983314711</v>
      </c>
      <c r="AL31" s="158">
        <v>0.24750702773102801</v>
      </c>
      <c r="AM31" s="158">
        <v>0.43945889184452197</v>
      </c>
      <c r="AN31" s="112"/>
    </row>
    <row r="32" spans="10:77" ht="15" customHeight="1" x14ac:dyDescent="0.35">
      <c r="AC32" s="86" t="s">
        <v>514</v>
      </c>
      <c r="AD32" s="158">
        <v>0.30335252731279438</v>
      </c>
      <c r="AE32" s="158">
        <v>0.87487824532317304</v>
      </c>
      <c r="AF32" s="158">
        <v>0.42165235479190877</v>
      </c>
      <c r="AG32" s="158">
        <v>0.19380580147312426</v>
      </c>
      <c r="AH32" s="158">
        <v>0.55894203693719102</v>
      </c>
      <c r="AI32" s="158">
        <v>0.22762613052796282</v>
      </c>
      <c r="AJ32" s="158">
        <v>8.4259075633454111E-2</v>
      </c>
      <c r="AK32" s="158">
        <v>0.243005828551209</v>
      </c>
      <c r="AL32" s="158">
        <v>3.3599906264016897E-2</v>
      </c>
      <c r="AM32" s="158">
        <v>0.28101556669580036</v>
      </c>
      <c r="AN32" s="163"/>
    </row>
    <row r="33" spans="29:40" ht="14.5" x14ac:dyDescent="0.3">
      <c r="AC33" s="86" t="s">
        <v>515</v>
      </c>
      <c r="AD33" s="158">
        <v>0.35228983918245643</v>
      </c>
      <c r="AE33" s="158">
        <v>1.0160149944336101</v>
      </c>
      <c r="AF33" s="158">
        <v>0.48967398286211855</v>
      </c>
      <c r="AG33" s="158">
        <v>0.21581987011832998</v>
      </c>
      <c r="AH33" s="158">
        <v>0.62243130442195604</v>
      </c>
      <c r="AI33" s="158">
        <v>0.30055363131897006</v>
      </c>
      <c r="AJ33" s="158">
        <v>7.9349901054203517E-2</v>
      </c>
      <c r="AK33" s="158">
        <v>0.22884761441030199</v>
      </c>
      <c r="AL33" s="158">
        <v>0.11143327977582154</v>
      </c>
      <c r="AM33" s="158">
        <v>0.66144691798721666</v>
      </c>
      <c r="AN33" s="112"/>
    </row>
    <row r="34" spans="29:40" x14ac:dyDescent="0.3">
      <c r="AC34" s="86" t="s">
        <v>516</v>
      </c>
      <c r="AD34" s="158">
        <v>0.64822254762896792</v>
      </c>
      <c r="AE34" s="158">
        <v>1.8694942483989301</v>
      </c>
      <c r="AF34" s="158">
        <v>1.5929531305331699</v>
      </c>
      <c r="AG34" s="158">
        <v>0.36070045353583652</v>
      </c>
      <c r="AH34" s="158">
        <v>1.040271471189407</v>
      </c>
      <c r="AI34" s="158">
        <v>0.80746321582696301</v>
      </c>
      <c r="AJ34" s="158">
        <v>7.3178359442705149E-2</v>
      </c>
      <c r="AK34" s="158">
        <v>0.21104869397988399</v>
      </c>
      <c r="AL34" s="158">
        <v>2.19733011207561E-2</v>
      </c>
      <c r="AM34" s="158">
        <v>0.83839323175070857</v>
      </c>
    </row>
    <row r="35" spans="29:40" x14ac:dyDescent="0.3">
      <c r="AC35" s="86" t="s">
        <v>517</v>
      </c>
      <c r="AD35" s="158">
        <v>0.29183576457134142</v>
      </c>
      <c r="AE35" s="158">
        <v>0.84166353876278799</v>
      </c>
      <c r="AF35" s="158">
        <v>1.0092358762973901</v>
      </c>
      <c r="AG35" s="158">
        <v>0.21100406092451765</v>
      </c>
      <c r="AH35" s="158">
        <v>0.60854235899395448</v>
      </c>
      <c r="AI35" s="158">
        <v>0.59602027460337315</v>
      </c>
      <c r="AJ35" s="158">
        <v>0.13017235727769388</v>
      </c>
      <c r="AK35" s="158">
        <v>0.37542117922512103</v>
      </c>
      <c r="AL35" s="158">
        <v>0.18280467290935631</v>
      </c>
      <c r="AM35" s="158">
        <v>0.59829188341775097</v>
      </c>
    </row>
    <row r="36" spans="29:40" x14ac:dyDescent="0.3">
      <c r="AC36" s="86" t="s">
        <v>518</v>
      </c>
      <c r="AD36" s="158">
        <v>0.12361120774631985</v>
      </c>
      <c r="AE36" s="158">
        <v>0.356498617279914</v>
      </c>
      <c r="AF36" s="158">
        <v>8.5024059167070107E-2</v>
      </c>
      <c r="AG36" s="158">
        <v>9.2611639066292759E-2</v>
      </c>
      <c r="AH36" s="158">
        <v>0.26709488462337899</v>
      </c>
      <c r="AI36" s="158">
        <v>8.5773804240509566E-2</v>
      </c>
      <c r="AJ36" s="158">
        <v>6.161207038626567E-2</v>
      </c>
      <c r="AK36" s="158">
        <v>0.17769115196684401</v>
      </c>
      <c r="AL36" s="158">
        <v>8.6523549313949011E-2</v>
      </c>
      <c r="AM36" s="158">
        <v>0.31278443455100502</v>
      </c>
    </row>
    <row r="37" spans="29:40" x14ac:dyDescent="0.3">
      <c r="AC37" s="86" t="s">
        <v>519</v>
      </c>
      <c r="AD37" s="158">
        <v>0.30425227456541237</v>
      </c>
      <c r="AE37" s="158">
        <v>0.87747314474457505</v>
      </c>
      <c r="AF37" s="158">
        <v>0.42290298075881477</v>
      </c>
      <c r="AG37" s="158">
        <v>0.17526638582132134</v>
      </c>
      <c r="AH37" s="158">
        <v>0.50547377814783301</v>
      </c>
      <c r="AI37" s="158">
        <v>0.234580720437711</v>
      </c>
      <c r="AJ37" s="158">
        <v>4.6280497077230302E-2</v>
      </c>
      <c r="AK37" s="158">
        <v>0.13347441155109099</v>
      </c>
      <c r="AL37" s="158">
        <v>4.6258460116607197E-2</v>
      </c>
      <c r="AM37" s="158">
        <v>0.74976992574172907</v>
      </c>
    </row>
    <row r="39" spans="29:40" x14ac:dyDescent="0.3">
      <c r="AC39" s="86" t="s">
        <v>520</v>
      </c>
      <c r="AD39" s="164">
        <v>0.44845924772604384</v>
      </c>
      <c r="AE39" s="164">
        <v>1.2933705983103692</v>
      </c>
      <c r="AF39" s="164">
        <v>0.63857307083118808</v>
      </c>
      <c r="AG39" s="164">
        <v>0.26831997862648488</v>
      </c>
      <c r="AH39" s="164">
        <v>0.77384327127703989</v>
      </c>
      <c r="AI39" s="164">
        <v>0.38316990719799465</v>
      </c>
      <c r="AJ39" s="164">
        <v>8.8180709526925929E-2</v>
      </c>
      <c r="AK39" s="164">
        <v>0.25431594424371079</v>
      </c>
      <c r="AL39" s="164">
        <v>0.12776674356480131</v>
      </c>
      <c r="AM39" s="164">
        <v>0.65563090124859691</v>
      </c>
    </row>
    <row r="40" spans="29:40" x14ac:dyDescent="0.3">
      <c r="AC40" s="86" t="s">
        <v>692</v>
      </c>
    </row>
    <row r="41" spans="29:40" x14ac:dyDescent="0.3">
      <c r="AE41" s="86" t="s">
        <v>521</v>
      </c>
      <c r="AI41" s="86" t="s">
        <v>522</v>
      </c>
    </row>
    <row r="42" spans="29:40" x14ac:dyDescent="0.3">
      <c r="AF42" s="86" t="s">
        <v>523</v>
      </c>
      <c r="AG42" s="86" t="s">
        <v>524</v>
      </c>
      <c r="AJ42" s="86" t="s">
        <v>525</v>
      </c>
    </row>
    <row r="43" spans="29:40" x14ac:dyDescent="0.3">
      <c r="AE43" s="86" t="s">
        <v>510</v>
      </c>
      <c r="AF43" s="86">
        <v>7.0724840093879721E-2</v>
      </c>
      <c r="AG43" s="86">
        <v>0.65236715695078495</v>
      </c>
      <c r="AI43" s="86" t="s">
        <v>526</v>
      </c>
      <c r="AJ43" s="86">
        <v>4.5999999999999996</v>
      </c>
    </row>
    <row r="44" spans="29:40" x14ac:dyDescent="0.3">
      <c r="AE44" s="86" t="s">
        <v>511</v>
      </c>
      <c r="AF44" s="86">
        <v>0.25390257226233864</v>
      </c>
      <c r="AG44" s="86">
        <v>0.35873993574209379</v>
      </c>
      <c r="AI44" s="86" t="s">
        <v>527</v>
      </c>
      <c r="AJ44" s="86" t="s">
        <v>534</v>
      </c>
    </row>
    <row r="45" spans="29:40" x14ac:dyDescent="0.3">
      <c r="AE45" s="86" t="s">
        <v>512</v>
      </c>
    </row>
    <row r="46" spans="29:40" x14ac:dyDescent="0.3">
      <c r="AE46" s="86" t="s">
        <v>513</v>
      </c>
      <c r="AF46" s="86">
        <v>0.27743418604347098</v>
      </c>
      <c r="AG46" s="86">
        <v>1.3215318108003087</v>
      </c>
    </row>
    <row r="47" spans="29:40" x14ac:dyDescent="0.3">
      <c r="AE47" s="86" t="s">
        <v>514</v>
      </c>
      <c r="AG47" s="86">
        <v>0.13826790272619463</v>
      </c>
      <c r="AI47" s="86" t="s">
        <v>528</v>
      </c>
    </row>
    <row r="48" spans="29:40" x14ac:dyDescent="0.3">
      <c r="AE48" s="86" t="s">
        <v>515</v>
      </c>
      <c r="AG48" s="86">
        <v>0.48693223245068346</v>
      </c>
      <c r="AI48" s="86" t="s">
        <v>529</v>
      </c>
    </row>
    <row r="49" spans="31:35" x14ac:dyDescent="0.3">
      <c r="AE49" s="86" t="s">
        <v>516</v>
      </c>
      <c r="AF49" s="86">
        <v>0.85207704270682016</v>
      </c>
      <c r="AG49" s="86">
        <v>0.10411484054409963</v>
      </c>
      <c r="AI49" s="86" t="s">
        <v>530</v>
      </c>
    </row>
    <row r="50" spans="31:35" x14ac:dyDescent="0.3">
      <c r="AE50" s="86" t="s">
        <v>517</v>
      </c>
      <c r="AF50" s="86">
        <v>1.1990965864826779</v>
      </c>
      <c r="AI50" s="86" t="s">
        <v>531</v>
      </c>
    </row>
    <row r="51" spans="31:35" x14ac:dyDescent="0.3">
      <c r="AE51" s="86" t="s">
        <v>518</v>
      </c>
      <c r="AF51" s="86">
        <v>0.23849758469136303</v>
      </c>
      <c r="AI51" s="86" t="s">
        <v>532</v>
      </c>
    </row>
    <row r="52" spans="31:35" x14ac:dyDescent="0.3">
      <c r="AE52" s="86" t="s">
        <v>519</v>
      </c>
      <c r="AG52" s="86">
        <v>0.34657174794061935</v>
      </c>
    </row>
    <row r="53" spans="31:35" x14ac:dyDescent="0.3">
      <c r="AE53" s="86" t="s">
        <v>533</v>
      </c>
      <c r="AF53" s="86">
        <v>0.48195546871342509</v>
      </c>
      <c r="AG53" s="86">
        <v>0.48693223245068346</v>
      </c>
    </row>
  </sheetData>
  <mergeCells count="30">
    <mergeCell ref="B1:C1"/>
    <mergeCell ref="R1:AC1"/>
    <mergeCell ref="G2:H2"/>
    <mergeCell ref="AD1:AM1"/>
    <mergeCell ref="J1:M1"/>
    <mergeCell ref="G1:H1"/>
    <mergeCell ref="R2:S2"/>
    <mergeCell ref="Z2:AA2"/>
    <mergeCell ref="N1:Q1"/>
    <mergeCell ref="V2:W2"/>
    <mergeCell ref="T2:U2"/>
    <mergeCell ref="AB2:AC2"/>
    <mergeCell ref="X2:Y2"/>
    <mergeCell ref="J2:M2"/>
    <mergeCell ref="N2:Q2"/>
    <mergeCell ref="AD2:AM2"/>
    <mergeCell ref="E1:F1"/>
    <mergeCell ref="E2:F2"/>
    <mergeCell ref="AU2:BD2"/>
    <mergeCell ref="BE3:BN3"/>
    <mergeCell ref="BO3:BX3"/>
    <mergeCell ref="BE2:BX2"/>
    <mergeCell ref="AU1:BD1"/>
    <mergeCell ref="BE1:BX1"/>
    <mergeCell ref="AR3:AS3"/>
    <mergeCell ref="AN1:AQ1"/>
    <mergeCell ref="AN2:AO2"/>
    <mergeCell ref="AP2:AQ2"/>
    <mergeCell ref="AR1:AT1"/>
    <mergeCell ref="AR2:AT2"/>
  </mergeCells>
  <pageMargins left="0.7" right="0.7" top="0.75" bottom="0.75" header="0.3" footer="0.3"/>
  <pageSetup paperSize="9" orientation="portrait" r:id="rId1"/>
  <legacy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25"/>
  <sheetViews>
    <sheetView topLeftCell="J1" zoomScale="84" zoomScaleNormal="145" workbookViewId="0">
      <selection activeCell="P5" sqref="P5"/>
    </sheetView>
  </sheetViews>
  <sheetFormatPr defaultRowHeight="14" x14ac:dyDescent="0.3"/>
  <cols>
    <col min="2" max="2" width="12.25" bestFit="1" customWidth="1"/>
    <col min="3" max="3" width="11.83203125" style="4" bestFit="1" customWidth="1"/>
    <col min="5" max="10" width="12.58203125" customWidth="1"/>
    <col min="14" max="14" width="12.58203125" bestFit="1" customWidth="1"/>
    <col min="15" max="15" width="13.9140625" customWidth="1"/>
    <col min="16" max="16" width="16" customWidth="1"/>
    <col min="17" max="17" width="18.75" customWidth="1"/>
    <col min="18" max="18" width="16" customWidth="1"/>
    <col min="21" max="21" width="13.5" bestFit="1" customWidth="1"/>
    <col min="22" max="22" width="10.58203125" customWidth="1"/>
  </cols>
  <sheetData>
    <row r="1" spans="1:24" x14ac:dyDescent="0.3">
      <c r="B1" s="357" t="s">
        <v>90</v>
      </c>
      <c r="C1" s="357"/>
      <c r="D1" s="107" t="s">
        <v>62</v>
      </c>
      <c r="E1" s="366" t="s">
        <v>623</v>
      </c>
      <c r="F1" s="366"/>
      <c r="G1" s="366"/>
      <c r="H1" s="366"/>
      <c r="I1" s="366"/>
      <c r="J1" s="366"/>
      <c r="K1" s="365" t="s">
        <v>501</v>
      </c>
      <c r="L1" s="365"/>
      <c r="M1" s="365"/>
      <c r="N1" s="244" t="s">
        <v>502</v>
      </c>
      <c r="O1" s="329" t="s">
        <v>432</v>
      </c>
      <c r="P1" s="329"/>
      <c r="Q1" s="329" t="s">
        <v>433</v>
      </c>
      <c r="R1" s="329"/>
      <c r="S1" s="365" t="s">
        <v>451</v>
      </c>
      <c r="T1" s="365"/>
      <c r="U1" s="329" t="s">
        <v>407</v>
      </c>
      <c r="V1" s="329"/>
    </row>
    <row r="2" spans="1:24" x14ac:dyDescent="0.3">
      <c r="B2" s="238" t="s">
        <v>102</v>
      </c>
      <c r="C2" s="238" t="s">
        <v>102</v>
      </c>
      <c r="D2" t="s">
        <v>61</v>
      </c>
      <c r="E2" s="332" t="s">
        <v>65</v>
      </c>
      <c r="F2" s="333"/>
      <c r="G2" s="334"/>
      <c r="H2" s="332" t="s">
        <v>15</v>
      </c>
      <c r="I2" s="333"/>
      <c r="J2" s="334"/>
      <c r="K2" s="357" t="s">
        <v>61</v>
      </c>
      <c r="L2" s="357"/>
      <c r="M2" s="357"/>
      <c r="N2" s="72"/>
      <c r="O2" s="330" t="s">
        <v>123</v>
      </c>
      <c r="P2" s="330"/>
      <c r="Q2" s="330" t="s">
        <v>123</v>
      </c>
      <c r="R2" s="330"/>
      <c r="S2" s="357" t="s">
        <v>430</v>
      </c>
      <c r="T2" s="357"/>
      <c r="U2" s="330" t="s">
        <v>452</v>
      </c>
      <c r="V2" s="330"/>
    </row>
    <row r="3" spans="1:24" s="1" customFormat="1" x14ac:dyDescent="0.3">
      <c r="A3" s="1" t="s">
        <v>12</v>
      </c>
      <c r="B3" s="1" t="s">
        <v>65</v>
      </c>
      <c r="C3" s="239" t="s">
        <v>15</v>
      </c>
      <c r="E3" s="222" t="s">
        <v>116</v>
      </c>
      <c r="F3" s="222" t="s">
        <v>391</v>
      </c>
      <c r="G3" s="222" t="s">
        <v>331</v>
      </c>
      <c r="H3" s="222" t="s">
        <v>116</v>
      </c>
      <c r="I3" s="222" t="s">
        <v>391</v>
      </c>
      <c r="J3" s="222" t="s">
        <v>331</v>
      </c>
      <c r="K3" s="1" t="s">
        <v>439</v>
      </c>
      <c r="L3" s="231" t="s">
        <v>445</v>
      </c>
      <c r="M3" s="1" t="s">
        <v>26</v>
      </c>
      <c r="N3"/>
      <c r="O3" s="86" t="s">
        <v>65</v>
      </c>
      <c r="P3" s="148" t="s">
        <v>15</v>
      </c>
      <c r="Q3" s="86" t="s">
        <v>65</v>
      </c>
      <c r="R3" s="148" t="s">
        <v>15</v>
      </c>
      <c r="S3" s="1" t="s">
        <v>391</v>
      </c>
      <c r="T3" s="1" t="s">
        <v>331</v>
      </c>
      <c r="U3" s="1" t="s">
        <v>391</v>
      </c>
      <c r="V3" s="1" t="s">
        <v>331</v>
      </c>
    </row>
    <row r="4" spans="1:24" s="2" customFormat="1" x14ac:dyDescent="0.3">
      <c r="A4" s="2" t="s">
        <v>10</v>
      </c>
      <c r="C4" s="240"/>
      <c r="O4" s="245"/>
      <c r="P4" s="245"/>
      <c r="Q4" s="245"/>
      <c r="R4" s="245"/>
      <c r="S4" s="2" t="s">
        <v>17</v>
      </c>
      <c r="T4" s="2" t="s">
        <v>18</v>
      </c>
      <c r="U4" s="215"/>
      <c r="V4" s="215"/>
    </row>
    <row r="5" spans="1:24" s="2" customFormat="1" x14ac:dyDescent="0.3">
      <c r="A5" s="2" t="s">
        <v>11</v>
      </c>
      <c r="B5" s="2">
        <f>D5*E5</f>
        <v>1.3402189954139454</v>
      </c>
      <c r="C5" s="240">
        <f>D5*H5</f>
        <v>5.4167703466140011</v>
      </c>
      <c r="D5" s="2">
        <f>SUM(K5:M5)</f>
        <v>79200.000000000015</v>
      </c>
      <c r="E5" s="209">
        <f>S5*F5+T5*G5</f>
        <v>1.6921957012802338E-5</v>
      </c>
      <c r="F5" s="2">
        <f>O5*U5</f>
        <v>2.3939999999999998E-5</v>
      </c>
      <c r="G5" s="209">
        <f>Q5*V5</f>
        <v>7.2303738400055737E-6</v>
      </c>
      <c r="H5" s="209">
        <f>S5*I5+T5*J5</f>
        <v>6.8393564982500001E-5</v>
      </c>
      <c r="I5" s="2">
        <f>P5*U5</f>
        <v>9.5309999999999994E-5</v>
      </c>
      <c r="J5" s="209">
        <f>R5*V5</f>
        <v>3.1223249958333338E-5</v>
      </c>
      <c r="K5" s="2">
        <f>Farfield!J5</f>
        <v>59349.948849104861</v>
      </c>
      <c r="L5" s="2">
        <f>Farfield!L5</f>
        <v>18000</v>
      </c>
      <c r="M5" s="2">
        <f>Farfield!M5*N5</f>
        <v>1850.0511508951411</v>
      </c>
      <c r="N5">
        <f>IF(MobileCall!IJ5=0,0,1)</f>
        <v>1</v>
      </c>
      <c r="O5" s="127">
        <v>1.33E-3</v>
      </c>
      <c r="P5">
        <v>5.2950000000000002E-3</v>
      </c>
      <c r="Q5" s="127">
        <f>Farfield!BN5</f>
        <v>5.5618260307735185E-4</v>
      </c>
      <c r="R5" s="127">
        <f>Farfield!BX5</f>
        <v>2.4017884583333337E-3</v>
      </c>
      <c r="S5" s="215">
        <f>MobileCall!DB5</f>
        <v>0.57999999999999996</v>
      </c>
      <c r="T5" s="215">
        <f>MobileCall!DC5</f>
        <v>0.42</v>
      </c>
      <c r="U5" s="229">
        <v>1.7999999999999999E-2</v>
      </c>
      <c r="V5" s="229">
        <v>1.2999999999999999E-2</v>
      </c>
    </row>
    <row r="6" spans="1:24" s="2" customFormat="1" x14ac:dyDescent="0.3">
      <c r="A6" s="2" t="s">
        <v>28</v>
      </c>
      <c r="C6" s="240"/>
      <c r="U6" s="215"/>
      <c r="V6" s="215"/>
    </row>
    <row r="7" spans="1:24" ht="14.5" x14ac:dyDescent="0.35">
      <c r="A7" t="s">
        <v>13</v>
      </c>
      <c r="U7" s="86"/>
      <c r="V7" s="86"/>
      <c r="W7" s="3" t="s">
        <v>45</v>
      </c>
      <c r="X7" t="s">
        <v>54</v>
      </c>
    </row>
    <row r="8" spans="1:24" x14ac:dyDescent="0.3">
      <c r="U8" s="86"/>
      <c r="V8" s="86"/>
      <c r="W8" t="s">
        <v>79</v>
      </c>
    </row>
    <row r="9" spans="1:24" x14ac:dyDescent="0.3">
      <c r="M9" s="2"/>
      <c r="U9" s="215">
        <v>0.08</v>
      </c>
      <c r="V9" s="215">
        <v>7.6999999999999999E-2</v>
      </c>
      <c r="W9" t="s">
        <v>408</v>
      </c>
    </row>
    <row r="10" spans="1:24" x14ac:dyDescent="0.3">
      <c r="D10" s="246"/>
      <c r="E10" s="246"/>
      <c r="F10" s="246"/>
      <c r="G10" s="246"/>
      <c r="H10" s="246"/>
      <c r="I10" s="246"/>
      <c r="J10" s="246"/>
    </row>
    <row r="13" spans="1:24" x14ac:dyDescent="0.3">
      <c r="Q13" t="s">
        <v>558</v>
      </c>
      <c r="R13" t="s">
        <v>558</v>
      </c>
      <c r="U13" t="s">
        <v>558</v>
      </c>
      <c r="V13" t="s">
        <v>558</v>
      </c>
    </row>
    <row r="15" spans="1:24" x14ac:dyDescent="0.3">
      <c r="U15" t="s">
        <v>628</v>
      </c>
    </row>
    <row r="16" spans="1:24" x14ac:dyDescent="0.3">
      <c r="O16" t="s">
        <v>663</v>
      </c>
      <c r="Q16" t="s">
        <v>657</v>
      </c>
      <c r="U16" t="s">
        <v>624</v>
      </c>
    </row>
    <row r="17" spans="21:23" x14ac:dyDescent="0.3">
      <c r="U17" t="s">
        <v>625</v>
      </c>
    </row>
    <row r="18" spans="21:23" x14ac:dyDescent="0.3">
      <c r="U18" t="s">
        <v>626</v>
      </c>
    </row>
    <row r="19" spans="21:23" x14ac:dyDescent="0.3">
      <c r="U19" t="s">
        <v>627</v>
      </c>
    </row>
    <row r="23" spans="21:23" x14ac:dyDescent="0.3">
      <c r="U23">
        <v>1.496315E-2</v>
      </c>
      <c r="V23">
        <v>2.166558E-2</v>
      </c>
      <c r="W23">
        <f>AVERAGE(U23:V23)</f>
        <v>1.8314364999999999E-2</v>
      </c>
    </row>
    <row r="25" spans="21:23" x14ac:dyDescent="0.3">
      <c r="U25">
        <v>9.3095710000000009E-3</v>
      </c>
      <c r="V25">
        <v>1.6529249999999999E-2</v>
      </c>
      <c r="W25">
        <f t="shared" ref="W25" si="0">AVERAGE(U25:V25)</f>
        <v>1.2919410499999999E-2</v>
      </c>
    </row>
  </sheetData>
  <mergeCells count="14">
    <mergeCell ref="Q1:R1"/>
    <mergeCell ref="Q2:R2"/>
    <mergeCell ref="B1:C1"/>
    <mergeCell ref="S1:T1"/>
    <mergeCell ref="U1:V1"/>
    <mergeCell ref="K1:M1"/>
    <mergeCell ref="O1:P1"/>
    <mergeCell ref="O2:P2"/>
    <mergeCell ref="K2:M2"/>
    <mergeCell ref="S2:T2"/>
    <mergeCell ref="U2:V2"/>
    <mergeCell ref="E2:G2"/>
    <mergeCell ref="H2:J2"/>
    <mergeCell ref="E1:J1"/>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F430"/>
  <sheetViews>
    <sheetView topLeftCell="T1" zoomScale="70" zoomScaleNormal="100" workbookViewId="0">
      <selection activeCell="W5" sqref="W5"/>
    </sheetView>
  </sheetViews>
  <sheetFormatPr defaultColWidth="9" defaultRowHeight="14" x14ac:dyDescent="0.3"/>
  <cols>
    <col min="3" max="3" width="8.58203125" style="4"/>
    <col min="5" max="5" width="14.5" bestFit="1" customWidth="1"/>
    <col min="6" max="6" width="17.75" bestFit="1" customWidth="1"/>
    <col min="7" max="7" width="17.75" customWidth="1"/>
    <col min="8" max="8" width="10.33203125" customWidth="1"/>
    <col min="9" max="9" width="13.25" customWidth="1"/>
    <col min="10" max="10" width="18.4140625" customWidth="1"/>
    <col min="11" max="11" width="15.33203125" customWidth="1"/>
    <col min="12" max="12" width="12.83203125" customWidth="1"/>
    <col min="13" max="13" width="13.58203125" customWidth="1"/>
    <col min="14" max="14" width="12.25" customWidth="1"/>
    <col min="15" max="15" width="14.58203125" bestFit="1" customWidth="1"/>
    <col min="16" max="16" width="14.58203125" customWidth="1"/>
    <col min="17" max="17" width="14.58203125" style="108" customWidth="1"/>
    <col min="18" max="18" width="11.08203125" customWidth="1"/>
    <col min="19" max="19" width="9.33203125" bestFit="1" customWidth="1"/>
    <col min="20" max="24" width="14.58203125" customWidth="1"/>
    <col min="25" max="25" width="14.58203125" style="108" customWidth="1"/>
    <col min="26" max="26" width="14.58203125" customWidth="1"/>
    <col min="29" max="32" width="10.75" customWidth="1"/>
    <col min="33" max="33" width="14.08203125" bestFit="1" customWidth="1"/>
    <col min="34" max="59" width="14.08203125" customWidth="1"/>
    <col min="60" max="60" width="20.5" bestFit="1" customWidth="1"/>
    <col min="61" max="62" width="14.5" customWidth="1"/>
    <col min="63" max="63" width="12.58203125" bestFit="1" customWidth="1"/>
    <col min="64" max="64" width="10.5" customWidth="1"/>
    <col min="65" max="65" width="11.08203125" bestFit="1" customWidth="1"/>
    <col min="66" max="74" width="10.58203125" customWidth="1"/>
    <col min="75" max="75" width="12.4140625" bestFit="1" customWidth="1"/>
    <col min="76" max="76" width="11.08203125" bestFit="1" customWidth="1"/>
    <col min="77" max="78" width="10.58203125" customWidth="1"/>
    <col min="79" max="79" width="14.58203125" bestFit="1" customWidth="1"/>
    <col min="80" max="81" width="14.58203125" customWidth="1"/>
    <col min="82" max="82" width="10.25" customWidth="1"/>
    <col min="83" max="83" width="17.83203125" customWidth="1"/>
    <col min="84" max="84" width="17.75" customWidth="1"/>
    <col min="85" max="85" width="28.08203125" bestFit="1" customWidth="1"/>
    <col min="86" max="86" width="11.25" customWidth="1"/>
    <col min="87" max="87" width="29.75" bestFit="1" customWidth="1"/>
    <col min="88" max="90" width="23.75" customWidth="1"/>
    <col min="91" max="91" width="24.83203125" bestFit="1" customWidth="1"/>
    <col min="92" max="92" width="11.25" customWidth="1"/>
    <col min="93" max="93" width="34.08203125" customWidth="1"/>
    <col min="94" max="94" width="31.25" bestFit="1" customWidth="1"/>
    <col min="95" max="101" width="33.25" customWidth="1"/>
    <col min="102" max="102" width="31.83203125" customWidth="1"/>
    <col min="103" max="106" width="17.33203125" customWidth="1"/>
    <col min="107" max="107" width="9" customWidth="1"/>
    <col min="108" max="108" width="12.75" customWidth="1"/>
    <col min="109" max="109" width="27.5" customWidth="1"/>
  </cols>
  <sheetData>
    <row r="1" spans="1:109" ht="14.5" thickTop="1" x14ac:dyDescent="0.3">
      <c r="B1" s="357" t="s">
        <v>91</v>
      </c>
      <c r="C1" s="357"/>
      <c r="D1" s="371" t="s">
        <v>647</v>
      </c>
      <c r="E1" s="372"/>
      <c r="F1" s="374" t="s">
        <v>648</v>
      </c>
      <c r="G1" s="374"/>
      <c r="H1" s="374" t="s">
        <v>640</v>
      </c>
      <c r="I1" s="372"/>
      <c r="J1" s="374" t="s">
        <v>641</v>
      </c>
      <c r="K1" s="378"/>
      <c r="L1" s="371" t="s">
        <v>646</v>
      </c>
      <c r="M1" s="372"/>
      <c r="N1" s="375" t="s">
        <v>64</v>
      </c>
      <c r="O1" s="372"/>
      <c r="P1" s="374" t="s">
        <v>656</v>
      </c>
      <c r="Q1" s="378"/>
      <c r="R1" s="357" t="s">
        <v>63</v>
      </c>
      <c r="S1" s="373"/>
      <c r="T1" s="379" t="s">
        <v>110</v>
      </c>
      <c r="U1" s="373"/>
      <c r="V1" s="379" t="s">
        <v>291</v>
      </c>
      <c r="W1" s="373"/>
      <c r="X1" s="379" t="s">
        <v>486</v>
      </c>
      <c r="Y1" s="373"/>
      <c r="Z1" s="365" t="s">
        <v>62</v>
      </c>
      <c r="AA1" s="365"/>
      <c r="AB1" s="365"/>
      <c r="AC1" s="365"/>
      <c r="AD1" s="365"/>
      <c r="AE1" s="365"/>
      <c r="AF1" s="365"/>
      <c r="AG1" s="365"/>
      <c r="AH1" s="365" t="s">
        <v>621</v>
      </c>
      <c r="AI1" s="365"/>
      <c r="AJ1" s="365"/>
      <c r="AK1" s="365"/>
      <c r="AL1" s="365"/>
      <c r="AM1" s="365"/>
      <c r="AN1" s="365"/>
      <c r="AO1" s="365"/>
      <c r="AP1" s="365"/>
      <c r="AQ1" s="365"/>
      <c r="AR1" s="365"/>
      <c r="AS1" s="365"/>
      <c r="AT1" s="365"/>
      <c r="AU1" s="365"/>
      <c r="AV1" s="365"/>
      <c r="AW1" s="365"/>
      <c r="AX1" s="365"/>
      <c r="AY1" s="365"/>
      <c r="AZ1" s="365"/>
      <c r="BA1" s="365"/>
      <c r="BB1" s="365"/>
      <c r="BC1" s="365"/>
      <c r="BD1" s="365"/>
      <c r="BE1" s="365"/>
      <c r="BF1" s="365"/>
      <c r="BG1" s="365"/>
      <c r="BH1" s="365"/>
      <c r="BI1" s="365"/>
      <c r="BJ1" s="365"/>
      <c r="BK1" s="329" t="s">
        <v>432</v>
      </c>
      <c r="BL1" s="329"/>
      <c r="BM1" s="329"/>
      <c r="BN1" s="329"/>
      <c r="BO1" s="329"/>
      <c r="BP1" s="329"/>
      <c r="BQ1" s="329"/>
      <c r="BR1" s="329"/>
      <c r="BS1" s="329"/>
      <c r="BT1" s="329"/>
      <c r="BU1" s="329"/>
      <c r="BV1" s="329"/>
      <c r="BW1" s="365" t="s">
        <v>433</v>
      </c>
      <c r="BX1" s="365"/>
      <c r="BY1" s="365"/>
      <c r="BZ1" s="365"/>
      <c r="CA1" s="365" t="s">
        <v>453</v>
      </c>
      <c r="CB1" s="365"/>
      <c r="CC1" s="365"/>
      <c r="CD1" s="365"/>
      <c r="CE1" s="365"/>
      <c r="CF1" s="365"/>
      <c r="CG1" s="365"/>
      <c r="CH1" s="365"/>
      <c r="CI1" s="365"/>
      <c r="CJ1" s="365"/>
      <c r="CK1" s="365"/>
      <c r="CL1" s="365"/>
      <c r="CM1" s="365"/>
      <c r="CN1" s="107"/>
      <c r="CO1" s="365" t="s">
        <v>325</v>
      </c>
      <c r="CP1" s="365"/>
      <c r="CQ1" s="365"/>
      <c r="CR1" s="365"/>
      <c r="CS1" s="365"/>
      <c r="CT1" s="365"/>
      <c r="CU1" s="365"/>
      <c r="CV1" s="365"/>
      <c r="CW1" s="365"/>
      <c r="CX1" s="365"/>
      <c r="CY1" s="365"/>
      <c r="CZ1" s="365"/>
      <c r="DA1" s="365"/>
      <c r="DB1" s="365"/>
      <c r="DC1" s="329" t="s">
        <v>490</v>
      </c>
      <c r="DD1" s="329"/>
      <c r="DE1" s="107"/>
    </row>
    <row r="2" spans="1:109" x14ac:dyDescent="0.3">
      <c r="B2" s="357" t="s">
        <v>102</v>
      </c>
      <c r="C2" s="357"/>
      <c r="D2" s="376" t="s">
        <v>102</v>
      </c>
      <c r="E2" s="373"/>
      <c r="F2" s="379" t="s">
        <v>102</v>
      </c>
      <c r="G2" s="357"/>
      <c r="H2" s="357" t="s">
        <v>102</v>
      </c>
      <c r="I2" s="373"/>
      <c r="J2" s="357" t="s">
        <v>102</v>
      </c>
      <c r="K2" s="380"/>
      <c r="L2" s="370" t="s">
        <v>102</v>
      </c>
      <c r="M2" s="369"/>
      <c r="N2" s="370" t="s">
        <v>102</v>
      </c>
      <c r="O2" s="369"/>
      <c r="P2" s="356" t="s">
        <v>102</v>
      </c>
      <c r="Q2" s="377"/>
      <c r="R2" s="368" t="s">
        <v>102</v>
      </c>
      <c r="S2" s="369"/>
      <c r="T2" s="370" t="s">
        <v>102</v>
      </c>
      <c r="U2" s="369"/>
      <c r="V2" s="370" t="s">
        <v>102</v>
      </c>
      <c r="W2" s="369"/>
      <c r="X2" s="368" t="s">
        <v>102</v>
      </c>
      <c r="Y2" s="369"/>
      <c r="Z2" s="357" t="s">
        <v>61</v>
      </c>
      <c r="AA2" s="357"/>
      <c r="AB2" s="357"/>
      <c r="AC2" s="357"/>
      <c r="AD2" s="357"/>
      <c r="AE2" s="357"/>
      <c r="AF2" s="357"/>
      <c r="AG2" s="357"/>
      <c r="AH2" s="356" t="s">
        <v>23</v>
      </c>
      <c r="AI2" s="356"/>
      <c r="AJ2" s="356"/>
      <c r="AK2" s="356"/>
      <c r="AL2" s="356" t="s">
        <v>644</v>
      </c>
      <c r="AM2" s="356"/>
      <c r="AN2" s="379" t="s">
        <v>654</v>
      </c>
      <c r="AO2" s="357"/>
      <c r="AP2" s="357"/>
      <c r="AQ2" s="357"/>
      <c r="AR2" s="357"/>
      <c r="AS2" s="373"/>
      <c r="AT2" s="357" t="s">
        <v>653</v>
      </c>
      <c r="AU2" s="357"/>
      <c r="AV2" s="356" t="s">
        <v>643</v>
      </c>
      <c r="AW2" s="356"/>
      <c r="AX2" s="357" t="s">
        <v>291</v>
      </c>
      <c r="AY2" s="357"/>
      <c r="AZ2" s="357" t="s">
        <v>109</v>
      </c>
      <c r="BA2" s="357"/>
      <c r="BB2" s="357" t="s">
        <v>486</v>
      </c>
      <c r="BC2" s="357"/>
      <c r="BD2" s="357"/>
      <c r="BE2" s="357"/>
      <c r="BF2" s="357"/>
      <c r="BG2" s="357"/>
      <c r="BH2" s="357"/>
      <c r="BI2" s="357"/>
      <c r="BJ2" s="357"/>
      <c r="BK2" s="330" t="s">
        <v>122</v>
      </c>
      <c r="BL2" s="330"/>
      <c r="BM2" s="330"/>
      <c r="BN2" s="330"/>
      <c r="BO2" s="330"/>
      <c r="BP2" s="330"/>
      <c r="BQ2" s="330"/>
      <c r="BR2" s="330"/>
      <c r="BS2" s="330"/>
      <c r="BT2" s="330"/>
      <c r="BU2" s="330"/>
      <c r="BV2" s="330"/>
      <c r="BW2" s="357" t="s">
        <v>122</v>
      </c>
      <c r="BX2" s="357"/>
      <c r="BY2" s="357"/>
      <c r="BZ2" s="357"/>
      <c r="CA2" s="357" t="s">
        <v>70</v>
      </c>
      <c r="CB2" s="357"/>
      <c r="CC2" s="357"/>
      <c r="CD2" s="357"/>
      <c r="CE2" s="357"/>
      <c r="CF2" s="357"/>
      <c r="CG2" s="357"/>
      <c r="CH2" s="357"/>
      <c r="CI2" s="357"/>
      <c r="CJ2" s="357"/>
      <c r="CK2" s="357"/>
      <c r="CL2" s="357"/>
      <c r="CM2" s="357"/>
      <c r="CN2" t="s">
        <v>78</v>
      </c>
      <c r="CO2" s="357" t="s">
        <v>456</v>
      </c>
      <c r="CP2" s="357"/>
      <c r="CQ2" s="357"/>
      <c r="CR2" s="357"/>
      <c r="CS2" s="357"/>
      <c r="CT2" s="357"/>
      <c r="CU2" s="357"/>
      <c r="CV2" s="357"/>
      <c r="CW2" s="357"/>
      <c r="CX2" s="357"/>
      <c r="CY2" s="357"/>
      <c r="CZ2" s="157" t="s">
        <v>549</v>
      </c>
      <c r="DA2" s="357" t="s">
        <v>548</v>
      </c>
      <c r="DB2" s="357"/>
      <c r="DC2" s="357" t="s">
        <v>430</v>
      </c>
      <c r="DD2" s="357"/>
    </row>
    <row r="3" spans="1:109" s="1" customFormat="1" x14ac:dyDescent="0.3">
      <c r="A3" s="1" t="s">
        <v>12</v>
      </c>
      <c r="B3" s="1" t="s">
        <v>65</v>
      </c>
      <c r="C3" s="1" t="s">
        <v>15</v>
      </c>
      <c r="D3" s="250" t="s">
        <v>65</v>
      </c>
      <c r="E3" s="108" t="s">
        <v>15</v>
      </c>
      <c r="F3" t="s">
        <v>65</v>
      </c>
      <c r="G3" s="1" t="s">
        <v>15</v>
      </c>
      <c r="H3" s="247" t="s">
        <v>65</v>
      </c>
      <c r="I3" s="248" t="s">
        <v>15</v>
      </c>
      <c r="J3" s="72" t="s">
        <v>65</v>
      </c>
      <c r="K3" s="249" t="s">
        <v>15</v>
      </c>
      <c r="L3" s="251" t="s">
        <v>65</v>
      </c>
      <c r="M3" s="210" t="s">
        <v>15</v>
      </c>
      <c r="N3" s="251" t="s">
        <v>65</v>
      </c>
      <c r="O3" s="210" t="s">
        <v>15</v>
      </c>
      <c r="P3" t="s">
        <v>65</v>
      </c>
      <c r="Q3" s="4" t="s">
        <v>15</v>
      </c>
      <c r="R3" s="250" t="s">
        <v>65</v>
      </c>
      <c r="S3" s="202" t="s">
        <v>15</v>
      </c>
      <c r="T3" s="251" t="s">
        <v>65</v>
      </c>
      <c r="U3" s="202" t="s">
        <v>15</v>
      </c>
      <c r="V3" s="251" t="s">
        <v>65</v>
      </c>
      <c r="W3" s="202" t="s">
        <v>15</v>
      </c>
      <c r="X3" t="s">
        <v>65</v>
      </c>
      <c r="Y3" s="108" t="s">
        <v>15</v>
      </c>
      <c r="Z3" s="356" t="s">
        <v>23</v>
      </c>
      <c r="AA3" s="356"/>
      <c r="AB3" s="1" t="s">
        <v>25</v>
      </c>
      <c r="AC3" s="1" t="s">
        <v>24</v>
      </c>
      <c r="AD3" s="357" t="s">
        <v>649</v>
      </c>
      <c r="AE3" s="357"/>
      <c r="AF3" s="1" t="s">
        <v>291</v>
      </c>
      <c r="AG3" t="s">
        <v>486</v>
      </c>
      <c r="AH3" s="367" t="s">
        <v>65</v>
      </c>
      <c r="AI3" s="367"/>
      <c r="AJ3" s="367" t="s">
        <v>15</v>
      </c>
      <c r="AK3" s="367"/>
      <c r="AL3" s="1" t="s">
        <v>65</v>
      </c>
      <c r="AM3" s="1" t="s">
        <v>15</v>
      </c>
      <c r="AN3" s="370" t="s">
        <v>65</v>
      </c>
      <c r="AO3" s="356"/>
      <c r="AP3" s="356"/>
      <c r="AQ3" s="356" t="s">
        <v>15</v>
      </c>
      <c r="AR3" s="356"/>
      <c r="AS3" s="369"/>
      <c r="AT3" s="367" t="s">
        <v>652</v>
      </c>
      <c r="AU3" s="367"/>
      <c r="AV3" s="367" t="s">
        <v>652</v>
      </c>
      <c r="AW3" s="367"/>
      <c r="AX3" s="356" t="s">
        <v>391</v>
      </c>
      <c r="AY3" s="356"/>
      <c r="AZ3" s="357" t="s">
        <v>391</v>
      </c>
      <c r="BA3" s="357"/>
      <c r="BB3" s="356" t="s">
        <v>65</v>
      </c>
      <c r="BC3" s="356"/>
      <c r="BD3" s="356"/>
      <c r="BE3" s="356" t="s">
        <v>15</v>
      </c>
      <c r="BF3" s="356"/>
      <c r="BG3" s="356"/>
      <c r="BH3" s="356" t="s">
        <v>302</v>
      </c>
      <c r="BI3" s="356"/>
      <c r="BJ3" s="356"/>
      <c r="BK3" s="330" t="s">
        <v>23</v>
      </c>
      <c r="BL3" s="330"/>
      <c r="BM3" s="330" t="s">
        <v>24</v>
      </c>
      <c r="BN3" s="330"/>
      <c r="BO3" s="330" t="s">
        <v>109</v>
      </c>
      <c r="BP3" s="330"/>
      <c r="BQ3" s="330" t="s">
        <v>300</v>
      </c>
      <c r="BR3" s="330"/>
      <c r="BS3" s="330" t="s">
        <v>487</v>
      </c>
      <c r="BT3" s="330"/>
      <c r="BU3" s="330" t="s">
        <v>25</v>
      </c>
      <c r="BV3" s="330"/>
      <c r="BW3" s="330" t="s">
        <v>487</v>
      </c>
      <c r="BX3" s="330"/>
      <c r="BY3" s="357" t="s">
        <v>25</v>
      </c>
      <c r="BZ3" s="357"/>
      <c r="CA3" s="356" t="s">
        <v>642</v>
      </c>
      <c r="CB3" s="356"/>
      <c r="CC3" s="356" t="s">
        <v>25</v>
      </c>
      <c r="CD3" s="356"/>
      <c r="CE3" s="331" t="s">
        <v>486</v>
      </c>
      <c r="CF3" s="331"/>
      <c r="CG3" t="s">
        <v>298</v>
      </c>
      <c r="CH3" t="s">
        <v>291</v>
      </c>
      <c r="CI3" t="s">
        <v>299</v>
      </c>
      <c r="CJ3" t="s">
        <v>455</v>
      </c>
      <c r="CK3" t="s">
        <v>488</v>
      </c>
      <c r="CL3" t="s">
        <v>557</v>
      </c>
      <c r="CM3" s="1" t="s">
        <v>454</v>
      </c>
      <c r="CN3" s="1" t="s">
        <v>109</v>
      </c>
      <c r="CO3" s="1" t="s">
        <v>457</v>
      </c>
      <c r="CP3" s="1" t="s">
        <v>645</v>
      </c>
      <c r="CQ3" s="356" t="s">
        <v>486</v>
      </c>
      <c r="CR3" s="356"/>
      <c r="CS3" s="356" t="s">
        <v>25</v>
      </c>
      <c r="CT3" s="356"/>
      <c r="CU3" s="72" t="s">
        <v>655</v>
      </c>
      <c r="CV3" s="72" t="s">
        <v>634</v>
      </c>
      <c r="CW3" s="72" t="s">
        <v>635</v>
      </c>
      <c r="CX3" s="214" t="s">
        <v>406</v>
      </c>
      <c r="CY3" s="148" t="s">
        <v>291</v>
      </c>
      <c r="CZ3" s="148"/>
      <c r="DA3" s="331" t="s">
        <v>486</v>
      </c>
      <c r="DB3" s="331"/>
      <c r="DC3" s="1" t="s">
        <v>391</v>
      </c>
      <c r="DD3" s="1" t="s">
        <v>331</v>
      </c>
    </row>
    <row r="4" spans="1:109" s="2" customFormat="1" x14ac:dyDescent="0.3">
      <c r="A4" s="2" t="s">
        <v>10</v>
      </c>
      <c r="D4" s="252"/>
      <c r="E4" s="210"/>
      <c r="H4" s="253"/>
      <c r="I4" s="210"/>
      <c r="K4" s="240"/>
      <c r="L4" s="252"/>
      <c r="M4" s="210"/>
      <c r="N4" s="253"/>
      <c r="O4" s="210"/>
      <c r="Q4" s="240"/>
      <c r="S4" s="210"/>
      <c r="T4" s="253"/>
      <c r="U4" s="210"/>
      <c r="V4" s="253"/>
      <c r="W4" s="210"/>
      <c r="Y4" s="210"/>
      <c r="Z4" s="2" t="s">
        <v>104</v>
      </c>
      <c r="AA4" s="2" t="s">
        <v>277</v>
      </c>
      <c r="AD4" s="2" t="s">
        <v>104</v>
      </c>
      <c r="AE4" s="2" t="s">
        <v>277</v>
      </c>
      <c r="AF4" s="2" t="s">
        <v>310</v>
      </c>
      <c r="AH4" s="2" t="s">
        <v>637</v>
      </c>
      <c r="AI4" s="2" t="s">
        <v>638</v>
      </c>
      <c r="AJ4" s="2" t="s">
        <v>637</v>
      </c>
      <c r="AK4" s="2" t="s">
        <v>638</v>
      </c>
      <c r="AN4" s="2" t="s">
        <v>116</v>
      </c>
      <c r="AO4" s="2" t="s">
        <v>391</v>
      </c>
      <c r="AP4" s="2" t="s">
        <v>331</v>
      </c>
      <c r="AQ4" s="2" t="s">
        <v>116</v>
      </c>
      <c r="AR4" s="2" t="s">
        <v>391</v>
      </c>
      <c r="AS4" s="2" t="s">
        <v>331</v>
      </c>
      <c r="AT4" s="231" t="s">
        <v>65</v>
      </c>
      <c r="AU4" s="1" t="s">
        <v>595</v>
      </c>
      <c r="AV4" s="1" t="s">
        <v>65</v>
      </c>
      <c r="AW4" s="1" t="s">
        <v>15</v>
      </c>
      <c r="AX4" s="2" t="s">
        <v>65</v>
      </c>
      <c r="AY4" s="2" t="s">
        <v>595</v>
      </c>
      <c r="AZ4" s="2" t="s">
        <v>65</v>
      </c>
      <c r="BA4" s="2" t="s">
        <v>595</v>
      </c>
      <c r="BB4" s="2" t="s">
        <v>116</v>
      </c>
      <c r="BC4" s="2" t="s">
        <v>391</v>
      </c>
      <c r="BD4" s="2" t="s">
        <v>331</v>
      </c>
      <c r="BE4" s="2" t="s">
        <v>116</v>
      </c>
      <c r="BF4" s="2" t="s">
        <v>391</v>
      </c>
      <c r="BG4" s="2" t="s">
        <v>331</v>
      </c>
      <c r="BH4" s="1" t="s">
        <v>294</v>
      </c>
      <c r="BI4" s="1" t="s">
        <v>114</v>
      </c>
      <c r="BJ4" s="1" t="s">
        <v>113</v>
      </c>
      <c r="BK4" s="86" t="s">
        <v>65</v>
      </c>
      <c r="BL4" s="86" t="s">
        <v>15</v>
      </c>
      <c r="BM4" s="86" t="s">
        <v>65</v>
      </c>
      <c r="BN4" s="86" t="s">
        <v>15</v>
      </c>
      <c r="BO4" s="86" t="s">
        <v>65</v>
      </c>
      <c r="BP4" s="86" t="s">
        <v>15</v>
      </c>
      <c r="BQ4" s="148" t="s">
        <v>65</v>
      </c>
      <c r="BR4" s="148" t="s">
        <v>15</v>
      </c>
      <c r="BS4" s="86" t="s">
        <v>65</v>
      </c>
      <c r="BT4" s="86" t="s">
        <v>15</v>
      </c>
      <c r="BU4" s="86" t="s">
        <v>65</v>
      </c>
      <c r="BV4" s="86" t="s">
        <v>15</v>
      </c>
      <c r="BW4" s="86" t="s">
        <v>65</v>
      </c>
      <c r="BX4" s="86" t="s">
        <v>15</v>
      </c>
      <c r="BY4" t="s">
        <v>65</v>
      </c>
      <c r="BZ4" t="s">
        <v>15</v>
      </c>
      <c r="CA4" s="2" t="s">
        <v>637</v>
      </c>
      <c r="CB4" s="2" t="s">
        <v>638</v>
      </c>
      <c r="CC4" s="2" t="s">
        <v>391</v>
      </c>
      <c r="CD4" s="215" t="s">
        <v>331</v>
      </c>
      <c r="CQ4" s="2" t="s">
        <v>391</v>
      </c>
      <c r="CR4" s="2" t="s">
        <v>331</v>
      </c>
      <c r="CS4" s="2" t="s">
        <v>391</v>
      </c>
      <c r="CT4" s="2" t="s">
        <v>331</v>
      </c>
      <c r="CX4" s="215"/>
      <c r="CY4" s="215"/>
      <c r="CZ4" s="215" t="s">
        <v>491</v>
      </c>
      <c r="DA4" s="215" t="s">
        <v>492</v>
      </c>
      <c r="DB4" s="215" t="s">
        <v>491</v>
      </c>
    </row>
    <row r="5" spans="1:109" s="2" customFormat="1" ht="14.5" thickBot="1" x14ac:dyDescent="0.35">
      <c r="A5" s="2" t="s">
        <v>11</v>
      </c>
      <c r="B5" s="254">
        <f>SUM(D5,R5, L5,T5,V5,X5)</f>
        <v>74.921039950375757</v>
      </c>
      <c r="C5" s="254">
        <f>SUM(E5,S5,M5,U5,W5,Y5)</f>
        <v>88.521277198375955</v>
      </c>
      <c r="D5" s="255">
        <f>H5+J5+F5</f>
        <v>6.9344608560194462E-2</v>
      </c>
      <c r="E5" s="256">
        <f>I5+K5+G5</f>
        <v>2.881489545612832</v>
      </c>
      <c r="F5" s="310">
        <f>Z5*AL5</f>
        <v>6.3854952536225515E-2</v>
      </c>
      <c r="G5" s="307">
        <f>Z5*AM5</f>
        <v>0.40722322777786457</v>
      </c>
      <c r="H5" s="309">
        <f>AH5*CV5</f>
        <v>1.4155894852936936E-3</v>
      </c>
      <c r="I5" s="306">
        <f>AJ5*CV5</f>
        <v>0.63802638417611324</v>
      </c>
      <c r="J5" s="307">
        <f>AI5*CU5</f>
        <v>4.0740665386752506E-3</v>
      </c>
      <c r="K5" s="308">
        <f>AK5*CU5</f>
        <v>1.836239933658854</v>
      </c>
      <c r="L5" s="300">
        <f>N5+P5</f>
        <v>1.171857917453794</v>
      </c>
      <c r="M5" s="301">
        <f>O5+Q5</f>
        <v>3.644465117635217</v>
      </c>
      <c r="N5" s="302">
        <f>AC5*AT5*2</f>
        <v>0.67454945427494861</v>
      </c>
      <c r="O5" s="303">
        <f>AC5*AU5*2</f>
        <v>0.47297176381822448</v>
      </c>
      <c r="P5" s="304">
        <f>AC5*AV5</f>
        <v>0.49730846317884542</v>
      </c>
      <c r="Q5" s="305">
        <f>AC5*AW5</f>
        <v>3.1714933538169925</v>
      </c>
      <c r="R5" s="257">
        <f>AB5*AN5</f>
        <v>65.485123528835715</v>
      </c>
      <c r="S5" s="311">
        <f>AQ5*AB5</f>
        <v>32.872965812075741</v>
      </c>
      <c r="T5" s="98">
        <f>CX5*AZ5</f>
        <v>1.3095898200000002</v>
      </c>
      <c r="U5" s="100">
        <f>CX5*BA5</f>
        <v>5.2137429300000004</v>
      </c>
      <c r="V5" s="98">
        <f>AF5*AX5</f>
        <v>6.8851240755260488</v>
      </c>
      <c r="W5" s="100">
        <f>AF5*AY5</f>
        <v>43.908613793052169</v>
      </c>
      <c r="X5" s="99">
        <f>AG5*BB5</f>
        <v>0</v>
      </c>
      <c r="Y5" s="100">
        <f>AG5*BE5</f>
        <v>0</v>
      </c>
      <c r="Z5" s="2">
        <v>86400</v>
      </c>
      <c r="AA5" s="2">
        <v>0</v>
      </c>
      <c r="AB5" s="2">
        <v>600</v>
      </c>
      <c r="AC5" s="269">
        <f>[1]Sheet1!$C$28</f>
        <v>8411.1430499999988</v>
      </c>
      <c r="AD5" s="292">
        <f>Farfield!J5</f>
        <v>59349.948849104861</v>
      </c>
      <c r="AE5" s="2" t="s">
        <v>651</v>
      </c>
      <c r="AF5" s="2">
        <v>3600</v>
      </c>
      <c r="AG5" s="269">
        <v>0</v>
      </c>
      <c r="AH5" s="2">
        <f>BK5*CA5</f>
        <v>2.3593158088228227E-5</v>
      </c>
      <c r="AI5" s="2">
        <f>BK5*CB5</f>
        <v>4.7186316176456456E-8</v>
      </c>
      <c r="AJ5" s="2">
        <f>BL5*CA5</f>
        <v>1.0633773069601888E-2</v>
      </c>
      <c r="AK5" s="2">
        <f>BL5*CB5</f>
        <v>2.1267546139203775E-5</v>
      </c>
      <c r="AL5" s="2">
        <f>BQ5*CB5</f>
        <v>7.3906195065075824E-7</v>
      </c>
      <c r="AM5" s="2">
        <f>BR5*CB5</f>
        <v>4.7132318029845437E-6</v>
      </c>
      <c r="AN5" s="257">
        <f>CZ5*(AO5*DC5+AP5*DD5)</f>
        <v>0.10914187254805952</v>
      </c>
      <c r="AO5" s="257">
        <f>BU5*CC5</f>
        <v>0.36826383236114535</v>
      </c>
      <c r="AP5" s="257">
        <f>BY5*CD5</f>
        <v>1.1168386492035116E-2</v>
      </c>
      <c r="AQ5" s="257">
        <f>CZ5*(AR5*DC5+AS5*DD5)</f>
        <v>5.4788276353459564E-2</v>
      </c>
      <c r="AR5" s="257">
        <f>BV5*CC5</f>
        <v>0.13809710043286652</v>
      </c>
      <c r="AS5" s="257">
        <f>BZ5*CD5</f>
        <v>7.0191034418706069E-2</v>
      </c>
      <c r="AT5" s="209">
        <f>BM5*CI5</f>
        <v>4.0098560342220589E-5</v>
      </c>
      <c r="AU5" s="2">
        <f>BN5*CI5</f>
        <v>2.8115784085863607E-5</v>
      </c>
      <c r="AV5" s="257">
        <f>BQ5*CG5</f>
        <v>5.9124956052060664E-5</v>
      </c>
      <c r="AW5" s="2">
        <f>BR5*CG5</f>
        <v>3.7705854423876348E-4</v>
      </c>
      <c r="AX5" s="258">
        <f>BQ5*CH5</f>
        <v>1.9125344654239023E-3</v>
      </c>
      <c r="AY5" s="209">
        <f>BR5*CH5</f>
        <v>1.2196837164736714E-2</v>
      </c>
      <c r="AZ5" s="2">
        <f>BO5*CN5</f>
        <v>2.1826497000000003E-3</v>
      </c>
      <c r="BA5" s="2">
        <f>BP5*CN5</f>
        <v>8.6895715500000005E-3</v>
      </c>
      <c r="BB5" s="257">
        <f>DB5*(BC5*DC5+BD5*DD5)</f>
        <v>1.0855691599129652E-3</v>
      </c>
      <c r="BC5" s="257">
        <f>BS5*CE5</f>
        <v>2.4639384037880288E-3</v>
      </c>
      <c r="BD5" s="257">
        <f>BW5*CF5</f>
        <v>1.7667953467354141E-3</v>
      </c>
      <c r="BE5" s="257">
        <f>DB5*(BF5*DC5+BG5*DD5)</f>
        <v>1.1926903949893062E-3</v>
      </c>
      <c r="BF5" s="257">
        <f>BT5*CE5</f>
        <v>1.8997210775224494E-3</v>
      </c>
      <c r="BG5" s="257">
        <f>BX5*CF5</f>
        <v>3.0560537262275997E-3</v>
      </c>
      <c r="BH5" s="2">
        <v>0.33</v>
      </c>
      <c r="BI5" s="2">
        <v>0.33</v>
      </c>
      <c r="BJ5" s="2">
        <v>0.33</v>
      </c>
      <c r="BK5" s="280">
        <f>[4]Sheet1!$I$68</f>
        <v>2.3593158088228227E-5</v>
      </c>
      <c r="BL5" s="280">
        <f>[5]Sheet1!$H$68</f>
        <v>1.0633773069601888E-2</v>
      </c>
      <c r="BM5" s="279">
        <f>MobileCall!IA5</f>
        <v>2.0049280171110295E-2</v>
      </c>
      <c r="BN5" s="279">
        <f>MobileCall!IB5</f>
        <v>1.4057892042931803E-2</v>
      </c>
      <c r="BO5" s="279">
        <f>Wifi!O5</f>
        <v>1.33E-3</v>
      </c>
      <c r="BP5" s="279">
        <f>Wifi!P5</f>
        <v>5.2950000000000002E-3</v>
      </c>
      <c r="BQ5" s="280">
        <f>(BH5*MobileCall!BK5)+(BI5*MobileCall!BL5)+(BJ5*MobileCall!BM5)</f>
        <v>3.6953097532537913E-4</v>
      </c>
      <c r="BR5" s="280">
        <f>(BH5*MobileCall!BQ5)+(BI5*MobileCall!BR5)+(BJ5*MobileCall!BS5)</f>
        <v>2.3566159014922717E-3</v>
      </c>
      <c r="BS5" s="279">
        <f>MobileCall!BK5</f>
        <v>1.1194631548332708E-3</v>
      </c>
      <c r="BT5" s="279">
        <f>MobileCall!BQ5</f>
        <v>8.631172546671739E-4</v>
      </c>
      <c r="BU5" s="280">
        <f>MobileCall!BI5</f>
        <v>2.6727748810534316E-2</v>
      </c>
      <c r="BV5" s="280">
        <f>MobileCall!BO5</f>
        <v>1.0022772500268527E-2</v>
      </c>
      <c r="BW5" s="299">
        <f>MobileCall!BW5</f>
        <v>3.2007162078540112E-4</v>
      </c>
      <c r="BX5" s="299">
        <f>MobileCall!CC5</f>
        <v>5.5363292141804351E-4</v>
      </c>
      <c r="BY5" s="321">
        <f>MobileCall!BU5</f>
        <v>1.040371354637645E-3</v>
      </c>
      <c r="BZ5" s="321">
        <f>MobileCall!CA5</f>
        <v>6.5385220697443958E-3</v>
      </c>
      <c r="CA5" s="254">
        <f>CJ5</f>
        <v>1</v>
      </c>
      <c r="CB5" s="2">
        <f>CJ5*CI5</f>
        <v>2E-3</v>
      </c>
      <c r="CC5" s="2">
        <f>CK5*CS5</f>
        <v>13.778333333333334</v>
      </c>
      <c r="CD5" s="2">
        <f>CL5*CT5</f>
        <v>10.734999999999998</v>
      </c>
      <c r="CE5" s="2">
        <f>(CK5*CQ5)</f>
        <v>2.2009999999999996</v>
      </c>
      <c r="CF5" s="2">
        <f>CL5*CR5</f>
        <v>5.52</v>
      </c>
      <c r="CG5" s="2">
        <f>CJ5*CO5</f>
        <v>0.16</v>
      </c>
      <c r="CH5" s="2">
        <f>CM5*CY5</f>
        <v>5.1755728020902145</v>
      </c>
      <c r="CI5" s="2">
        <f>CJ5*CP5</f>
        <v>2E-3</v>
      </c>
      <c r="CJ5" s="254">
        <f>MobileCall!FD5</f>
        <v>1</v>
      </c>
      <c r="CK5" s="2">
        <f>MobileCall!FB5</f>
        <v>100</v>
      </c>
      <c r="CL5" s="2">
        <f>MobileCall!FC5</f>
        <v>200</v>
      </c>
      <c r="CM5" s="2">
        <v>60</v>
      </c>
      <c r="CN5" s="254">
        <f>SUM(CN15:CN20)</f>
        <v>1.6410900000000002</v>
      </c>
      <c r="CO5" s="2">
        <f>MobileCall!FO5</f>
        <v>0.16</v>
      </c>
      <c r="CP5" s="2">
        <v>2E-3</v>
      </c>
      <c r="CQ5" s="316">
        <f>MobileData!BQ5</f>
        <v>2.2009999999999998E-2</v>
      </c>
      <c r="CR5" s="315">
        <f>AVERAGE(CR33:CR34)/100</f>
        <v>2.76E-2</v>
      </c>
      <c r="CS5" s="316">
        <f>MobileData!BR5</f>
        <v>0.13778333333333334</v>
      </c>
      <c r="CT5" s="316">
        <f>MobileData!BV5</f>
        <v>5.3674999999999987E-2</v>
      </c>
      <c r="CU5" s="2">
        <f>Z5-CV5</f>
        <v>86340</v>
      </c>
      <c r="CV5" s="292">
        <f>CW5/2</f>
        <v>60</v>
      </c>
      <c r="CW5" s="2">
        <f>(Z5*120)/86400</f>
        <v>120</v>
      </c>
      <c r="CX5" s="259">
        <f>((10*60)/AD5)*(AD5)</f>
        <v>600</v>
      </c>
      <c r="CY5" s="313">
        <f>MobileData!AZ5*DA25+MobileData!BA5*DA26+DA28*MobileData!BB5+DA31*MobileData!BC5</f>
        <v>8.625954670150357E-2</v>
      </c>
      <c r="CZ5" s="276">
        <v>0.5</v>
      </c>
      <c r="DA5" s="276">
        <v>0.5</v>
      </c>
      <c r="DB5" s="276">
        <v>0.5</v>
      </c>
      <c r="DC5" s="215">
        <f>MobileCall!DB5</f>
        <v>0.57999999999999996</v>
      </c>
      <c r="DD5" s="215">
        <f>MobileCall!DC5</f>
        <v>0.42</v>
      </c>
    </row>
    <row r="6" spans="1:109" s="2" customFormat="1" ht="14.5" thickTop="1" x14ac:dyDescent="0.3">
      <c r="A6" s="2" t="s">
        <v>28</v>
      </c>
      <c r="C6" s="240"/>
      <c r="D6" s="1"/>
      <c r="E6" s="1"/>
      <c r="F6" s="1"/>
      <c r="G6" s="1"/>
      <c r="H6" s="1"/>
      <c r="I6" s="1"/>
      <c r="J6" s="1"/>
      <c r="K6" s="1"/>
      <c r="L6" s="1"/>
      <c r="M6" s="1"/>
      <c r="N6" s="1"/>
      <c r="O6" s="1"/>
      <c r="P6" s="1"/>
      <c r="Q6" s="260"/>
      <c r="S6" s="210"/>
      <c r="Y6" s="240"/>
      <c r="BK6" s="215"/>
      <c r="BL6" s="215"/>
      <c r="BM6" s="215"/>
      <c r="BN6" s="215"/>
      <c r="BO6" s="215"/>
      <c r="BP6" s="215"/>
      <c r="BQ6" s="215"/>
      <c r="BR6" s="215"/>
      <c r="BS6" s="215"/>
      <c r="BT6" s="215"/>
      <c r="BU6" s="215"/>
      <c r="BV6" s="215"/>
      <c r="CX6" s="215"/>
      <c r="CY6" s="215"/>
      <c r="CZ6" s="215"/>
      <c r="DA6" s="215"/>
      <c r="DB6" s="215"/>
    </row>
    <row r="7" spans="1:109" x14ac:dyDescent="0.3">
      <c r="A7" t="s">
        <v>13</v>
      </c>
      <c r="Y7" s="4"/>
      <c r="AA7">
        <v>24</v>
      </c>
      <c r="BK7" s="86"/>
      <c r="BL7" s="86"/>
      <c r="BM7" s="86"/>
      <c r="BN7" s="86"/>
      <c r="BO7" s="86"/>
      <c r="BP7" s="86"/>
      <c r="BQ7" s="86"/>
      <c r="BR7" s="86"/>
      <c r="BS7" s="86"/>
      <c r="BT7" s="86"/>
      <c r="BU7" s="86"/>
      <c r="BV7" s="86"/>
      <c r="DA7" s="86"/>
      <c r="DB7" s="86"/>
      <c r="DE7" t="s">
        <v>46</v>
      </c>
    </row>
    <row r="8" spans="1:109" x14ac:dyDescent="0.3">
      <c r="Q8"/>
      <c r="Y8" s="4"/>
      <c r="BK8" s="86"/>
      <c r="BL8" s="86"/>
      <c r="BM8" s="86"/>
      <c r="BN8" s="86"/>
      <c r="BO8" s="86"/>
      <c r="BP8" s="86"/>
      <c r="BQ8" s="86"/>
      <c r="BR8" s="86"/>
      <c r="BS8" s="86"/>
      <c r="BT8" s="86"/>
      <c r="BU8" s="86"/>
      <c r="BV8" s="86"/>
      <c r="CX8" t="s">
        <v>482</v>
      </c>
      <c r="DA8" s="86"/>
      <c r="DB8" s="86"/>
      <c r="DE8" t="s">
        <v>46</v>
      </c>
    </row>
    <row r="9" spans="1:109" ht="14.5" x14ac:dyDescent="0.35">
      <c r="C9"/>
      <c r="Q9"/>
      <c r="U9" s="3"/>
      <c r="Y9" s="4"/>
      <c r="AB9">
        <v>0</v>
      </c>
      <c r="BH9" t="s">
        <v>303</v>
      </c>
      <c r="BI9" t="s">
        <v>304</v>
      </c>
      <c r="BJ9" t="s">
        <v>304</v>
      </c>
      <c r="BK9" s="172"/>
      <c r="BL9" s="86"/>
      <c r="BM9" s="86"/>
      <c r="BN9" s="86"/>
      <c r="BO9" s="86"/>
      <c r="BP9" s="86"/>
      <c r="BQ9" s="86"/>
      <c r="BR9" s="86"/>
      <c r="BS9" s="86"/>
      <c r="BT9" s="86"/>
      <c r="BU9" s="86"/>
      <c r="BV9" s="86"/>
      <c r="DA9" s="86"/>
      <c r="DB9" s="86"/>
      <c r="DE9" t="s">
        <v>305</v>
      </c>
    </row>
    <row r="10" spans="1:109" x14ac:dyDescent="0.3">
      <c r="Q10"/>
      <c r="Y10"/>
      <c r="AC10">
        <v>174</v>
      </c>
      <c r="BK10" s="86"/>
      <c r="BL10" s="86"/>
      <c r="BM10" s="86"/>
      <c r="BN10" s="86"/>
      <c r="BO10" s="86"/>
      <c r="BP10" s="86"/>
      <c r="BQ10" s="86"/>
      <c r="BR10" s="86"/>
      <c r="BS10" s="86"/>
      <c r="BT10" s="86"/>
      <c r="BU10" s="86"/>
      <c r="BV10" s="86"/>
      <c r="DA10" s="86"/>
      <c r="DB10" s="86"/>
      <c r="DE10" t="s">
        <v>68</v>
      </c>
    </row>
    <row r="11" spans="1:109" x14ac:dyDescent="0.3">
      <c r="Q11"/>
      <c r="Y11" s="4"/>
      <c r="AC11">
        <v>120</v>
      </c>
      <c r="BK11" s="86"/>
      <c r="BL11" s="86"/>
      <c r="BM11" s="86"/>
      <c r="BN11" s="86"/>
      <c r="BO11" s="86"/>
      <c r="BP11" s="86"/>
      <c r="BQ11" s="86"/>
      <c r="BR11" s="86"/>
      <c r="BS11" s="86"/>
      <c r="BT11" s="86"/>
      <c r="BU11" s="86"/>
      <c r="BV11" s="86"/>
      <c r="DA11" s="86"/>
      <c r="DB11" s="86"/>
      <c r="DE11" t="s">
        <v>67</v>
      </c>
    </row>
    <row r="12" spans="1:109" x14ac:dyDescent="0.3">
      <c r="Q12"/>
      <c r="Y12" s="4"/>
      <c r="AC12">
        <v>120</v>
      </c>
      <c r="BK12" s="86"/>
      <c r="BL12" s="86"/>
      <c r="BM12" s="86"/>
      <c r="BN12" s="86"/>
      <c r="BO12" s="86"/>
      <c r="BP12" s="86"/>
      <c r="BQ12" s="86"/>
      <c r="BR12" s="86"/>
      <c r="BS12" s="86"/>
      <c r="BT12" s="86"/>
      <c r="BU12" s="86"/>
      <c r="BV12" s="86"/>
      <c r="DA12" s="86"/>
      <c r="DB12" s="86"/>
      <c r="DE12" t="s">
        <v>66</v>
      </c>
    </row>
    <row r="13" spans="1:109" x14ac:dyDescent="0.3">
      <c r="N13" s="4" t="s">
        <v>306</v>
      </c>
      <c r="O13" s="4" t="s">
        <v>306</v>
      </c>
      <c r="Q13"/>
      <c r="Y13" s="4"/>
      <c r="BK13" s="86"/>
      <c r="BL13" s="86"/>
      <c r="BM13" s="86"/>
      <c r="BN13" s="86"/>
      <c r="BO13" s="86"/>
      <c r="BP13" s="86"/>
      <c r="BQ13" s="86"/>
      <c r="BR13" s="86"/>
      <c r="BS13" s="86"/>
      <c r="BT13" s="86"/>
      <c r="BU13" s="86"/>
      <c r="BV13" s="86"/>
      <c r="CI13">
        <v>0.05</v>
      </c>
      <c r="CP13" t="s">
        <v>308</v>
      </c>
      <c r="DA13" s="86"/>
      <c r="DB13" s="86"/>
      <c r="DE13" t="s">
        <v>297</v>
      </c>
    </row>
    <row r="14" spans="1:109" x14ac:dyDescent="0.3">
      <c r="Q14"/>
      <c r="Y14" s="4"/>
      <c r="BK14" s="86"/>
      <c r="BL14" s="86"/>
      <c r="BM14" s="86"/>
      <c r="BN14" s="86"/>
      <c r="BO14" s="86"/>
      <c r="BP14" s="86"/>
      <c r="BQ14" s="86"/>
      <c r="BR14" s="86"/>
      <c r="BS14" s="86"/>
      <c r="BT14" s="86"/>
      <c r="BU14" s="86"/>
      <c r="BV14" s="86"/>
      <c r="BW14" s="261"/>
      <c r="BX14" s="261"/>
      <c r="CK14" t="s">
        <v>425</v>
      </c>
      <c r="CL14" t="s">
        <v>425</v>
      </c>
      <c r="CX14" t="s">
        <v>550</v>
      </c>
      <c r="DA14" s="86"/>
      <c r="DB14" s="86"/>
      <c r="DE14" t="s">
        <v>69</v>
      </c>
    </row>
    <row r="15" spans="1:109" x14ac:dyDescent="0.3">
      <c r="Q15"/>
      <c r="Y15" s="4"/>
      <c r="AD15" s="246" t="s">
        <v>84</v>
      </c>
      <c r="BK15" s="86"/>
      <c r="BL15" s="86"/>
      <c r="BM15" s="86"/>
      <c r="BN15" s="86"/>
      <c r="BO15" s="86"/>
      <c r="BP15" s="86"/>
      <c r="BQ15" s="86"/>
      <c r="BR15" s="86"/>
      <c r="BS15" s="86"/>
      <c r="BT15" s="86"/>
      <c r="BU15" s="86"/>
      <c r="BV15" s="86"/>
      <c r="CH15" t="s">
        <v>400</v>
      </c>
      <c r="CN15">
        <v>2.9999999999999997E-4</v>
      </c>
      <c r="DA15" s="86"/>
      <c r="DB15" s="86"/>
      <c r="DE15" t="s">
        <v>119</v>
      </c>
    </row>
    <row r="16" spans="1:109" x14ac:dyDescent="0.3">
      <c r="Q16"/>
      <c r="Y16"/>
      <c r="AD16" t="s">
        <v>650</v>
      </c>
      <c r="BW16" s="261"/>
      <c r="BX16" s="261"/>
      <c r="CH16" t="s">
        <v>401</v>
      </c>
      <c r="CN16">
        <v>7.9000000000000001E-4</v>
      </c>
      <c r="DA16" s="86"/>
      <c r="DB16" s="86"/>
      <c r="DE16" t="s">
        <v>119</v>
      </c>
    </row>
    <row r="17" spans="17:109" x14ac:dyDescent="0.3">
      <c r="Q17"/>
      <c r="Y17" s="4"/>
      <c r="AE17" s="246"/>
      <c r="AF17" s="246"/>
      <c r="AG17" s="246"/>
      <c r="AH17" s="246"/>
      <c r="AI17" s="246"/>
      <c r="AJ17" s="246"/>
      <c r="AK17" s="246"/>
      <c r="AL17" s="246"/>
      <c r="AM17" s="246"/>
      <c r="AN17" s="246"/>
      <c r="AO17" s="246"/>
      <c r="AP17" s="246"/>
      <c r="AQ17" s="246"/>
      <c r="AR17" s="246"/>
      <c r="AS17" s="246"/>
      <c r="AT17" s="246"/>
      <c r="AU17" s="246"/>
      <c r="AV17" s="246"/>
      <c r="AW17" s="246"/>
      <c r="AX17" s="246"/>
      <c r="AY17" s="246"/>
      <c r="AZ17" s="246"/>
      <c r="BA17" s="246"/>
      <c r="BB17" s="246"/>
      <c r="BC17" s="246"/>
      <c r="BD17" s="246"/>
      <c r="BE17" s="246"/>
      <c r="BF17" s="246"/>
      <c r="BG17" s="246"/>
      <c r="BW17" s="261"/>
      <c r="BX17" s="261"/>
      <c r="CH17" t="s">
        <v>402</v>
      </c>
      <c r="CN17">
        <v>0.03</v>
      </c>
      <c r="DA17" s="86"/>
      <c r="DB17" s="86"/>
      <c r="DE17" t="s">
        <v>119</v>
      </c>
    </row>
    <row r="18" spans="17:109" x14ac:dyDescent="0.3">
      <c r="Q18"/>
      <c r="Y18" s="4"/>
      <c r="BO18" t="s">
        <v>664</v>
      </c>
      <c r="BQ18" t="s">
        <v>307</v>
      </c>
      <c r="BW18" s="261"/>
      <c r="BX18" s="261"/>
      <c r="CH18" t="s">
        <v>403</v>
      </c>
      <c r="CN18">
        <v>0.43</v>
      </c>
      <c r="DA18" s="86"/>
      <c r="DB18" s="86"/>
      <c r="DE18" t="s">
        <v>119</v>
      </c>
    </row>
    <row r="19" spans="17:109" x14ac:dyDescent="0.3">
      <c r="Q19"/>
      <c r="Y19" s="4"/>
      <c r="BW19" s="261"/>
      <c r="BX19" s="261"/>
      <c r="CH19" t="s">
        <v>404</v>
      </c>
      <c r="CN19">
        <v>0.33</v>
      </c>
      <c r="CP19" t="s">
        <v>558</v>
      </c>
      <c r="CS19" t="s">
        <v>425</v>
      </c>
      <c r="CY19" t="s">
        <v>558</v>
      </c>
      <c r="CZ19" t="s">
        <v>425</v>
      </c>
      <c r="DA19" s="86"/>
      <c r="DB19" s="86"/>
      <c r="DE19" t="s">
        <v>119</v>
      </c>
    </row>
    <row r="20" spans="17:109" x14ac:dyDescent="0.3">
      <c r="Q20"/>
      <c r="Y20" s="4"/>
      <c r="BW20" s="261"/>
      <c r="BX20" s="261"/>
      <c r="CH20" t="s">
        <v>405</v>
      </c>
      <c r="CN20">
        <v>0.85</v>
      </c>
      <c r="DA20" s="86"/>
      <c r="DB20" s="86"/>
      <c r="DE20" t="s">
        <v>119</v>
      </c>
    </row>
    <row r="21" spans="17:109" x14ac:dyDescent="0.3">
      <c r="Q21"/>
      <c r="Y21" s="4"/>
      <c r="BW21" s="261"/>
      <c r="BX21" s="261"/>
      <c r="CH21">
        <v>21</v>
      </c>
      <c r="CM21">
        <v>60</v>
      </c>
      <c r="DA21" s="86"/>
      <c r="DB21" s="86"/>
      <c r="DE21" t="s">
        <v>316</v>
      </c>
    </row>
    <row r="22" spans="17:109" x14ac:dyDescent="0.3">
      <c r="Q22"/>
      <c r="Y22" s="4"/>
      <c r="BT22" s="288">
        <v>1.33E-3</v>
      </c>
      <c r="BW22" s="261"/>
      <c r="BX22" s="261"/>
      <c r="CN22" t="s">
        <v>409</v>
      </c>
      <c r="DE22" s="109" t="s">
        <v>292</v>
      </c>
    </row>
    <row r="23" spans="17:109" x14ac:dyDescent="0.3">
      <c r="Q23"/>
      <c r="Y23" s="4"/>
      <c r="BT23" s="288">
        <v>5.2950000000000002E-3</v>
      </c>
      <c r="BW23" s="261"/>
      <c r="BX23" s="261"/>
      <c r="DE23" s="109" t="s">
        <v>293</v>
      </c>
    </row>
    <row r="24" spans="17:109" ht="14.5" x14ac:dyDescent="0.35">
      <c r="Q24"/>
      <c r="Y24" s="4"/>
      <c r="CT24" s="317">
        <v>2.8199999999999999E-2</v>
      </c>
      <c r="CV24" t="s">
        <v>671</v>
      </c>
      <c r="CW24" t="s">
        <v>672</v>
      </c>
      <c r="CX24" t="s">
        <v>673</v>
      </c>
      <c r="CY24" t="s">
        <v>674</v>
      </c>
      <c r="CZ24" t="s">
        <v>675</v>
      </c>
      <c r="DA24" t="s">
        <v>686</v>
      </c>
      <c r="DB24" s="312"/>
      <c r="DE24" s="109" t="s">
        <v>295</v>
      </c>
    </row>
    <row r="25" spans="17:109" ht="14.5" x14ac:dyDescent="0.35">
      <c r="Q25"/>
      <c r="Y25" s="4"/>
      <c r="CT25" s="317">
        <v>2.7E-2</v>
      </c>
      <c r="CV25" t="s">
        <v>676</v>
      </c>
      <c r="CW25" t="s">
        <v>677</v>
      </c>
      <c r="CX25">
        <v>0.25</v>
      </c>
      <c r="CY25">
        <v>1.57</v>
      </c>
      <c r="CZ25">
        <v>0.91</v>
      </c>
      <c r="DA25">
        <f>CZ25/100</f>
        <v>9.1000000000000004E-3</v>
      </c>
      <c r="DB25" s="312"/>
      <c r="DE25" s="109" t="s">
        <v>296</v>
      </c>
    </row>
    <row r="26" spans="17:109" ht="14.5" x14ac:dyDescent="0.35">
      <c r="Q26"/>
      <c r="Y26" s="4"/>
      <c r="CT26" s="317">
        <v>5.7500000000000002E-2</v>
      </c>
      <c r="CV26" t="s">
        <v>678</v>
      </c>
      <c r="CW26" t="s">
        <v>679</v>
      </c>
      <c r="CX26">
        <v>0.8</v>
      </c>
      <c r="CY26">
        <v>3.1</v>
      </c>
      <c r="CZ26">
        <v>1.95</v>
      </c>
      <c r="DA26">
        <f>AVERAGE(CZ26:CZ27)/100</f>
        <v>2.6825000000000002E-2</v>
      </c>
      <c r="DB26" s="312"/>
      <c r="DE26" s="3" t="s">
        <v>317</v>
      </c>
    </row>
    <row r="27" spans="17:109" ht="14.5" x14ac:dyDescent="0.35">
      <c r="Q27"/>
      <c r="Y27" s="4"/>
      <c r="CT27" s="317">
        <v>1.6299999999999999E-2</v>
      </c>
      <c r="CV27" t="s">
        <v>678</v>
      </c>
      <c r="CW27" t="s">
        <v>680</v>
      </c>
      <c r="CX27">
        <v>0.13</v>
      </c>
      <c r="CY27">
        <v>6.7</v>
      </c>
      <c r="CZ27">
        <v>3.415</v>
      </c>
      <c r="DB27" s="312"/>
      <c r="DE27" s="110" t="s">
        <v>313</v>
      </c>
    </row>
    <row r="28" spans="17:109" ht="14.5" x14ac:dyDescent="0.35">
      <c r="Q28"/>
      <c r="Y28" s="4"/>
      <c r="CV28" t="s">
        <v>681</v>
      </c>
      <c r="CW28" t="s">
        <v>682</v>
      </c>
      <c r="CX28">
        <v>1.08</v>
      </c>
      <c r="CY28">
        <v>5.42</v>
      </c>
      <c r="CZ28">
        <v>3.25</v>
      </c>
      <c r="DA28">
        <f>AVERAGE(CZ28:CZ30)/100</f>
        <v>0.19245000000000001</v>
      </c>
      <c r="DB28" s="312"/>
      <c r="DE28" s="110" t="s">
        <v>314</v>
      </c>
    </row>
    <row r="29" spans="17:109" ht="14.5" x14ac:dyDescent="0.35">
      <c r="Q29"/>
      <c r="Y29" s="4"/>
      <c r="CV29" t="s">
        <v>681</v>
      </c>
      <c r="CW29" t="s">
        <v>683</v>
      </c>
      <c r="CX29">
        <v>2.35</v>
      </c>
      <c r="CY29">
        <v>14.54</v>
      </c>
      <c r="CZ29">
        <v>8.4450000000000003</v>
      </c>
      <c r="DB29" s="312"/>
      <c r="DE29" t="s">
        <v>318</v>
      </c>
    </row>
    <row r="30" spans="17:109" ht="14.5" x14ac:dyDescent="0.35">
      <c r="Q30"/>
      <c r="Y30" s="4"/>
      <c r="CV30" t="s">
        <v>681</v>
      </c>
      <c r="CW30" t="s">
        <v>684</v>
      </c>
      <c r="CX30">
        <v>10.69</v>
      </c>
      <c r="CY30">
        <v>81.39</v>
      </c>
      <c r="CZ30">
        <v>46.04</v>
      </c>
      <c r="DB30" s="312"/>
      <c r="DE30" s="109"/>
    </row>
    <row r="31" spans="17:109" ht="14.5" x14ac:dyDescent="0.35">
      <c r="Q31"/>
      <c r="Y31" s="4"/>
      <c r="CP31" t="s">
        <v>309</v>
      </c>
      <c r="CV31" t="s">
        <v>685</v>
      </c>
      <c r="CW31" t="s">
        <v>685</v>
      </c>
      <c r="CX31">
        <v>46.18</v>
      </c>
      <c r="CY31">
        <v>87.41</v>
      </c>
      <c r="CZ31">
        <v>66.795000000000002</v>
      </c>
      <c r="DA31">
        <f>CZ31/100</f>
        <v>0.66795000000000004</v>
      </c>
      <c r="DB31" s="312"/>
    </row>
    <row r="32" spans="17:109" x14ac:dyDescent="0.3">
      <c r="Q32"/>
      <c r="Y32" s="4"/>
      <c r="DE32" s="110" t="s">
        <v>311</v>
      </c>
    </row>
    <row r="33" spans="17:110" x14ac:dyDescent="0.3">
      <c r="Q33"/>
      <c r="Y33" s="4"/>
      <c r="CR33">
        <v>2.82</v>
      </c>
      <c r="CV33" t="s">
        <v>636</v>
      </c>
      <c r="CW33" t="s">
        <v>633</v>
      </c>
      <c r="DC33" s="154" t="s">
        <v>562</v>
      </c>
      <c r="DE33" t="s">
        <v>639</v>
      </c>
      <c r="DF33" t="s">
        <v>561</v>
      </c>
    </row>
    <row r="34" spans="17:110" x14ac:dyDescent="0.3">
      <c r="Q34"/>
      <c r="Y34" s="4"/>
      <c r="CR34">
        <v>2.7</v>
      </c>
      <c r="DE34" t="s">
        <v>489</v>
      </c>
    </row>
    <row r="35" spans="17:110" x14ac:dyDescent="0.3">
      <c r="Q35"/>
      <c r="Y35" s="4"/>
      <c r="DC35" t="s">
        <v>563</v>
      </c>
      <c r="DE35" t="s">
        <v>489</v>
      </c>
    </row>
    <row r="36" spans="17:110" x14ac:dyDescent="0.3">
      <c r="Q36"/>
      <c r="Y36" s="4"/>
    </row>
    <row r="37" spans="17:110" x14ac:dyDescent="0.3">
      <c r="Q37"/>
      <c r="Y37" s="4"/>
      <c r="CO37" s="174" t="s">
        <v>559</v>
      </c>
      <c r="DE37" t="s">
        <v>560</v>
      </c>
    </row>
    <row r="38" spans="17:110" x14ac:dyDescent="0.3">
      <c r="Q38"/>
      <c r="Y38" s="4"/>
    </row>
    <row r="39" spans="17:110" x14ac:dyDescent="0.3">
      <c r="Q39"/>
      <c r="Y39" s="4"/>
    </row>
    <row r="40" spans="17:110" x14ac:dyDescent="0.3">
      <c r="Q40"/>
      <c r="Y40" s="4"/>
      <c r="CS40" s="5">
        <f>AVERAGE(0.8, 2.35,3.1,14.54)/100</f>
        <v>5.1975E-2</v>
      </c>
      <c r="CT40" t="s">
        <v>481</v>
      </c>
      <c r="DE40" t="s">
        <v>472</v>
      </c>
    </row>
    <row r="41" spans="17:110" x14ac:dyDescent="0.3">
      <c r="Q41"/>
      <c r="Y41" s="4"/>
      <c r="CS41" t="s">
        <v>630</v>
      </c>
      <c r="DE41" t="s">
        <v>631</v>
      </c>
    </row>
    <row r="42" spans="17:110" x14ac:dyDescent="0.3">
      <c r="Q42"/>
      <c r="Y42" s="4"/>
      <c r="DE42" t="s">
        <v>632</v>
      </c>
    </row>
    <row r="43" spans="17:110" x14ac:dyDescent="0.3">
      <c r="Q43"/>
      <c r="Y43" s="4"/>
    </row>
    <row r="44" spans="17:110" x14ac:dyDescent="0.3">
      <c r="Q44"/>
      <c r="Y44" s="4"/>
    </row>
    <row r="45" spans="17:110" ht="98" x14ac:dyDescent="0.3">
      <c r="Q45"/>
      <c r="Y45" s="4"/>
      <c r="DE45" s="314" t="s">
        <v>629</v>
      </c>
    </row>
    <row r="46" spans="17:110" x14ac:dyDescent="0.3">
      <c r="Q46"/>
      <c r="Y46" s="4"/>
      <c r="CQ46">
        <v>0.8</v>
      </c>
    </row>
    <row r="47" spans="17:110" x14ac:dyDescent="0.3">
      <c r="Q47"/>
      <c r="Y47" s="4"/>
      <c r="CQ47">
        <v>3.1</v>
      </c>
    </row>
    <row r="48" spans="17:110" x14ac:dyDescent="0.3">
      <c r="Q48"/>
      <c r="Y48" s="4"/>
    </row>
    <row r="49" spans="17:25" x14ac:dyDescent="0.3">
      <c r="Q49"/>
      <c r="Y49" s="4"/>
    </row>
    <row r="50" spans="17:25" x14ac:dyDescent="0.3">
      <c r="Q50"/>
      <c r="Y50" s="4"/>
    </row>
    <row r="51" spans="17:25" x14ac:dyDescent="0.3">
      <c r="Q51"/>
      <c r="Y51" s="4"/>
    </row>
    <row r="52" spans="17:25" x14ac:dyDescent="0.3">
      <c r="Q52"/>
      <c r="Y52" s="4"/>
    </row>
    <row r="53" spans="17:25" x14ac:dyDescent="0.3">
      <c r="Q53"/>
      <c r="Y53" s="4"/>
    </row>
    <row r="54" spans="17:25" x14ac:dyDescent="0.3">
      <c r="Q54"/>
      <c r="Y54" s="4"/>
    </row>
    <row r="55" spans="17:25" x14ac:dyDescent="0.3">
      <c r="Q55"/>
      <c r="Y55" s="4"/>
    </row>
    <row r="56" spans="17:25" x14ac:dyDescent="0.3">
      <c r="Q56"/>
      <c r="Y56" s="4"/>
    </row>
    <row r="57" spans="17:25" x14ac:dyDescent="0.3">
      <c r="Q57"/>
      <c r="Y57" s="4"/>
    </row>
    <row r="58" spans="17:25" x14ac:dyDescent="0.3">
      <c r="Q58"/>
      <c r="Y58" s="4"/>
    </row>
    <row r="59" spans="17:25" x14ac:dyDescent="0.3">
      <c r="Q59"/>
      <c r="Y59" s="4"/>
    </row>
    <row r="60" spans="17:25" x14ac:dyDescent="0.3">
      <c r="Q60"/>
      <c r="Y60" s="4"/>
    </row>
    <row r="61" spans="17:25" x14ac:dyDescent="0.3">
      <c r="Q61"/>
      <c r="Y61" s="4"/>
    </row>
    <row r="62" spans="17:25" x14ac:dyDescent="0.3">
      <c r="Q62"/>
      <c r="Y62" s="4"/>
    </row>
    <row r="63" spans="17:25" x14ac:dyDescent="0.3">
      <c r="Q63"/>
      <c r="Y63" s="4"/>
    </row>
    <row r="64" spans="17:25" x14ac:dyDescent="0.3">
      <c r="Q64"/>
      <c r="Y64" s="4"/>
    </row>
    <row r="65" spans="17:25" x14ac:dyDescent="0.3">
      <c r="Q65"/>
      <c r="Y65" s="4"/>
    </row>
    <row r="66" spans="17:25" x14ac:dyDescent="0.3">
      <c r="Q66"/>
      <c r="Y66" s="4"/>
    </row>
    <row r="67" spans="17:25" x14ac:dyDescent="0.3">
      <c r="Q67"/>
      <c r="Y67" s="4"/>
    </row>
    <row r="68" spans="17:25" x14ac:dyDescent="0.3">
      <c r="Q68"/>
      <c r="Y68" s="4"/>
    </row>
    <row r="69" spans="17:25" x14ac:dyDescent="0.3">
      <c r="Q69"/>
      <c r="Y69" s="4"/>
    </row>
    <row r="70" spans="17:25" x14ac:dyDescent="0.3">
      <c r="Q70"/>
      <c r="Y70" s="4"/>
    </row>
    <row r="71" spans="17:25" x14ac:dyDescent="0.3">
      <c r="Q71"/>
      <c r="Y71" s="4"/>
    </row>
    <row r="72" spans="17:25" x14ac:dyDescent="0.3">
      <c r="Q72"/>
      <c r="Y72" s="4"/>
    </row>
    <row r="73" spans="17:25" x14ac:dyDescent="0.3">
      <c r="Q73"/>
      <c r="Y73" s="4"/>
    </row>
    <row r="74" spans="17:25" x14ac:dyDescent="0.3">
      <c r="Q74"/>
      <c r="Y74" s="4"/>
    </row>
    <row r="75" spans="17:25" x14ac:dyDescent="0.3">
      <c r="Q75"/>
      <c r="Y75" s="4"/>
    </row>
    <row r="76" spans="17:25" x14ac:dyDescent="0.3">
      <c r="Q76"/>
      <c r="Y76" s="4"/>
    </row>
    <row r="77" spans="17:25" x14ac:dyDescent="0.3">
      <c r="Q77"/>
      <c r="Y77" s="4"/>
    </row>
    <row r="78" spans="17:25" x14ac:dyDescent="0.3">
      <c r="Q78"/>
      <c r="Y78" s="4"/>
    </row>
    <row r="79" spans="17:25" x14ac:dyDescent="0.3">
      <c r="Q79"/>
      <c r="Y79" s="4"/>
    </row>
    <row r="80" spans="17:25" x14ac:dyDescent="0.3">
      <c r="Q80"/>
      <c r="Y80" s="4"/>
    </row>
    <row r="81" spans="17:25" x14ac:dyDescent="0.3">
      <c r="Q81"/>
      <c r="Y81" s="4"/>
    </row>
    <row r="82" spans="17:25" x14ac:dyDescent="0.3">
      <c r="Q82"/>
      <c r="Y82" s="4"/>
    </row>
    <row r="83" spans="17:25" x14ac:dyDescent="0.3">
      <c r="Q83"/>
      <c r="Y83" s="4"/>
    </row>
    <row r="84" spans="17:25" x14ac:dyDescent="0.3">
      <c r="Q84"/>
      <c r="Y84" s="4"/>
    </row>
    <row r="85" spans="17:25" x14ac:dyDescent="0.3">
      <c r="Q85"/>
      <c r="Y85" s="4"/>
    </row>
    <row r="86" spans="17:25" x14ac:dyDescent="0.3">
      <c r="Q86"/>
      <c r="Y86" s="4"/>
    </row>
    <row r="87" spans="17:25" x14ac:dyDescent="0.3">
      <c r="Q87"/>
      <c r="Y87" s="4"/>
    </row>
    <row r="88" spans="17:25" x14ac:dyDescent="0.3">
      <c r="Q88"/>
      <c r="Y88" s="4"/>
    </row>
    <row r="89" spans="17:25" x14ac:dyDescent="0.3">
      <c r="Q89"/>
      <c r="Y89" s="4"/>
    </row>
    <row r="90" spans="17:25" x14ac:dyDescent="0.3">
      <c r="Q90"/>
      <c r="Y90" s="4"/>
    </row>
    <row r="91" spans="17:25" x14ac:dyDescent="0.3">
      <c r="Q91"/>
      <c r="Y91" s="4"/>
    </row>
    <row r="92" spans="17:25" x14ac:dyDescent="0.3">
      <c r="Q92"/>
      <c r="Y92" s="4"/>
    </row>
    <row r="93" spans="17:25" x14ac:dyDescent="0.3">
      <c r="Q93"/>
      <c r="Y93" s="4"/>
    </row>
    <row r="94" spans="17:25" x14ac:dyDescent="0.3">
      <c r="Q94"/>
      <c r="Y94" s="4"/>
    </row>
    <row r="95" spans="17:25" x14ac:dyDescent="0.3">
      <c r="Q95"/>
      <c r="Y95" s="4"/>
    </row>
    <row r="96" spans="17:25" x14ac:dyDescent="0.3">
      <c r="Q96"/>
      <c r="Y96" s="4"/>
    </row>
    <row r="97" spans="25:25" x14ac:dyDescent="0.3">
      <c r="Y97" s="4"/>
    </row>
    <row r="98" spans="25:25" x14ac:dyDescent="0.3">
      <c r="Y98" s="4"/>
    </row>
    <row r="99" spans="25:25" x14ac:dyDescent="0.3">
      <c r="Y99" s="4"/>
    </row>
    <row r="100" spans="25:25" x14ac:dyDescent="0.3">
      <c r="Y100" s="4"/>
    </row>
    <row r="101" spans="25:25" x14ac:dyDescent="0.3">
      <c r="Y101" s="4"/>
    </row>
    <row r="102" spans="25:25" x14ac:dyDescent="0.3">
      <c r="Y102" s="4"/>
    </row>
    <row r="103" spans="25:25" x14ac:dyDescent="0.3">
      <c r="Y103" s="4"/>
    </row>
    <row r="104" spans="25:25" x14ac:dyDescent="0.3">
      <c r="Y104" s="4"/>
    </row>
    <row r="105" spans="25:25" x14ac:dyDescent="0.3">
      <c r="Y105" s="4"/>
    </row>
    <row r="106" spans="25:25" x14ac:dyDescent="0.3">
      <c r="Y106" s="4"/>
    </row>
    <row r="107" spans="25:25" x14ac:dyDescent="0.3">
      <c r="Y107" s="4"/>
    </row>
    <row r="108" spans="25:25" x14ac:dyDescent="0.3">
      <c r="Y108" s="4"/>
    </row>
    <row r="109" spans="25:25" x14ac:dyDescent="0.3">
      <c r="Y109" s="4"/>
    </row>
    <row r="110" spans="25:25" x14ac:dyDescent="0.3">
      <c r="Y110" s="4"/>
    </row>
    <row r="111" spans="25:25" x14ac:dyDescent="0.3">
      <c r="Y111" s="4"/>
    </row>
    <row r="112" spans="25:25" x14ac:dyDescent="0.3">
      <c r="Y112" s="4"/>
    </row>
    <row r="113" spans="25:25" x14ac:dyDescent="0.3">
      <c r="Y113" s="4"/>
    </row>
    <row r="114" spans="25:25" x14ac:dyDescent="0.3">
      <c r="Y114" s="4"/>
    </row>
    <row r="115" spans="25:25" x14ac:dyDescent="0.3">
      <c r="Y115" s="4"/>
    </row>
    <row r="116" spans="25:25" x14ac:dyDescent="0.3">
      <c r="Y116" s="4"/>
    </row>
    <row r="117" spans="25:25" x14ac:dyDescent="0.3">
      <c r="Y117" s="4"/>
    </row>
    <row r="118" spans="25:25" x14ac:dyDescent="0.3">
      <c r="Y118" s="4"/>
    </row>
    <row r="119" spans="25:25" x14ac:dyDescent="0.3">
      <c r="Y119" s="4"/>
    </row>
    <row r="120" spans="25:25" x14ac:dyDescent="0.3">
      <c r="Y120" s="4"/>
    </row>
    <row r="121" spans="25:25" x14ac:dyDescent="0.3">
      <c r="Y121" s="4"/>
    </row>
    <row r="122" spans="25:25" x14ac:dyDescent="0.3">
      <c r="Y122" s="4"/>
    </row>
    <row r="123" spans="25:25" x14ac:dyDescent="0.3">
      <c r="Y123" s="4"/>
    </row>
    <row r="124" spans="25:25" x14ac:dyDescent="0.3">
      <c r="Y124" s="4"/>
    </row>
    <row r="125" spans="25:25" x14ac:dyDescent="0.3">
      <c r="Y125" s="4"/>
    </row>
    <row r="126" spans="25:25" x14ac:dyDescent="0.3">
      <c r="Y126" s="4"/>
    </row>
    <row r="127" spans="25:25" x14ac:dyDescent="0.3">
      <c r="Y127" s="4"/>
    </row>
    <row r="128" spans="25:25" x14ac:dyDescent="0.3">
      <c r="Y128" s="4"/>
    </row>
    <row r="129" spans="25:25" x14ac:dyDescent="0.3">
      <c r="Y129" s="4"/>
    </row>
    <row r="130" spans="25:25" x14ac:dyDescent="0.3">
      <c r="Y130" s="4"/>
    </row>
    <row r="131" spans="25:25" x14ac:dyDescent="0.3">
      <c r="Y131" s="4"/>
    </row>
    <row r="132" spans="25:25" x14ac:dyDescent="0.3">
      <c r="Y132" s="4"/>
    </row>
    <row r="133" spans="25:25" x14ac:dyDescent="0.3">
      <c r="Y133" s="4"/>
    </row>
    <row r="134" spans="25:25" x14ac:dyDescent="0.3">
      <c r="Y134" s="4"/>
    </row>
    <row r="135" spans="25:25" x14ac:dyDescent="0.3">
      <c r="Y135" s="4"/>
    </row>
    <row r="136" spans="25:25" x14ac:dyDescent="0.3">
      <c r="Y136" s="4"/>
    </row>
    <row r="137" spans="25:25" x14ac:dyDescent="0.3">
      <c r="Y137" s="4"/>
    </row>
    <row r="138" spans="25:25" x14ac:dyDescent="0.3">
      <c r="Y138" s="4"/>
    </row>
    <row r="139" spans="25:25" x14ac:dyDescent="0.3">
      <c r="Y139" s="4"/>
    </row>
    <row r="140" spans="25:25" x14ac:dyDescent="0.3">
      <c r="Y140" s="4"/>
    </row>
    <row r="141" spans="25:25" x14ac:dyDescent="0.3">
      <c r="Y141" s="4"/>
    </row>
    <row r="142" spans="25:25" x14ac:dyDescent="0.3">
      <c r="Y142" s="4"/>
    </row>
    <row r="143" spans="25:25" x14ac:dyDescent="0.3">
      <c r="Y143" s="4"/>
    </row>
    <row r="144" spans="25:25" x14ac:dyDescent="0.3">
      <c r="Y144" s="4"/>
    </row>
    <row r="145" spans="25:25" x14ac:dyDescent="0.3">
      <c r="Y145" s="4"/>
    </row>
    <row r="146" spans="25:25" x14ac:dyDescent="0.3">
      <c r="Y146" s="4"/>
    </row>
    <row r="147" spans="25:25" x14ac:dyDescent="0.3">
      <c r="Y147" s="4"/>
    </row>
    <row r="148" spans="25:25" x14ac:dyDescent="0.3">
      <c r="Y148" s="4"/>
    </row>
    <row r="149" spans="25:25" x14ac:dyDescent="0.3">
      <c r="Y149" s="4"/>
    </row>
    <row r="150" spans="25:25" x14ac:dyDescent="0.3">
      <c r="Y150" s="4"/>
    </row>
    <row r="151" spans="25:25" x14ac:dyDescent="0.3">
      <c r="Y151" s="4"/>
    </row>
    <row r="152" spans="25:25" x14ac:dyDescent="0.3">
      <c r="Y152" s="4"/>
    </row>
    <row r="153" spans="25:25" x14ac:dyDescent="0.3">
      <c r="Y153" s="4"/>
    </row>
    <row r="154" spans="25:25" x14ac:dyDescent="0.3">
      <c r="Y154" s="4"/>
    </row>
    <row r="155" spans="25:25" x14ac:dyDescent="0.3">
      <c r="Y155" s="4"/>
    </row>
    <row r="156" spans="25:25" x14ac:dyDescent="0.3">
      <c r="Y156" s="4"/>
    </row>
    <row r="157" spans="25:25" x14ac:dyDescent="0.3">
      <c r="Y157" s="4"/>
    </row>
    <row r="158" spans="25:25" x14ac:dyDescent="0.3">
      <c r="Y158" s="4"/>
    </row>
    <row r="159" spans="25:25" x14ac:dyDescent="0.3">
      <c r="Y159" s="4"/>
    </row>
    <row r="160" spans="25:25" x14ac:dyDescent="0.3">
      <c r="Y160" s="4"/>
    </row>
    <row r="161" spans="25:25" x14ac:dyDescent="0.3">
      <c r="Y161" s="4"/>
    </row>
    <row r="162" spans="25:25" x14ac:dyDescent="0.3">
      <c r="Y162" s="4"/>
    </row>
    <row r="163" spans="25:25" x14ac:dyDescent="0.3">
      <c r="Y163" s="4"/>
    </row>
    <row r="164" spans="25:25" x14ac:dyDescent="0.3">
      <c r="Y164" s="4"/>
    </row>
    <row r="165" spans="25:25" x14ac:dyDescent="0.3">
      <c r="Y165" s="4"/>
    </row>
    <row r="166" spans="25:25" x14ac:dyDescent="0.3">
      <c r="Y166" s="4"/>
    </row>
    <row r="167" spans="25:25" x14ac:dyDescent="0.3">
      <c r="Y167" s="4"/>
    </row>
    <row r="168" spans="25:25" x14ac:dyDescent="0.3">
      <c r="Y168" s="4"/>
    </row>
    <row r="169" spans="25:25" x14ac:dyDescent="0.3">
      <c r="Y169" s="4"/>
    </row>
    <row r="170" spans="25:25" x14ac:dyDescent="0.3">
      <c r="Y170" s="4"/>
    </row>
    <row r="171" spans="25:25" x14ac:dyDescent="0.3">
      <c r="Y171" s="4"/>
    </row>
    <row r="172" spans="25:25" x14ac:dyDescent="0.3">
      <c r="Y172" s="4"/>
    </row>
    <row r="173" spans="25:25" x14ac:dyDescent="0.3">
      <c r="Y173" s="4"/>
    </row>
    <row r="174" spans="25:25" x14ac:dyDescent="0.3">
      <c r="Y174" s="4"/>
    </row>
    <row r="175" spans="25:25" x14ac:dyDescent="0.3">
      <c r="Y175" s="4"/>
    </row>
    <row r="176" spans="25:25" x14ac:dyDescent="0.3">
      <c r="Y176" s="4"/>
    </row>
    <row r="177" spans="25:25" x14ac:dyDescent="0.3">
      <c r="Y177" s="4"/>
    </row>
    <row r="178" spans="25:25" x14ac:dyDescent="0.3">
      <c r="Y178" s="4"/>
    </row>
    <row r="179" spans="25:25" x14ac:dyDescent="0.3">
      <c r="Y179" s="4"/>
    </row>
    <row r="180" spans="25:25" x14ac:dyDescent="0.3">
      <c r="Y180" s="4"/>
    </row>
    <row r="181" spans="25:25" x14ac:dyDescent="0.3">
      <c r="Y181" s="4"/>
    </row>
    <row r="182" spans="25:25" x14ac:dyDescent="0.3">
      <c r="Y182" s="4"/>
    </row>
    <row r="183" spans="25:25" x14ac:dyDescent="0.3">
      <c r="Y183" s="4"/>
    </row>
    <row r="184" spans="25:25" x14ac:dyDescent="0.3">
      <c r="Y184" s="4"/>
    </row>
    <row r="185" spans="25:25" x14ac:dyDescent="0.3">
      <c r="Y185" s="4"/>
    </row>
    <row r="186" spans="25:25" x14ac:dyDescent="0.3">
      <c r="Y186" s="4"/>
    </row>
    <row r="187" spans="25:25" x14ac:dyDescent="0.3">
      <c r="Y187" s="4"/>
    </row>
    <row r="188" spans="25:25" x14ac:dyDescent="0.3">
      <c r="Y188" s="4"/>
    </row>
    <row r="189" spans="25:25" x14ac:dyDescent="0.3">
      <c r="Y189" s="4"/>
    </row>
    <row r="190" spans="25:25" x14ac:dyDescent="0.3">
      <c r="Y190" s="4"/>
    </row>
    <row r="191" spans="25:25" x14ac:dyDescent="0.3">
      <c r="Y191" s="4"/>
    </row>
    <row r="192" spans="25:25" x14ac:dyDescent="0.3">
      <c r="Y192" s="4"/>
    </row>
    <row r="193" spans="25:25" x14ac:dyDescent="0.3">
      <c r="Y193" s="4"/>
    </row>
    <row r="194" spans="25:25" x14ac:dyDescent="0.3">
      <c r="Y194" s="4"/>
    </row>
    <row r="195" spans="25:25" x14ac:dyDescent="0.3">
      <c r="Y195" s="4"/>
    </row>
    <row r="196" spans="25:25" x14ac:dyDescent="0.3">
      <c r="Y196" s="4"/>
    </row>
    <row r="197" spans="25:25" x14ac:dyDescent="0.3">
      <c r="Y197" s="4"/>
    </row>
    <row r="198" spans="25:25" x14ac:dyDescent="0.3">
      <c r="Y198" s="4"/>
    </row>
    <row r="199" spans="25:25" x14ac:dyDescent="0.3">
      <c r="Y199" s="4"/>
    </row>
    <row r="200" spans="25:25" x14ac:dyDescent="0.3">
      <c r="Y200" s="4"/>
    </row>
    <row r="201" spans="25:25" x14ac:dyDescent="0.3">
      <c r="Y201" s="4"/>
    </row>
    <row r="202" spans="25:25" x14ac:dyDescent="0.3">
      <c r="Y202" s="4"/>
    </row>
    <row r="203" spans="25:25" x14ac:dyDescent="0.3">
      <c r="Y203" s="4"/>
    </row>
    <row r="204" spans="25:25" x14ac:dyDescent="0.3">
      <c r="Y204" s="4"/>
    </row>
    <row r="205" spans="25:25" x14ac:dyDescent="0.3">
      <c r="Y205" s="4"/>
    </row>
    <row r="206" spans="25:25" x14ac:dyDescent="0.3">
      <c r="Y206" s="4"/>
    </row>
    <row r="207" spans="25:25" x14ac:dyDescent="0.3">
      <c r="Y207" s="4"/>
    </row>
    <row r="208" spans="25:25" x14ac:dyDescent="0.3">
      <c r="Y208" s="4"/>
    </row>
    <row r="209" spans="25:25" x14ac:dyDescent="0.3">
      <c r="Y209" s="4"/>
    </row>
    <row r="210" spans="25:25" x14ac:dyDescent="0.3">
      <c r="Y210" s="4"/>
    </row>
    <row r="211" spans="25:25" x14ac:dyDescent="0.3">
      <c r="Y211" s="4"/>
    </row>
    <row r="212" spans="25:25" x14ac:dyDescent="0.3">
      <c r="Y212" s="4"/>
    </row>
    <row r="213" spans="25:25" x14ac:dyDescent="0.3">
      <c r="Y213" s="4"/>
    </row>
    <row r="214" spans="25:25" x14ac:dyDescent="0.3">
      <c r="Y214" s="4"/>
    </row>
    <row r="215" spans="25:25" x14ac:dyDescent="0.3">
      <c r="Y215" s="4"/>
    </row>
    <row r="216" spans="25:25" x14ac:dyDescent="0.3">
      <c r="Y216" s="4"/>
    </row>
    <row r="217" spans="25:25" x14ac:dyDescent="0.3">
      <c r="Y217" s="4"/>
    </row>
    <row r="218" spans="25:25" x14ac:dyDescent="0.3">
      <c r="Y218" s="4"/>
    </row>
    <row r="219" spans="25:25" x14ac:dyDescent="0.3">
      <c r="Y219" s="4"/>
    </row>
    <row r="220" spans="25:25" x14ac:dyDescent="0.3">
      <c r="Y220" s="4"/>
    </row>
    <row r="221" spans="25:25" x14ac:dyDescent="0.3">
      <c r="Y221" s="4"/>
    </row>
    <row r="222" spans="25:25" x14ac:dyDescent="0.3">
      <c r="Y222" s="4"/>
    </row>
    <row r="223" spans="25:25" x14ac:dyDescent="0.3">
      <c r="Y223" s="4"/>
    </row>
    <row r="224" spans="25:25" x14ac:dyDescent="0.3">
      <c r="Y224" s="4"/>
    </row>
    <row r="225" spans="25:25" x14ac:dyDescent="0.3">
      <c r="Y225" s="4"/>
    </row>
    <row r="226" spans="25:25" x14ac:dyDescent="0.3">
      <c r="Y226" s="4"/>
    </row>
    <row r="227" spans="25:25" x14ac:dyDescent="0.3">
      <c r="Y227" s="4"/>
    </row>
    <row r="228" spans="25:25" x14ac:dyDescent="0.3">
      <c r="Y228" s="4"/>
    </row>
    <row r="229" spans="25:25" x14ac:dyDescent="0.3">
      <c r="Y229" s="4"/>
    </row>
    <row r="230" spans="25:25" x14ac:dyDescent="0.3">
      <c r="Y230" s="4"/>
    </row>
    <row r="231" spans="25:25" x14ac:dyDescent="0.3">
      <c r="Y231" s="4"/>
    </row>
    <row r="232" spans="25:25" x14ac:dyDescent="0.3">
      <c r="Y232" s="4"/>
    </row>
    <row r="233" spans="25:25" x14ac:dyDescent="0.3">
      <c r="Y233" s="4"/>
    </row>
    <row r="234" spans="25:25" x14ac:dyDescent="0.3">
      <c r="Y234" s="4"/>
    </row>
    <row r="235" spans="25:25" x14ac:dyDescent="0.3">
      <c r="Y235" s="4"/>
    </row>
    <row r="236" spans="25:25" x14ac:dyDescent="0.3">
      <c r="Y236" s="4"/>
    </row>
    <row r="237" spans="25:25" x14ac:dyDescent="0.3">
      <c r="Y237" s="4"/>
    </row>
    <row r="238" spans="25:25" x14ac:dyDescent="0.3">
      <c r="Y238" s="4"/>
    </row>
    <row r="239" spans="25:25" x14ac:dyDescent="0.3">
      <c r="Y239" s="4"/>
    </row>
    <row r="240" spans="25:25" x14ac:dyDescent="0.3">
      <c r="Y240" s="4"/>
    </row>
    <row r="241" spans="25:25" x14ac:dyDescent="0.3">
      <c r="Y241" s="4"/>
    </row>
    <row r="242" spans="25:25" x14ac:dyDescent="0.3">
      <c r="Y242" s="4"/>
    </row>
    <row r="243" spans="25:25" x14ac:dyDescent="0.3">
      <c r="Y243" s="4"/>
    </row>
    <row r="244" spans="25:25" x14ac:dyDescent="0.3">
      <c r="Y244" s="4"/>
    </row>
    <row r="245" spans="25:25" x14ac:dyDescent="0.3">
      <c r="Y245" s="4"/>
    </row>
    <row r="246" spans="25:25" x14ac:dyDescent="0.3">
      <c r="Y246" s="4"/>
    </row>
    <row r="247" spans="25:25" x14ac:dyDescent="0.3">
      <c r="Y247" s="4"/>
    </row>
    <row r="248" spans="25:25" x14ac:dyDescent="0.3">
      <c r="Y248" s="4"/>
    </row>
    <row r="249" spans="25:25" x14ac:dyDescent="0.3">
      <c r="Y249" s="4"/>
    </row>
    <row r="250" spans="25:25" x14ac:dyDescent="0.3">
      <c r="Y250" s="4"/>
    </row>
    <row r="251" spans="25:25" x14ac:dyDescent="0.3">
      <c r="Y251" s="4"/>
    </row>
    <row r="252" spans="25:25" x14ac:dyDescent="0.3">
      <c r="Y252" s="4"/>
    </row>
    <row r="253" spans="25:25" x14ac:dyDescent="0.3">
      <c r="Y253" s="4"/>
    </row>
    <row r="254" spans="25:25" x14ac:dyDescent="0.3">
      <c r="Y254" s="4"/>
    </row>
    <row r="255" spans="25:25" x14ac:dyDescent="0.3">
      <c r="Y255" s="4"/>
    </row>
    <row r="256" spans="25:25" x14ac:dyDescent="0.3">
      <c r="Y256" s="4"/>
    </row>
    <row r="257" spans="25:25" x14ac:dyDescent="0.3">
      <c r="Y257" s="4"/>
    </row>
    <row r="258" spans="25:25" x14ac:dyDescent="0.3">
      <c r="Y258" s="4"/>
    </row>
    <row r="259" spans="25:25" x14ac:dyDescent="0.3">
      <c r="Y259" s="4"/>
    </row>
    <row r="260" spans="25:25" x14ac:dyDescent="0.3">
      <c r="Y260" s="4"/>
    </row>
    <row r="261" spans="25:25" x14ac:dyDescent="0.3">
      <c r="Y261" s="4"/>
    </row>
    <row r="262" spans="25:25" x14ac:dyDescent="0.3">
      <c r="Y262" s="4"/>
    </row>
    <row r="263" spans="25:25" x14ac:dyDescent="0.3">
      <c r="Y263" s="4"/>
    </row>
    <row r="264" spans="25:25" x14ac:dyDescent="0.3">
      <c r="Y264" s="4"/>
    </row>
    <row r="265" spans="25:25" x14ac:dyDescent="0.3">
      <c r="Y265" s="4"/>
    </row>
    <row r="266" spans="25:25" x14ac:dyDescent="0.3">
      <c r="Y266" s="4"/>
    </row>
    <row r="267" spans="25:25" x14ac:dyDescent="0.3">
      <c r="Y267" s="4"/>
    </row>
    <row r="268" spans="25:25" x14ac:dyDescent="0.3">
      <c r="Y268" s="4"/>
    </row>
    <row r="269" spans="25:25" x14ac:dyDescent="0.3">
      <c r="Y269" s="4"/>
    </row>
    <row r="270" spans="25:25" x14ac:dyDescent="0.3">
      <c r="Y270" s="4"/>
    </row>
    <row r="271" spans="25:25" x14ac:dyDescent="0.3">
      <c r="Y271" s="4"/>
    </row>
    <row r="272" spans="25:25" x14ac:dyDescent="0.3">
      <c r="Y272" s="4"/>
    </row>
    <row r="273" spans="25:25" x14ac:dyDescent="0.3">
      <c r="Y273" s="4"/>
    </row>
    <row r="274" spans="25:25" x14ac:dyDescent="0.3">
      <c r="Y274" s="4"/>
    </row>
    <row r="275" spans="25:25" x14ac:dyDescent="0.3">
      <c r="Y275" s="4"/>
    </row>
    <row r="276" spans="25:25" x14ac:dyDescent="0.3">
      <c r="Y276" s="4"/>
    </row>
    <row r="277" spans="25:25" x14ac:dyDescent="0.3">
      <c r="Y277" s="4"/>
    </row>
    <row r="278" spans="25:25" x14ac:dyDescent="0.3">
      <c r="Y278" s="4"/>
    </row>
    <row r="279" spans="25:25" x14ac:dyDescent="0.3">
      <c r="Y279" s="4"/>
    </row>
    <row r="280" spans="25:25" x14ac:dyDescent="0.3">
      <c r="Y280" s="4"/>
    </row>
    <row r="281" spans="25:25" x14ac:dyDescent="0.3">
      <c r="Y281" s="4"/>
    </row>
    <row r="282" spans="25:25" x14ac:dyDescent="0.3">
      <c r="Y282" s="4"/>
    </row>
    <row r="283" spans="25:25" x14ac:dyDescent="0.3">
      <c r="Y283" s="4"/>
    </row>
    <row r="284" spans="25:25" x14ac:dyDescent="0.3">
      <c r="Y284" s="4"/>
    </row>
    <row r="285" spans="25:25" x14ac:dyDescent="0.3">
      <c r="Y285" s="4"/>
    </row>
    <row r="286" spans="25:25" x14ac:dyDescent="0.3">
      <c r="Y286" s="4"/>
    </row>
    <row r="287" spans="25:25" x14ac:dyDescent="0.3">
      <c r="Y287" s="4"/>
    </row>
    <row r="288" spans="25:25" x14ac:dyDescent="0.3">
      <c r="Y288" s="4"/>
    </row>
    <row r="289" spans="25:25" x14ac:dyDescent="0.3">
      <c r="Y289" s="4"/>
    </row>
    <row r="290" spans="25:25" x14ac:dyDescent="0.3">
      <c r="Y290" s="4"/>
    </row>
    <row r="291" spans="25:25" x14ac:dyDescent="0.3">
      <c r="Y291" s="4"/>
    </row>
    <row r="292" spans="25:25" x14ac:dyDescent="0.3">
      <c r="Y292" s="4"/>
    </row>
    <row r="293" spans="25:25" x14ac:dyDescent="0.3">
      <c r="Y293" s="4"/>
    </row>
    <row r="294" spans="25:25" x14ac:dyDescent="0.3">
      <c r="Y294" s="4"/>
    </row>
    <row r="295" spans="25:25" x14ac:dyDescent="0.3">
      <c r="Y295" s="4"/>
    </row>
    <row r="296" spans="25:25" x14ac:dyDescent="0.3">
      <c r="Y296" s="4"/>
    </row>
    <row r="297" spans="25:25" x14ac:dyDescent="0.3">
      <c r="Y297" s="4"/>
    </row>
    <row r="298" spans="25:25" x14ac:dyDescent="0.3">
      <c r="Y298" s="4"/>
    </row>
    <row r="299" spans="25:25" x14ac:dyDescent="0.3">
      <c r="Y299" s="4"/>
    </row>
    <row r="300" spans="25:25" x14ac:dyDescent="0.3">
      <c r="Y300" s="4"/>
    </row>
    <row r="301" spans="25:25" x14ac:dyDescent="0.3">
      <c r="Y301" s="4"/>
    </row>
    <row r="302" spans="25:25" x14ac:dyDescent="0.3">
      <c r="Y302" s="4"/>
    </row>
    <row r="303" spans="25:25" x14ac:dyDescent="0.3">
      <c r="Y303" s="4"/>
    </row>
    <row r="304" spans="25:25" x14ac:dyDescent="0.3">
      <c r="Y304" s="4"/>
    </row>
    <row r="305" spans="25:25" x14ac:dyDescent="0.3">
      <c r="Y305" s="4"/>
    </row>
    <row r="306" spans="25:25" x14ac:dyDescent="0.3">
      <c r="Y306" s="4"/>
    </row>
    <row r="307" spans="25:25" x14ac:dyDescent="0.3">
      <c r="Y307" s="4"/>
    </row>
    <row r="308" spans="25:25" x14ac:dyDescent="0.3">
      <c r="Y308" s="4"/>
    </row>
    <row r="309" spans="25:25" x14ac:dyDescent="0.3">
      <c r="Y309" s="4"/>
    </row>
    <row r="310" spans="25:25" x14ac:dyDescent="0.3">
      <c r="Y310" s="4"/>
    </row>
    <row r="311" spans="25:25" x14ac:dyDescent="0.3">
      <c r="Y311" s="4"/>
    </row>
    <row r="312" spans="25:25" x14ac:dyDescent="0.3">
      <c r="Y312" s="4"/>
    </row>
    <row r="313" spans="25:25" x14ac:dyDescent="0.3">
      <c r="Y313" s="4"/>
    </row>
    <row r="314" spans="25:25" x14ac:dyDescent="0.3">
      <c r="Y314" s="4"/>
    </row>
    <row r="315" spans="25:25" x14ac:dyDescent="0.3">
      <c r="Y315" s="4"/>
    </row>
    <row r="316" spans="25:25" x14ac:dyDescent="0.3">
      <c r="Y316" s="4"/>
    </row>
    <row r="317" spans="25:25" x14ac:dyDescent="0.3">
      <c r="Y317" s="4"/>
    </row>
    <row r="318" spans="25:25" x14ac:dyDescent="0.3">
      <c r="Y318" s="4"/>
    </row>
    <row r="319" spans="25:25" x14ac:dyDescent="0.3">
      <c r="Y319" s="4"/>
    </row>
    <row r="320" spans="25:25" x14ac:dyDescent="0.3">
      <c r="Y320" s="4"/>
    </row>
    <row r="321" spans="25:25" x14ac:dyDescent="0.3">
      <c r="Y321" s="4"/>
    </row>
    <row r="322" spans="25:25" x14ac:dyDescent="0.3">
      <c r="Y322" s="4"/>
    </row>
    <row r="323" spans="25:25" x14ac:dyDescent="0.3">
      <c r="Y323" s="4"/>
    </row>
    <row r="324" spans="25:25" x14ac:dyDescent="0.3">
      <c r="Y324" s="4"/>
    </row>
    <row r="325" spans="25:25" x14ac:dyDescent="0.3">
      <c r="Y325" s="4"/>
    </row>
    <row r="326" spans="25:25" x14ac:dyDescent="0.3">
      <c r="Y326" s="4"/>
    </row>
    <row r="327" spans="25:25" x14ac:dyDescent="0.3">
      <c r="Y327" s="4"/>
    </row>
    <row r="328" spans="25:25" x14ac:dyDescent="0.3">
      <c r="Y328" s="4"/>
    </row>
    <row r="329" spans="25:25" x14ac:dyDescent="0.3">
      <c r="Y329" s="4"/>
    </row>
    <row r="330" spans="25:25" x14ac:dyDescent="0.3">
      <c r="Y330" s="4"/>
    </row>
    <row r="331" spans="25:25" x14ac:dyDescent="0.3">
      <c r="Y331" s="4"/>
    </row>
    <row r="332" spans="25:25" x14ac:dyDescent="0.3">
      <c r="Y332" s="4"/>
    </row>
    <row r="333" spans="25:25" x14ac:dyDescent="0.3">
      <c r="Y333" s="4"/>
    </row>
    <row r="334" spans="25:25" x14ac:dyDescent="0.3">
      <c r="Y334" s="4"/>
    </row>
    <row r="335" spans="25:25" x14ac:dyDescent="0.3">
      <c r="Y335" s="4"/>
    </row>
    <row r="336" spans="25:25" x14ac:dyDescent="0.3">
      <c r="Y336" s="4"/>
    </row>
    <row r="337" spans="25:25" x14ac:dyDescent="0.3">
      <c r="Y337" s="4"/>
    </row>
    <row r="338" spans="25:25" x14ac:dyDescent="0.3">
      <c r="Y338" s="4"/>
    </row>
    <row r="339" spans="25:25" x14ac:dyDescent="0.3">
      <c r="Y339" s="4"/>
    </row>
    <row r="340" spans="25:25" x14ac:dyDescent="0.3">
      <c r="Y340" s="4"/>
    </row>
    <row r="341" spans="25:25" x14ac:dyDescent="0.3">
      <c r="Y341" s="4"/>
    </row>
    <row r="342" spans="25:25" x14ac:dyDescent="0.3">
      <c r="Y342" s="4"/>
    </row>
    <row r="343" spans="25:25" x14ac:dyDescent="0.3">
      <c r="Y343" s="4"/>
    </row>
    <row r="344" spans="25:25" x14ac:dyDescent="0.3">
      <c r="Y344" s="4"/>
    </row>
    <row r="345" spans="25:25" x14ac:dyDescent="0.3">
      <c r="Y345" s="4"/>
    </row>
    <row r="346" spans="25:25" x14ac:dyDescent="0.3">
      <c r="Y346" s="4"/>
    </row>
    <row r="347" spans="25:25" x14ac:dyDescent="0.3">
      <c r="Y347" s="4"/>
    </row>
    <row r="348" spans="25:25" x14ac:dyDescent="0.3">
      <c r="Y348" s="4"/>
    </row>
    <row r="349" spans="25:25" x14ac:dyDescent="0.3">
      <c r="Y349" s="4"/>
    </row>
    <row r="350" spans="25:25" x14ac:dyDescent="0.3">
      <c r="Y350" s="4"/>
    </row>
    <row r="351" spans="25:25" x14ac:dyDescent="0.3">
      <c r="Y351" s="4"/>
    </row>
    <row r="352" spans="25:25" x14ac:dyDescent="0.3">
      <c r="Y352" s="4"/>
    </row>
    <row r="353" spans="25:25" x14ac:dyDescent="0.3">
      <c r="Y353" s="4"/>
    </row>
    <row r="354" spans="25:25" x14ac:dyDescent="0.3">
      <c r="Y354" s="4"/>
    </row>
    <row r="355" spans="25:25" x14ac:dyDescent="0.3">
      <c r="Y355" s="4"/>
    </row>
    <row r="356" spans="25:25" x14ac:dyDescent="0.3">
      <c r="Y356" s="4"/>
    </row>
    <row r="357" spans="25:25" x14ac:dyDescent="0.3">
      <c r="Y357" s="4"/>
    </row>
    <row r="358" spans="25:25" x14ac:dyDescent="0.3">
      <c r="Y358" s="4"/>
    </row>
    <row r="359" spans="25:25" x14ac:dyDescent="0.3">
      <c r="Y359" s="4"/>
    </row>
    <row r="360" spans="25:25" x14ac:dyDescent="0.3">
      <c r="Y360" s="4"/>
    </row>
    <row r="361" spans="25:25" x14ac:dyDescent="0.3">
      <c r="Y361" s="4"/>
    </row>
    <row r="362" spans="25:25" x14ac:dyDescent="0.3">
      <c r="Y362" s="4"/>
    </row>
    <row r="363" spans="25:25" x14ac:dyDescent="0.3">
      <c r="Y363" s="4"/>
    </row>
    <row r="364" spans="25:25" x14ac:dyDescent="0.3">
      <c r="Y364" s="4"/>
    </row>
    <row r="365" spans="25:25" x14ac:dyDescent="0.3">
      <c r="Y365" s="4"/>
    </row>
    <row r="366" spans="25:25" x14ac:dyDescent="0.3">
      <c r="Y366" s="4"/>
    </row>
    <row r="367" spans="25:25" x14ac:dyDescent="0.3">
      <c r="Y367" s="4"/>
    </row>
    <row r="368" spans="25:25" x14ac:dyDescent="0.3">
      <c r="Y368" s="4"/>
    </row>
    <row r="369" spans="25:25" x14ac:dyDescent="0.3">
      <c r="Y369" s="4"/>
    </row>
    <row r="370" spans="25:25" x14ac:dyDescent="0.3">
      <c r="Y370" s="4"/>
    </row>
    <row r="371" spans="25:25" x14ac:dyDescent="0.3">
      <c r="Y371" s="4"/>
    </row>
    <row r="372" spans="25:25" x14ac:dyDescent="0.3">
      <c r="Y372" s="4"/>
    </row>
    <row r="373" spans="25:25" x14ac:dyDescent="0.3">
      <c r="Y373" s="4"/>
    </row>
    <row r="374" spans="25:25" x14ac:dyDescent="0.3">
      <c r="Y374" s="4"/>
    </row>
    <row r="375" spans="25:25" x14ac:dyDescent="0.3">
      <c r="Y375" s="4"/>
    </row>
    <row r="376" spans="25:25" x14ac:dyDescent="0.3">
      <c r="Y376" s="4"/>
    </row>
    <row r="377" spans="25:25" x14ac:dyDescent="0.3">
      <c r="Y377" s="4"/>
    </row>
    <row r="378" spans="25:25" x14ac:dyDescent="0.3">
      <c r="Y378" s="4"/>
    </row>
    <row r="379" spans="25:25" x14ac:dyDescent="0.3">
      <c r="Y379" s="4"/>
    </row>
    <row r="380" spans="25:25" x14ac:dyDescent="0.3">
      <c r="Y380" s="4"/>
    </row>
    <row r="381" spans="25:25" x14ac:dyDescent="0.3">
      <c r="Y381" s="4"/>
    </row>
    <row r="382" spans="25:25" x14ac:dyDescent="0.3">
      <c r="Y382" s="4"/>
    </row>
    <row r="383" spans="25:25" x14ac:dyDescent="0.3">
      <c r="Y383" s="4"/>
    </row>
    <row r="384" spans="25:25" x14ac:dyDescent="0.3">
      <c r="Y384" s="4"/>
    </row>
    <row r="385" spans="25:25" x14ac:dyDescent="0.3">
      <c r="Y385" s="4"/>
    </row>
    <row r="386" spans="25:25" x14ac:dyDescent="0.3">
      <c r="Y386" s="4"/>
    </row>
    <row r="387" spans="25:25" x14ac:dyDescent="0.3">
      <c r="Y387" s="4"/>
    </row>
    <row r="388" spans="25:25" x14ac:dyDescent="0.3">
      <c r="Y388" s="4"/>
    </row>
    <row r="389" spans="25:25" x14ac:dyDescent="0.3">
      <c r="Y389" s="4"/>
    </row>
    <row r="390" spans="25:25" x14ac:dyDescent="0.3">
      <c r="Y390" s="4"/>
    </row>
    <row r="391" spans="25:25" x14ac:dyDescent="0.3">
      <c r="Y391" s="4"/>
    </row>
    <row r="392" spans="25:25" x14ac:dyDescent="0.3">
      <c r="Y392" s="4"/>
    </row>
    <row r="393" spans="25:25" x14ac:dyDescent="0.3">
      <c r="Y393" s="4"/>
    </row>
    <row r="394" spans="25:25" x14ac:dyDescent="0.3">
      <c r="Y394" s="4"/>
    </row>
    <row r="395" spans="25:25" x14ac:dyDescent="0.3">
      <c r="Y395" s="4"/>
    </row>
    <row r="396" spans="25:25" x14ac:dyDescent="0.3">
      <c r="Y396" s="4"/>
    </row>
    <row r="397" spans="25:25" x14ac:dyDescent="0.3">
      <c r="Y397" s="4"/>
    </row>
    <row r="398" spans="25:25" x14ac:dyDescent="0.3">
      <c r="Y398" s="4"/>
    </row>
    <row r="399" spans="25:25" x14ac:dyDescent="0.3">
      <c r="Y399" s="4"/>
    </row>
    <row r="400" spans="25:25" x14ac:dyDescent="0.3">
      <c r="Y400" s="4"/>
    </row>
    <row r="401" spans="25:25" x14ac:dyDescent="0.3">
      <c r="Y401" s="4"/>
    </row>
    <row r="402" spans="25:25" x14ac:dyDescent="0.3">
      <c r="Y402" s="4"/>
    </row>
    <row r="403" spans="25:25" x14ac:dyDescent="0.3">
      <c r="Y403" s="4"/>
    </row>
    <row r="404" spans="25:25" x14ac:dyDescent="0.3">
      <c r="Y404" s="4"/>
    </row>
    <row r="405" spans="25:25" x14ac:dyDescent="0.3">
      <c r="Y405" s="4"/>
    </row>
    <row r="406" spans="25:25" x14ac:dyDescent="0.3">
      <c r="Y406" s="4"/>
    </row>
    <row r="407" spans="25:25" x14ac:dyDescent="0.3">
      <c r="Y407" s="4"/>
    </row>
    <row r="408" spans="25:25" x14ac:dyDescent="0.3">
      <c r="Y408" s="4"/>
    </row>
    <row r="409" spans="25:25" x14ac:dyDescent="0.3">
      <c r="Y409" s="4"/>
    </row>
    <row r="410" spans="25:25" x14ac:dyDescent="0.3">
      <c r="Y410" s="4"/>
    </row>
    <row r="411" spans="25:25" x14ac:dyDescent="0.3">
      <c r="Y411" s="4"/>
    </row>
    <row r="412" spans="25:25" x14ac:dyDescent="0.3">
      <c r="Y412" s="4"/>
    </row>
    <row r="413" spans="25:25" x14ac:dyDescent="0.3">
      <c r="Y413" s="4"/>
    </row>
    <row r="414" spans="25:25" x14ac:dyDescent="0.3">
      <c r="Y414" s="4"/>
    </row>
    <row r="415" spans="25:25" x14ac:dyDescent="0.3">
      <c r="Y415" s="4"/>
    </row>
    <row r="416" spans="25:25" x14ac:dyDescent="0.3">
      <c r="Y416" s="4"/>
    </row>
    <row r="417" spans="25:25" x14ac:dyDescent="0.3">
      <c r="Y417" s="4"/>
    </row>
    <row r="418" spans="25:25" x14ac:dyDescent="0.3">
      <c r="Y418" s="4"/>
    </row>
    <row r="419" spans="25:25" x14ac:dyDescent="0.3">
      <c r="Y419" s="4"/>
    </row>
    <row r="420" spans="25:25" x14ac:dyDescent="0.3">
      <c r="Y420" s="4"/>
    </row>
    <row r="421" spans="25:25" x14ac:dyDescent="0.3">
      <c r="Y421" s="4"/>
    </row>
    <row r="422" spans="25:25" x14ac:dyDescent="0.3">
      <c r="Y422" s="4"/>
    </row>
    <row r="423" spans="25:25" x14ac:dyDescent="0.3">
      <c r="Y423" s="4"/>
    </row>
    <row r="424" spans="25:25" x14ac:dyDescent="0.3">
      <c r="Y424" s="4"/>
    </row>
    <row r="425" spans="25:25" x14ac:dyDescent="0.3">
      <c r="Y425" s="4"/>
    </row>
    <row r="426" spans="25:25" x14ac:dyDescent="0.3">
      <c r="Y426" s="4"/>
    </row>
    <row r="427" spans="25:25" x14ac:dyDescent="0.3">
      <c r="Y427" s="4"/>
    </row>
    <row r="428" spans="25:25" x14ac:dyDescent="0.3">
      <c r="Y428" s="4"/>
    </row>
    <row r="429" spans="25:25" x14ac:dyDescent="0.3">
      <c r="Y429" s="4"/>
    </row>
    <row r="430" spans="25:25" x14ac:dyDescent="0.3">
      <c r="Y430" s="4"/>
    </row>
  </sheetData>
  <mergeCells count="75">
    <mergeCell ref="L2:M2"/>
    <mergeCell ref="CQ3:CR3"/>
    <mergeCell ref="N2:O2"/>
    <mergeCell ref="T2:U2"/>
    <mergeCell ref="V2:W2"/>
    <mergeCell ref="BH3:BJ3"/>
    <mergeCell ref="BK3:BL3"/>
    <mergeCell ref="BM3:BN3"/>
    <mergeCell ref="BS3:BT3"/>
    <mergeCell ref="BO3:BP3"/>
    <mergeCell ref="BQ3:BR3"/>
    <mergeCell ref="BU3:BV3"/>
    <mergeCell ref="AZ3:BA3"/>
    <mergeCell ref="BE3:BG3"/>
    <mergeCell ref="AX3:AY3"/>
    <mergeCell ref="AQ3:AS3"/>
    <mergeCell ref="DA3:DB3"/>
    <mergeCell ref="CO1:DB1"/>
    <mergeCell ref="DA2:DB2"/>
    <mergeCell ref="BW1:BZ1"/>
    <mergeCell ref="BW2:BZ2"/>
    <mergeCell ref="CO2:CY2"/>
    <mergeCell ref="CA2:CM2"/>
    <mergeCell ref="CS3:CT3"/>
    <mergeCell ref="CE3:CF3"/>
    <mergeCell ref="CC3:CD3"/>
    <mergeCell ref="CA3:CB3"/>
    <mergeCell ref="BY3:BZ3"/>
    <mergeCell ref="BW3:BX3"/>
    <mergeCell ref="DC1:DD1"/>
    <mergeCell ref="DC2:DD2"/>
    <mergeCell ref="CA1:CM1"/>
    <mergeCell ref="T1:U1"/>
    <mergeCell ref="V1:W1"/>
    <mergeCell ref="X1:Y1"/>
    <mergeCell ref="BK1:BV1"/>
    <mergeCell ref="BK2:BV2"/>
    <mergeCell ref="AH2:AK2"/>
    <mergeCell ref="AZ2:BA2"/>
    <mergeCell ref="AN2:AS2"/>
    <mergeCell ref="BH2:BJ2"/>
    <mergeCell ref="BH1:BJ1"/>
    <mergeCell ref="Z1:AG1"/>
    <mergeCell ref="AH1:BG1"/>
    <mergeCell ref="B2:C2"/>
    <mergeCell ref="B1:C1"/>
    <mergeCell ref="D1:E1"/>
    <mergeCell ref="R1:S1"/>
    <mergeCell ref="F1:G1"/>
    <mergeCell ref="N1:O1"/>
    <mergeCell ref="D2:E2"/>
    <mergeCell ref="R2:S2"/>
    <mergeCell ref="P2:Q2"/>
    <mergeCell ref="H1:I1"/>
    <mergeCell ref="J1:K1"/>
    <mergeCell ref="L1:M1"/>
    <mergeCell ref="P1:Q1"/>
    <mergeCell ref="F2:G2"/>
    <mergeCell ref="H2:I2"/>
    <mergeCell ref="J2:K2"/>
    <mergeCell ref="BB3:BD3"/>
    <mergeCell ref="BB2:BG2"/>
    <mergeCell ref="AJ3:AK3"/>
    <mergeCell ref="AX2:AY2"/>
    <mergeCell ref="AT2:AU2"/>
    <mergeCell ref="AV2:AW2"/>
    <mergeCell ref="AV3:AW3"/>
    <mergeCell ref="AT3:AU3"/>
    <mergeCell ref="AN3:AP3"/>
    <mergeCell ref="AH3:AI3"/>
    <mergeCell ref="AL2:AM2"/>
    <mergeCell ref="Z3:AA3"/>
    <mergeCell ref="AD3:AE3"/>
    <mergeCell ref="X2:Y2"/>
    <mergeCell ref="Z2:AG2"/>
  </mergeCells>
  <phoneticPr fontId="24" type="noConversion"/>
  <hyperlinks>
    <hyperlink ref="DE22" r:id="rId1" display="https://fcc.report/FCC-ID/PY7-64228M/7147969.pdf" xr:uid="{00000000-0004-0000-0700-000000000000}"/>
    <hyperlink ref="DE23" r:id="rId2" display="https://fcc.report/FCC-ID/A3LSMP620/7137527.pdf" xr:uid="{00000000-0004-0000-0700-000001000000}"/>
    <hyperlink ref="DE24" r:id="rId3" xr:uid="{00000000-0004-0000-0700-000002000000}"/>
    <hyperlink ref="DE25" r:id="rId4" display="https://apps.fcc.gov/eas/GetApplicationAttachment.html?id=2095846" xr:uid="{00000000-0004-0000-0700-000003000000}"/>
    <hyperlink ref="DC33" r:id="rId5" display="https://www.sciencedirect.com/topics/computer-science/bluetooth-radio" xr:uid="{8C0A2610-0A4D-4B4F-8908-EF681EB74520}"/>
  </hyperlinks>
  <pageMargins left="0.7" right="0.7" top="0.75" bottom="0.75" header="0.3" footer="0.3"/>
  <pageSetup paperSize="9" orientation="portrait" r:id="rId6"/>
  <legacyDrawing r:id="rId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O70"/>
  <sheetViews>
    <sheetView zoomScale="85" zoomScaleNormal="85" workbookViewId="0">
      <selection activeCell="J20" sqref="J20"/>
    </sheetView>
  </sheetViews>
  <sheetFormatPr defaultRowHeight="14" x14ac:dyDescent="0.3"/>
  <cols>
    <col min="3" max="3" width="15.08203125" customWidth="1"/>
    <col min="4" max="4" width="23.5" bestFit="1" customWidth="1"/>
    <col min="5" max="5" width="10" bestFit="1" customWidth="1"/>
    <col min="6" max="6" width="10.1640625" bestFit="1" customWidth="1"/>
    <col min="7" max="7" width="8.4140625" bestFit="1" customWidth="1"/>
    <col min="8" max="8" width="6.75" bestFit="1" customWidth="1"/>
    <col min="9" max="9" width="6.25" bestFit="1" customWidth="1"/>
    <col min="10" max="10" width="10" bestFit="1" customWidth="1"/>
    <col min="11" max="11" width="7.83203125" bestFit="1" customWidth="1"/>
    <col min="12" max="12" width="6.25" bestFit="1" customWidth="1"/>
    <col min="13" max="13" width="10" bestFit="1" customWidth="1"/>
  </cols>
  <sheetData>
    <row r="1" spans="1:67" x14ac:dyDescent="0.3">
      <c r="A1" s="5"/>
      <c r="B1" s="5"/>
      <c r="C1" s="5"/>
      <c r="E1" s="101" t="s">
        <v>92</v>
      </c>
      <c r="F1" s="101" t="s">
        <v>93</v>
      </c>
      <c r="G1" s="101" t="s">
        <v>94</v>
      </c>
      <c r="H1" s="101" t="s">
        <v>95</v>
      </c>
      <c r="I1" s="101" t="s">
        <v>96</v>
      </c>
      <c r="J1" s="101" t="s">
        <v>97</v>
      </c>
      <c r="K1" s="101" t="s">
        <v>98</v>
      </c>
      <c r="L1" s="101" t="s">
        <v>99</v>
      </c>
      <c r="M1" s="101" t="s">
        <v>118</v>
      </c>
      <c r="N1" s="5"/>
      <c r="O1" s="5"/>
      <c r="P1" s="5"/>
      <c r="Q1" s="5"/>
      <c r="R1" s="5"/>
      <c r="S1" s="5"/>
      <c r="T1" s="5"/>
      <c r="U1" s="5"/>
      <c r="V1" s="5"/>
      <c r="W1" s="5"/>
      <c r="X1" s="5"/>
      <c r="Y1" s="5"/>
      <c r="Z1" s="5"/>
      <c r="AA1" s="5"/>
      <c r="AB1" s="5"/>
      <c r="AC1" s="5"/>
      <c r="AD1" s="5"/>
      <c r="AE1" s="5"/>
      <c r="AF1" s="5"/>
      <c r="AG1" s="5"/>
      <c r="AH1" s="5"/>
      <c r="AI1" s="5"/>
    </row>
    <row r="2" spans="1:67" x14ac:dyDescent="0.3">
      <c r="A2" s="5"/>
      <c r="B2" s="5"/>
      <c r="C2" s="5"/>
      <c r="D2" s="102" t="s">
        <v>286</v>
      </c>
      <c r="E2" s="95">
        <f>MobileCall!B5</f>
        <v>322.77372054762856</v>
      </c>
      <c r="F2" s="96">
        <f>MobileData!B5</f>
        <v>146.94670653357969</v>
      </c>
      <c r="G2" s="96">
        <f>Cordless!B5</f>
        <v>12.484726384365473</v>
      </c>
      <c r="H2" s="96">
        <f>Laptop!B5</f>
        <v>0.70773816339404305</v>
      </c>
      <c r="I2" s="96">
        <f>Tablet!B5</f>
        <v>7.8700348237550903</v>
      </c>
      <c r="J2" s="96">
        <f>Farfield!B5</f>
        <v>162.57838938779355</v>
      </c>
      <c r="K2" s="96">
        <f>Wifi!B5</f>
        <v>1.3402189954139454</v>
      </c>
      <c r="L2" s="96">
        <f>Other!B5</f>
        <v>74.921039950375757</v>
      </c>
      <c r="M2" s="97">
        <f>SUM(E2:L2)</f>
        <v>729.62257478630613</v>
      </c>
      <c r="N2" s="5"/>
      <c r="O2" s="5"/>
      <c r="P2" s="5"/>
      <c r="Q2" s="5"/>
      <c r="R2" s="5"/>
      <c r="S2" s="5"/>
      <c r="T2" s="5"/>
      <c r="U2" s="5"/>
      <c r="V2" s="5"/>
      <c r="W2" s="5"/>
      <c r="X2" s="5"/>
      <c r="Y2" s="5"/>
      <c r="Z2" s="5"/>
      <c r="AA2" s="5"/>
      <c r="AB2" s="5"/>
      <c r="AC2" s="5"/>
      <c r="AD2" s="5"/>
      <c r="AE2" s="5"/>
      <c r="AF2" s="5"/>
      <c r="AG2" s="5"/>
      <c r="AH2" s="5"/>
      <c r="AI2" s="5"/>
    </row>
    <row r="3" spans="1:67" x14ac:dyDescent="0.3">
      <c r="A3" s="5"/>
      <c r="B3" s="5"/>
      <c r="C3" s="5"/>
      <c r="D3" s="102" t="s">
        <v>287</v>
      </c>
      <c r="E3" s="98">
        <f>MobileCall!C5</f>
        <v>66.647262458451834</v>
      </c>
      <c r="F3" s="99">
        <f>MobileData!C5</f>
        <v>78.687031128907165</v>
      </c>
      <c r="G3" s="99">
        <f>Cordless!C5</f>
        <v>3.5809795055520559</v>
      </c>
      <c r="H3" s="99">
        <f>Laptop!C5</f>
        <v>101.37879667327552</v>
      </c>
      <c r="I3" s="99">
        <f>Tablet!C5</f>
        <v>7.5665043429291439</v>
      </c>
      <c r="J3" s="99">
        <f>Farfield!C5</f>
        <v>136.02053352453879</v>
      </c>
      <c r="K3" s="99">
        <f>Wifi!C5</f>
        <v>5.4167703466140011</v>
      </c>
      <c r="L3" s="99">
        <f>Other!C5</f>
        <v>88.521277198375955</v>
      </c>
      <c r="M3" s="100">
        <f>SUM(E3:L3)</f>
        <v>487.81915517864445</v>
      </c>
      <c r="N3" s="5"/>
      <c r="O3" s="5"/>
      <c r="P3" s="5"/>
      <c r="Q3" s="5"/>
      <c r="R3" s="5"/>
      <c r="S3" s="5"/>
      <c r="T3" s="5"/>
      <c r="U3" s="5"/>
      <c r="V3" s="5"/>
      <c r="W3" s="5"/>
      <c r="X3" s="5"/>
      <c r="Y3" s="5"/>
      <c r="Z3" s="5"/>
      <c r="AA3" s="5"/>
      <c r="AB3" s="5"/>
      <c r="AC3" s="5"/>
      <c r="AD3" s="5"/>
      <c r="AE3" s="5"/>
      <c r="AF3" s="5"/>
      <c r="AG3" s="5"/>
      <c r="AH3" s="5"/>
      <c r="AI3" s="5"/>
    </row>
    <row r="4" spans="1:67" x14ac:dyDescent="0.3">
      <c r="A4" s="5"/>
      <c r="B4" s="5"/>
      <c r="C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row>
    <row r="5" spans="1:67" x14ac:dyDescent="0.3">
      <c r="A5" s="5"/>
      <c r="B5" s="5"/>
      <c r="C5" s="5"/>
      <c r="D5" s="103" t="s">
        <v>100</v>
      </c>
      <c r="E5" s="150">
        <f>E2/M2</f>
        <v>0.44238450358003711</v>
      </c>
      <c r="F5" s="151">
        <f>F2/M2</f>
        <v>0.20140098677267193</v>
      </c>
      <c r="G5" s="151">
        <f>G2/M2</f>
        <v>1.7111211763180482E-2</v>
      </c>
      <c r="H5" s="151">
        <f>H2/M2</f>
        <v>9.7000584665479599E-4</v>
      </c>
      <c r="I5" s="151">
        <f>I2/M2</f>
        <v>1.0786446439188217E-2</v>
      </c>
      <c r="J5" s="151">
        <f>J2/M2</f>
        <v>0.22282532778732889</v>
      </c>
      <c r="K5" s="151">
        <f>K2/M2</f>
        <v>1.8368661301447155E-3</v>
      </c>
      <c r="L5" s="151">
        <f>L2/M2</f>
        <v>0.10268465168079378</v>
      </c>
      <c r="M5" s="97">
        <f>SUM(E5:L5)</f>
        <v>0.99999999999999989</v>
      </c>
      <c r="N5" s="5"/>
      <c r="O5" s="5"/>
      <c r="P5" s="5"/>
      <c r="Q5" s="5"/>
      <c r="R5" s="5"/>
      <c r="S5" s="5"/>
      <c r="T5" s="5"/>
      <c r="U5" s="5"/>
      <c r="V5" s="5"/>
      <c r="W5" s="5"/>
      <c r="X5" s="5"/>
      <c r="Y5" s="5"/>
      <c r="Z5" s="5"/>
      <c r="AA5" s="5"/>
      <c r="AB5" s="5"/>
      <c r="AC5" s="5"/>
      <c r="AD5" s="5"/>
      <c r="AE5" s="5"/>
      <c r="AF5" s="5"/>
      <c r="AG5" s="5"/>
      <c r="AH5" s="5"/>
      <c r="AI5" s="5"/>
    </row>
    <row r="6" spans="1:67" ht="14.5" thickBot="1" x14ac:dyDescent="0.35">
      <c r="A6" s="5"/>
      <c r="B6" s="5"/>
      <c r="C6" s="5"/>
      <c r="D6" s="103" t="s">
        <v>101</v>
      </c>
      <c r="E6" s="152">
        <f>E3/M3</f>
        <v>0.13662288934522243</v>
      </c>
      <c r="F6" s="153">
        <f>F3/M3</f>
        <v>0.16130369275903311</v>
      </c>
      <c r="G6" s="153">
        <f>G3/M3</f>
        <v>7.3407931351950782E-3</v>
      </c>
      <c r="H6" s="153">
        <f>H3/M3</f>
        <v>0.20782045066711155</v>
      </c>
      <c r="I6" s="153">
        <f>I3/M3</f>
        <v>1.5510879928768298E-2</v>
      </c>
      <c r="J6" s="153">
        <f>J3/M3</f>
        <v>0.27883393278135349</v>
      </c>
      <c r="K6" s="153">
        <f>K3/M3</f>
        <v>1.1104054215809388E-2</v>
      </c>
      <c r="L6" s="153">
        <f>L3/M3</f>
        <v>0.18146330716750667</v>
      </c>
      <c r="M6" s="100">
        <f>SUM(E6:L6)</f>
        <v>1</v>
      </c>
      <c r="N6" s="5"/>
      <c r="O6" s="5"/>
      <c r="P6" s="5"/>
      <c r="Q6" s="5"/>
      <c r="R6" s="5"/>
      <c r="S6" s="5"/>
      <c r="T6" s="5"/>
      <c r="U6" s="5"/>
      <c r="V6" s="5"/>
      <c r="W6" s="5"/>
      <c r="X6" s="5"/>
      <c r="Y6" s="5"/>
      <c r="Z6" s="5"/>
      <c r="AA6" s="5"/>
      <c r="AB6" s="5"/>
      <c r="AC6" s="5"/>
      <c r="AD6" s="5"/>
      <c r="AE6" s="5"/>
      <c r="AF6" s="5"/>
      <c r="AG6" s="5"/>
      <c r="AH6" s="5"/>
      <c r="AI6" s="5"/>
    </row>
    <row r="7" spans="1:67" ht="28" thickTop="1" x14ac:dyDescent="0.55000000000000004">
      <c r="A7" s="5"/>
      <c r="B7" s="5"/>
      <c r="D7" s="5"/>
      <c r="E7" s="5"/>
      <c r="F7" s="5"/>
      <c r="G7" s="5"/>
      <c r="H7" s="5"/>
      <c r="I7" s="5"/>
      <c r="J7" s="5"/>
      <c r="K7" s="5"/>
      <c r="L7" s="5"/>
      <c r="M7" s="5"/>
      <c r="N7" s="5"/>
      <c r="O7" s="5"/>
      <c r="P7" s="5"/>
      <c r="Q7" s="5"/>
      <c r="R7" s="5"/>
      <c r="S7" s="5"/>
      <c r="T7" s="5"/>
      <c r="U7" s="5"/>
      <c r="V7" s="5"/>
      <c r="W7" s="5"/>
      <c r="X7" s="5"/>
      <c r="Y7" s="5"/>
      <c r="Z7" s="6"/>
      <c r="AA7" s="7"/>
      <c r="AB7" s="7"/>
      <c r="AC7" s="7"/>
      <c r="AD7" s="7"/>
      <c r="AE7" s="7"/>
      <c r="AF7" s="7"/>
      <c r="AG7" s="7"/>
      <c r="AH7" s="7"/>
      <c r="AI7" s="7"/>
      <c r="AJ7" s="8"/>
      <c r="AK7" s="8"/>
      <c r="AL7" s="8"/>
      <c r="AM7" s="8"/>
      <c r="AN7" s="8"/>
      <c r="AO7" s="8"/>
      <c r="AP7" s="16"/>
      <c r="AQ7" s="16"/>
      <c r="AR7" s="16"/>
      <c r="AS7" s="16"/>
      <c r="AT7" s="20"/>
      <c r="AU7" s="16"/>
      <c r="AV7" s="16"/>
      <c r="AW7" s="16"/>
      <c r="AX7" s="16"/>
      <c r="AY7" s="16"/>
      <c r="AZ7" s="16"/>
      <c r="BA7" s="16"/>
      <c r="BB7" s="16"/>
      <c r="BC7" s="21"/>
      <c r="BD7" s="21"/>
      <c r="BE7" s="21"/>
      <c r="BF7" s="21"/>
      <c r="BG7" s="21"/>
      <c r="BH7" s="21"/>
      <c r="BI7" s="21"/>
      <c r="BJ7" s="21"/>
      <c r="BK7" s="21"/>
      <c r="BL7" s="21"/>
      <c r="BM7" s="21"/>
      <c r="BN7" s="21"/>
      <c r="BO7" s="25"/>
    </row>
    <row r="8" spans="1:67" ht="27.5" x14ac:dyDescent="0.55000000000000004">
      <c r="A8" s="5"/>
      <c r="B8" s="5"/>
      <c r="C8" s="5"/>
      <c r="D8" s="5"/>
      <c r="E8" s="5"/>
      <c r="F8" s="5"/>
      <c r="G8" s="5"/>
      <c r="H8" s="5"/>
      <c r="I8" s="5"/>
      <c r="J8" s="5"/>
      <c r="K8" s="5"/>
      <c r="L8" s="5"/>
      <c r="M8" s="5"/>
      <c r="N8" s="5"/>
      <c r="O8" s="5"/>
      <c r="P8" s="5"/>
      <c r="Q8" s="5"/>
      <c r="R8" s="5"/>
      <c r="S8" s="5"/>
      <c r="T8" s="5"/>
      <c r="U8" s="5"/>
      <c r="V8" s="5"/>
      <c r="W8" s="5"/>
      <c r="X8" s="5"/>
      <c r="Y8" s="5"/>
      <c r="Z8" s="9"/>
      <c r="AA8" s="10"/>
      <c r="AB8" s="10"/>
      <c r="AC8" s="10"/>
      <c r="AD8" s="10"/>
      <c r="AE8" s="10"/>
      <c r="AF8" s="10"/>
      <c r="AG8" s="11" t="s">
        <v>129</v>
      </c>
      <c r="AH8" s="10"/>
      <c r="AI8" s="10"/>
      <c r="AJ8" s="12"/>
      <c r="AK8" s="12"/>
      <c r="AL8" s="12"/>
      <c r="AM8" s="12"/>
      <c r="AN8" s="12"/>
      <c r="AO8" s="12"/>
      <c r="AP8" s="18"/>
      <c r="AQ8" s="18"/>
      <c r="AR8" s="18"/>
      <c r="AS8" s="18"/>
      <c r="AT8" s="17" t="s">
        <v>130</v>
      </c>
      <c r="AU8" s="18"/>
      <c r="AV8" s="18"/>
      <c r="AW8" s="18"/>
      <c r="AX8" s="18"/>
      <c r="AY8" s="18"/>
      <c r="AZ8" s="18"/>
      <c r="BA8" s="18"/>
      <c r="BB8" s="18"/>
      <c r="BC8" s="22"/>
      <c r="BD8" s="22"/>
      <c r="BE8" s="22"/>
      <c r="BF8" s="22"/>
      <c r="BG8" s="22"/>
      <c r="BH8" s="23" t="s">
        <v>131</v>
      </c>
      <c r="BI8" s="22"/>
      <c r="BJ8" s="22"/>
      <c r="BK8" s="22"/>
      <c r="BL8" s="22"/>
      <c r="BM8" s="22"/>
      <c r="BN8" s="22"/>
      <c r="BO8" s="26"/>
    </row>
    <row r="9" spans="1:67" x14ac:dyDescent="0.3">
      <c r="A9" s="5"/>
      <c r="B9" s="5"/>
      <c r="C9" s="5"/>
      <c r="D9" s="5"/>
      <c r="E9" s="5"/>
      <c r="F9" s="5"/>
      <c r="G9" s="5"/>
      <c r="H9" s="5"/>
      <c r="I9" s="5"/>
      <c r="J9" s="5"/>
      <c r="K9" s="5"/>
      <c r="L9" s="5"/>
      <c r="M9" s="5"/>
      <c r="N9" s="5"/>
      <c r="O9" s="5"/>
      <c r="P9" s="5"/>
      <c r="Q9" s="5"/>
      <c r="R9" s="5"/>
      <c r="S9" s="5"/>
      <c r="T9" s="5"/>
      <c r="U9" s="5"/>
      <c r="V9" s="5"/>
      <c r="W9" s="5"/>
      <c r="X9" s="5"/>
      <c r="Y9" s="5"/>
      <c r="Z9" s="9"/>
      <c r="AA9" s="10"/>
      <c r="AB9" s="10"/>
      <c r="AC9" s="10"/>
      <c r="AD9" s="10"/>
      <c r="AE9" s="10"/>
      <c r="AF9" s="10"/>
      <c r="AG9" s="10"/>
      <c r="AH9" s="10"/>
      <c r="AI9" s="10"/>
      <c r="AJ9" s="12"/>
      <c r="AK9" s="12"/>
      <c r="AL9" s="12"/>
      <c r="AM9" s="12"/>
      <c r="AN9" s="12"/>
      <c r="AO9" s="12"/>
      <c r="AP9" s="18"/>
      <c r="AQ9" s="18"/>
      <c r="AR9" s="18"/>
      <c r="AS9" s="18"/>
      <c r="AT9" s="18"/>
      <c r="AU9" s="18"/>
      <c r="AV9" s="18"/>
      <c r="AW9" s="18"/>
      <c r="AX9" s="18"/>
      <c r="AY9" s="18"/>
      <c r="AZ9" s="18"/>
      <c r="BA9" s="18"/>
      <c r="BB9" s="18"/>
      <c r="BC9" s="22"/>
      <c r="BD9" s="22"/>
      <c r="BE9" s="22"/>
      <c r="BF9" s="22"/>
      <c r="BG9" s="22"/>
      <c r="BH9" s="22"/>
      <c r="BI9" s="22"/>
      <c r="BJ9" s="22"/>
      <c r="BK9" s="22"/>
      <c r="BL9" s="22"/>
      <c r="BM9" s="22"/>
      <c r="BN9" s="22"/>
      <c r="BO9" s="26"/>
    </row>
    <row r="10" spans="1:67" x14ac:dyDescent="0.3">
      <c r="A10" s="5"/>
      <c r="B10" s="5"/>
      <c r="C10" s="5" t="s">
        <v>14</v>
      </c>
      <c r="D10" s="5" t="s">
        <v>125</v>
      </c>
      <c r="E10" s="5">
        <f>SUM(MobileCall!B5,MobileData!B5,Cordless!B5,Laptop!B5,Tablet!B5,Other!D5,Other!F5,Other!H5,Other!J5,Other!L5,Other!N5,Other!P5,Other!R5,Other!T5,Other!V5,Other!X5)</f>
        <v>566.9451689291127</v>
      </c>
      <c r="F10" s="5"/>
      <c r="G10" s="5"/>
      <c r="H10" s="5"/>
      <c r="I10" s="5"/>
      <c r="J10" s="5"/>
      <c r="K10" s="5"/>
      <c r="L10" s="5"/>
      <c r="M10" s="5"/>
      <c r="N10" s="5"/>
      <c r="O10" s="5"/>
      <c r="P10" s="5"/>
      <c r="Q10" s="5"/>
      <c r="R10" s="5"/>
      <c r="S10" s="5"/>
      <c r="T10" s="5"/>
      <c r="U10" s="5"/>
      <c r="V10" s="5"/>
      <c r="W10" s="5"/>
      <c r="X10" s="5"/>
      <c r="Y10" s="5"/>
      <c r="Z10" s="9"/>
      <c r="AA10" s="10"/>
      <c r="AB10" s="10"/>
      <c r="AC10" s="10"/>
      <c r="AD10" s="10"/>
      <c r="AE10" s="10"/>
      <c r="AF10" s="10"/>
      <c r="AG10" s="10"/>
      <c r="AH10" s="10"/>
      <c r="AI10" s="10"/>
      <c r="AJ10" s="12"/>
      <c r="AK10" s="12"/>
      <c r="AL10" s="12"/>
      <c r="AM10" s="12"/>
      <c r="AN10" s="12"/>
      <c r="AO10" s="12"/>
      <c r="AP10" s="18"/>
      <c r="AQ10" s="18"/>
      <c r="AR10" s="18"/>
      <c r="AS10" s="18"/>
      <c r="AT10" s="18"/>
      <c r="AU10" s="18"/>
      <c r="AV10" s="18"/>
      <c r="AW10" s="18"/>
      <c r="AX10" s="18"/>
      <c r="AY10" s="18"/>
      <c r="AZ10" s="18"/>
      <c r="BA10" s="18"/>
      <c r="BB10" s="18"/>
      <c r="BC10" s="22"/>
      <c r="BD10" s="22"/>
      <c r="BE10" s="22"/>
      <c r="BF10" s="22"/>
      <c r="BG10" s="22"/>
      <c r="BH10" s="22"/>
      <c r="BI10" s="22"/>
      <c r="BJ10" s="22"/>
      <c r="BK10" s="22"/>
      <c r="BL10" s="22"/>
      <c r="BM10" s="22"/>
      <c r="BN10" s="22"/>
      <c r="BO10" s="26"/>
    </row>
    <row r="11" spans="1:67" x14ac:dyDescent="0.3">
      <c r="A11" s="5"/>
      <c r="B11" s="5"/>
      <c r="C11" s="5"/>
      <c r="D11" s="5" t="s">
        <v>126</v>
      </c>
      <c r="E11" s="5">
        <f>Farfield!B5</f>
        <v>162.57838938779355</v>
      </c>
      <c r="F11" s="5"/>
      <c r="G11" s="5"/>
      <c r="H11" s="5"/>
      <c r="I11" s="5"/>
      <c r="J11" s="5"/>
      <c r="K11" s="5"/>
      <c r="L11" s="5"/>
      <c r="M11" s="5"/>
      <c r="N11" s="5"/>
      <c r="O11" s="5"/>
      <c r="P11" s="5"/>
      <c r="Q11" s="5"/>
      <c r="R11" s="5"/>
      <c r="S11" s="5"/>
      <c r="T11" s="5"/>
      <c r="U11" s="5"/>
      <c r="V11" s="5"/>
      <c r="W11" s="5"/>
      <c r="X11" s="5"/>
      <c r="Y11" s="5"/>
      <c r="Z11" s="9"/>
      <c r="AA11" s="10"/>
      <c r="AB11" s="10"/>
      <c r="AC11" s="10"/>
      <c r="AD11" s="10"/>
      <c r="AE11" s="10"/>
      <c r="AF11" s="10"/>
      <c r="AG11" s="10"/>
      <c r="AH11" s="10"/>
      <c r="AI11" s="10"/>
      <c r="AJ11" s="12"/>
      <c r="AK11" s="12"/>
      <c r="AL11" s="12"/>
      <c r="AM11" s="12"/>
      <c r="AN11" s="12"/>
      <c r="AO11" s="12"/>
      <c r="AP11" s="18"/>
      <c r="AQ11" s="18"/>
      <c r="AR11" s="18"/>
      <c r="AS11" s="18"/>
      <c r="AT11" s="18"/>
      <c r="AU11" s="18"/>
      <c r="AV11" s="18"/>
      <c r="AW11" s="18"/>
      <c r="AX11" s="18"/>
      <c r="AY11" s="18"/>
      <c r="AZ11" s="18"/>
      <c r="BA11" s="18"/>
      <c r="BB11" s="18"/>
      <c r="BC11" s="22"/>
      <c r="BD11" s="22"/>
      <c r="BE11" s="22"/>
      <c r="BF11" s="22"/>
      <c r="BG11" s="22"/>
      <c r="BH11" s="22"/>
      <c r="BI11" s="22"/>
      <c r="BJ11" s="22"/>
      <c r="BK11" s="22"/>
      <c r="BL11" s="22"/>
      <c r="BM11" s="22"/>
      <c r="BN11" s="22"/>
      <c r="BO11" s="26"/>
    </row>
    <row r="12" spans="1:67" x14ac:dyDescent="0.3">
      <c r="A12" s="5"/>
      <c r="B12" s="5"/>
      <c r="C12" s="5"/>
      <c r="D12" s="5" t="s">
        <v>127</v>
      </c>
      <c r="E12" s="5">
        <f>SUM(Wifi!B5+Other!T5)</f>
        <v>2.6498088154139454</v>
      </c>
      <c r="F12" s="5"/>
      <c r="G12" s="5"/>
      <c r="H12" s="5"/>
      <c r="I12" s="5"/>
      <c r="J12" s="5"/>
      <c r="K12" s="85"/>
      <c r="L12" s="5"/>
      <c r="M12" s="5"/>
      <c r="N12" s="5"/>
      <c r="O12" s="5"/>
      <c r="P12" s="5"/>
      <c r="Q12" s="5"/>
      <c r="R12" s="5"/>
      <c r="S12" s="5"/>
      <c r="T12" s="5"/>
      <c r="U12" s="5"/>
      <c r="V12" s="5"/>
      <c r="W12" s="5"/>
      <c r="X12" s="5"/>
      <c r="Y12" s="5"/>
      <c r="Z12" s="9"/>
      <c r="AA12" s="10"/>
      <c r="AB12" s="10"/>
      <c r="AC12" s="10"/>
      <c r="AD12" s="10"/>
      <c r="AE12" s="10"/>
      <c r="AF12" s="10"/>
      <c r="AG12" s="10"/>
      <c r="AH12" s="10"/>
      <c r="AI12" s="10"/>
      <c r="AJ12" s="12"/>
      <c r="AK12" s="12"/>
      <c r="AL12" s="12"/>
      <c r="AM12" s="12"/>
      <c r="AN12" s="12"/>
      <c r="AO12" s="12"/>
      <c r="AP12" s="18"/>
      <c r="AQ12" s="18"/>
      <c r="AR12" s="18"/>
      <c r="AS12" s="18"/>
      <c r="AT12" s="18"/>
      <c r="AU12" s="18"/>
      <c r="AV12" s="18"/>
      <c r="AW12" s="18"/>
      <c r="AX12" s="18"/>
      <c r="AY12" s="18"/>
      <c r="AZ12" s="18"/>
      <c r="BA12" s="18"/>
      <c r="BB12" s="18"/>
      <c r="BC12" s="22"/>
      <c r="BD12" s="22"/>
      <c r="BE12" s="22"/>
      <c r="BF12" s="22"/>
      <c r="BG12" s="22"/>
      <c r="BH12" s="22"/>
      <c r="BI12" s="22"/>
      <c r="BJ12" s="22"/>
      <c r="BK12" s="22"/>
      <c r="BL12" s="22"/>
      <c r="BM12" s="22"/>
      <c r="BN12" s="22"/>
      <c r="BO12" s="26"/>
    </row>
    <row r="13" spans="1:67" x14ac:dyDescent="0.3">
      <c r="A13" s="5"/>
      <c r="B13" s="5"/>
      <c r="C13" s="381" t="s">
        <v>128</v>
      </c>
      <c r="D13" s="5" t="s">
        <v>234</v>
      </c>
      <c r="E13" s="5">
        <f>Other!T5</f>
        <v>1.3095898200000002</v>
      </c>
      <c r="F13" s="5"/>
      <c r="G13" s="5"/>
      <c r="H13" s="5"/>
      <c r="I13" s="5"/>
      <c r="J13" s="5"/>
      <c r="K13" s="5"/>
      <c r="L13" s="5"/>
      <c r="M13" s="5"/>
      <c r="N13" s="5"/>
      <c r="O13" s="5"/>
      <c r="P13" s="5"/>
      <c r="Q13" s="5"/>
      <c r="R13" s="5"/>
      <c r="S13" s="5"/>
      <c r="T13" s="5"/>
      <c r="U13" s="5"/>
      <c r="V13" s="5"/>
      <c r="W13" s="5"/>
      <c r="X13" s="5"/>
      <c r="Y13" s="5"/>
      <c r="Z13" s="9"/>
      <c r="AA13" s="10"/>
      <c r="AB13" s="10"/>
      <c r="AC13" s="10"/>
      <c r="AD13" s="10"/>
      <c r="AE13" s="10"/>
      <c r="AF13" s="10"/>
      <c r="AG13" s="10"/>
      <c r="AH13" s="10"/>
      <c r="AI13" s="10"/>
      <c r="AJ13" s="12"/>
      <c r="AK13" s="12"/>
      <c r="AL13" s="12"/>
      <c r="AM13" s="12"/>
      <c r="AN13" s="12"/>
      <c r="AO13" s="12"/>
      <c r="AP13" s="18"/>
      <c r="AQ13" s="18"/>
      <c r="AR13" s="18"/>
      <c r="AS13" s="18"/>
      <c r="AT13" s="18"/>
      <c r="AU13" s="18"/>
      <c r="AV13" s="18"/>
      <c r="AW13" s="18"/>
      <c r="AX13" s="18"/>
      <c r="AY13" s="18"/>
      <c r="AZ13" s="18"/>
      <c r="BA13" s="18"/>
      <c r="BB13" s="18"/>
      <c r="BC13" s="22"/>
      <c r="BD13" s="22"/>
      <c r="BE13" s="22"/>
      <c r="BF13" s="22"/>
      <c r="BG13" s="22"/>
      <c r="BH13" s="22"/>
      <c r="BI13" s="22"/>
      <c r="BJ13" s="22"/>
      <c r="BK13" s="22"/>
      <c r="BL13" s="22"/>
      <c r="BM13" s="22"/>
      <c r="BN13" s="22"/>
      <c r="BO13" s="26"/>
    </row>
    <row r="14" spans="1:67" x14ac:dyDescent="0.3">
      <c r="A14" s="5"/>
      <c r="B14" s="5"/>
      <c r="C14" s="381"/>
      <c r="D14" s="5" t="s">
        <v>312</v>
      </c>
      <c r="E14" s="5">
        <f>SUM(E11:E13)</f>
        <v>166.5377880232075</v>
      </c>
      <c r="F14" s="5"/>
      <c r="G14" s="5"/>
      <c r="H14" s="5"/>
      <c r="I14" s="5"/>
      <c r="J14" s="5"/>
      <c r="K14" s="5"/>
      <c r="L14" s="5"/>
      <c r="M14" s="5"/>
      <c r="N14" s="5"/>
      <c r="O14" s="5"/>
      <c r="P14" s="5"/>
      <c r="Q14" s="5"/>
      <c r="R14" s="5"/>
      <c r="S14" s="5"/>
      <c r="T14" s="5"/>
      <c r="U14" s="5"/>
      <c r="V14" s="5"/>
      <c r="W14" s="5"/>
      <c r="X14" s="5"/>
      <c r="Y14" s="5"/>
      <c r="Z14" s="9"/>
      <c r="AA14" s="10"/>
      <c r="AB14" s="10"/>
      <c r="AC14" s="10"/>
      <c r="AD14" s="10"/>
      <c r="AE14" s="10"/>
      <c r="AF14" s="10"/>
      <c r="AG14" s="10"/>
      <c r="AH14" s="10"/>
      <c r="AI14" s="10"/>
      <c r="AJ14" s="12"/>
      <c r="AK14" s="12"/>
      <c r="AL14" s="12"/>
      <c r="AM14" s="12"/>
      <c r="AN14" s="12"/>
      <c r="AO14" s="12"/>
      <c r="AP14" s="18"/>
      <c r="AQ14" s="18"/>
      <c r="AR14" s="18"/>
      <c r="AS14" s="18"/>
      <c r="AT14" s="18"/>
      <c r="AU14" s="18"/>
      <c r="AV14" s="18"/>
      <c r="AW14" s="18"/>
      <c r="AX14" s="18"/>
      <c r="AY14" s="18"/>
      <c r="AZ14" s="18"/>
      <c r="BA14" s="18"/>
      <c r="BB14" s="18"/>
      <c r="BC14" s="22"/>
      <c r="BD14" s="22"/>
      <c r="BE14" s="22"/>
      <c r="BF14" s="22"/>
      <c r="BG14" s="22"/>
      <c r="BH14" s="22"/>
      <c r="BI14" s="22"/>
      <c r="BJ14" s="22"/>
      <c r="BK14" s="22"/>
      <c r="BL14" s="22"/>
      <c r="BM14" s="22"/>
      <c r="BN14" s="22"/>
      <c r="BO14" s="26"/>
    </row>
    <row r="15" spans="1:67" x14ac:dyDescent="0.3">
      <c r="A15" s="5"/>
      <c r="B15" s="5"/>
      <c r="C15" s="381"/>
      <c r="D15" s="5"/>
      <c r="E15" s="5"/>
      <c r="F15" s="5"/>
      <c r="G15" s="5"/>
      <c r="H15" s="5"/>
      <c r="I15" s="5"/>
      <c r="J15" s="5"/>
      <c r="K15" s="5"/>
      <c r="L15" s="5"/>
      <c r="M15" s="5"/>
      <c r="N15" s="5"/>
      <c r="O15" s="5"/>
      <c r="P15" s="5"/>
      <c r="Q15" s="5"/>
      <c r="R15" s="5"/>
      <c r="S15" s="5"/>
      <c r="T15" s="5"/>
      <c r="U15" s="5"/>
      <c r="V15" s="5"/>
      <c r="W15" s="5"/>
      <c r="X15" s="5"/>
      <c r="Y15" s="5"/>
      <c r="Z15" s="9"/>
      <c r="AA15" s="10"/>
      <c r="AB15" s="10"/>
      <c r="AC15" s="10"/>
      <c r="AD15" s="10"/>
      <c r="AE15" s="10"/>
      <c r="AF15" s="10"/>
      <c r="AG15" s="10"/>
      <c r="AH15" s="10"/>
      <c r="AI15" s="10"/>
      <c r="AJ15" s="12"/>
      <c r="AK15" s="12"/>
      <c r="AL15" s="12"/>
      <c r="AM15" s="12"/>
      <c r="AN15" s="12"/>
      <c r="AO15" s="12"/>
      <c r="AP15" s="18"/>
      <c r="AQ15" s="18"/>
      <c r="AR15" s="18"/>
      <c r="AS15" s="18"/>
      <c r="AT15" s="18"/>
      <c r="AU15" s="18"/>
      <c r="AV15" s="18"/>
      <c r="AW15" s="18"/>
      <c r="AX15" s="18"/>
      <c r="AY15" s="18"/>
      <c r="AZ15" s="18"/>
      <c r="BA15" s="18"/>
      <c r="BB15" s="18"/>
      <c r="BC15" s="22"/>
      <c r="BD15" s="22"/>
      <c r="BE15" s="22"/>
      <c r="BF15" s="22"/>
      <c r="BG15" s="22"/>
      <c r="BH15" s="22"/>
      <c r="BI15" s="22"/>
      <c r="BJ15" s="22"/>
      <c r="BK15" s="22"/>
      <c r="BL15" s="22"/>
      <c r="BM15" s="22"/>
      <c r="BN15" s="22"/>
      <c r="BO15" s="26"/>
    </row>
    <row r="16" spans="1:67" x14ac:dyDescent="0.3">
      <c r="A16" s="5"/>
      <c r="B16" s="5"/>
      <c r="C16" s="5"/>
      <c r="D16" s="5" t="s">
        <v>125</v>
      </c>
      <c r="E16" s="5" t="e">
        <f>SUM(MobileCall!C5,MobileData!C5,Cordless!C5,Laptop!C5,Tablet!C5,Other!I5,Other!#REF!,Other!S5,Other!O5)</f>
        <v>#REF!</v>
      </c>
      <c r="F16" s="5"/>
      <c r="G16" s="5"/>
      <c r="H16" s="5"/>
      <c r="I16" s="5"/>
      <c r="J16" s="5"/>
      <c r="K16" s="5"/>
      <c r="L16" s="5"/>
      <c r="M16" s="5"/>
      <c r="N16" s="5"/>
      <c r="O16" s="5"/>
      <c r="P16" s="5"/>
      <c r="Q16" s="5"/>
      <c r="R16" s="5"/>
      <c r="S16" s="5"/>
      <c r="T16" s="5"/>
      <c r="U16" s="5"/>
      <c r="V16" s="5"/>
      <c r="W16" s="5"/>
      <c r="X16" s="5"/>
      <c r="Y16" s="5"/>
      <c r="Z16" s="9"/>
      <c r="AA16" s="10"/>
      <c r="AB16" s="10"/>
      <c r="AC16" s="10"/>
      <c r="AD16" s="10"/>
      <c r="AE16" s="10"/>
      <c r="AF16" s="10"/>
      <c r="AG16" s="10"/>
      <c r="AH16" s="10"/>
      <c r="AI16" s="10"/>
      <c r="AJ16" s="12"/>
      <c r="AK16" s="12"/>
      <c r="AL16" s="12"/>
      <c r="AM16" s="12"/>
      <c r="AN16" s="12"/>
      <c r="AO16" s="12"/>
      <c r="AP16" s="18"/>
      <c r="AQ16" s="18"/>
      <c r="AR16" s="18"/>
      <c r="AS16" s="18"/>
      <c r="AT16" s="18"/>
      <c r="AU16" s="18"/>
      <c r="AV16" s="18"/>
      <c r="AW16" s="18"/>
      <c r="AX16" s="18"/>
      <c r="AY16" s="18"/>
      <c r="AZ16" s="18"/>
      <c r="BA16" s="18"/>
      <c r="BB16" s="18"/>
      <c r="BC16" s="22"/>
      <c r="BD16" s="22"/>
      <c r="BE16" s="22"/>
      <c r="BF16" s="22"/>
      <c r="BG16" s="22"/>
      <c r="BH16" s="22"/>
      <c r="BI16" s="22"/>
      <c r="BJ16" s="22"/>
      <c r="BK16" s="22"/>
      <c r="BL16" s="22"/>
      <c r="BM16" s="22"/>
      <c r="BN16" s="22"/>
      <c r="BO16" s="26"/>
    </row>
    <row r="17" spans="1:67" x14ac:dyDescent="0.3">
      <c r="A17" s="5"/>
      <c r="B17" s="5"/>
      <c r="C17" s="5"/>
      <c r="D17" s="5" t="s">
        <v>126</v>
      </c>
      <c r="E17" s="5">
        <f>Farfield!C5</f>
        <v>136.02053352453879</v>
      </c>
      <c r="F17" s="5"/>
      <c r="G17" s="5"/>
      <c r="H17" s="5"/>
      <c r="I17" s="5"/>
      <c r="J17" s="5"/>
      <c r="K17" s="5"/>
      <c r="L17" s="5"/>
      <c r="M17" s="5"/>
      <c r="N17" s="5"/>
      <c r="O17" s="5"/>
      <c r="P17" s="5"/>
      <c r="Q17" s="5"/>
      <c r="R17" s="5"/>
      <c r="S17" s="5"/>
      <c r="T17" s="5"/>
      <c r="U17" s="5"/>
      <c r="V17" s="5"/>
      <c r="W17" s="5"/>
      <c r="X17" s="5"/>
      <c r="Y17" s="5"/>
      <c r="Z17" s="9"/>
      <c r="AA17" s="10"/>
      <c r="AB17" s="10"/>
      <c r="AC17" s="10"/>
      <c r="AD17" s="10"/>
      <c r="AE17" s="10"/>
      <c r="AF17" s="10"/>
      <c r="AG17" s="10"/>
      <c r="AH17" s="10"/>
      <c r="AI17" s="10"/>
      <c r="AJ17" s="12"/>
      <c r="AK17" s="12"/>
      <c r="AL17" s="12"/>
      <c r="AM17" s="12"/>
      <c r="AN17" s="12"/>
      <c r="AO17" s="12"/>
      <c r="AP17" s="18"/>
      <c r="AQ17" s="18"/>
      <c r="AR17" s="18"/>
      <c r="AS17" s="18"/>
      <c r="AT17" s="18"/>
      <c r="AU17" s="18"/>
      <c r="AV17" s="18"/>
      <c r="AW17" s="18"/>
      <c r="AX17" s="18"/>
      <c r="AY17" s="18"/>
      <c r="AZ17" s="18"/>
      <c r="BA17" s="18"/>
      <c r="BB17" s="18"/>
      <c r="BC17" s="22"/>
      <c r="BD17" s="22"/>
      <c r="BE17" s="22"/>
      <c r="BF17" s="22"/>
      <c r="BG17" s="22"/>
      <c r="BH17" s="22"/>
      <c r="BI17" s="22"/>
      <c r="BJ17" s="22"/>
      <c r="BK17" s="22"/>
      <c r="BL17" s="22"/>
      <c r="BM17" s="22"/>
      <c r="BN17" s="22"/>
      <c r="BO17" s="26"/>
    </row>
    <row r="18" spans="1:67" x14ac:dyDescent="0.3">
      <c r="A18" s="5"/>
      <c r="B18" s="5"/>
      <c r="C18" s="5"/>
      <c r="D18" s="5" t="s">
        <v>127</v>
      </c>
      <c r="E18" s="5">
        <f>Wifi!C5</f>
        <v>5.4167703466140011</v>
      </c>
      <c r="F18" s="5"/>
      <c r="G18" s="5"/>
      <c r="H18" s="5"/>
      <c r="I18" s="5"/>
      <c r="J18" s="5"/>
      <c r="K18" s="5"/>
      <c r="L18" s="5"/>
      <c r="M18" s="5"/>
      <c r="N18" s="5"/>
      <c r="O18" s="5"/>
      <c r="P18" s="5"/>
      <c r="Q18" s="5"/>
      <c r="R18" s="5"/>
      <c r="S18" s="5"/>
      <c r="T18" s="5"/>
      <c r="U18" s="5"/>
      <c r="V18" s="5"/>
      <c r="W18" s="5"/>
      <c r="X18" s="5"/>
      <c r="Y18" s="5"/>
      <c r="Z18" s="9"/>
      <c r="AA18" s="10"/>
      <c r="AB18" s="10"/>
      <c r="AC18" s="10"/>
      <c r="AD18" s="10"/>
      <c r="AE18" s="10"/>
      <c r="AF18" s="10"/>
      <c r="AG18" s="10"/>
      <c r="AH18" s="10"/>
      <c r="AI18" s="10"/>
      <c r="AJ18" s="12"/>
      <c r="AK18" s="12"/>
      <c r="AL18" s="12"/>
      <c r="AM18" s="12"/>
      <c r="AN18" s="12"/>
      <c r="AO18" s="12"/>
      <c r="AP18" s="18"/>
      <c r="AQ18" s="18"/>
      <c r="AR18" s="18"/>
      <c r="AS18" s="18"/>
      <c r="AT18" s="18"/>
      <c r="AU18" s="18"/>
      <c r="AV18" s="18"/>
      <c r="AW18" s="18"/>
      <c r="AX18" s="18"/>
      <c r="AY18" s="18"/>
      <c r="AZ18" s="18"/>
      <c r="BA18" s="18"/>
      <c r="BB18" s="18"/>
      <c r="BC18" s="22"/>
      <c r="BD18" s="22"/>
      <c r="BE18" s="22"/>
      <c r="BF18" s="22"/>
      <c r="BG18" s="22"/>
      <c r="BH18" s="22"/>
      <c r="BI18" s="22"/>
      <c r="BJ18" s="22"/>
      <c r="BK18" s="22"/>
      <c r="BL18" s="22"/>
      <c r="BM18" s="22"/>
      <c r="BN18" s="22"/>
      <c r="BO18" s="26"/>
    </row>
    <row r="19" spans="1:67" x14ac:dyDescent="0.3">
      <c r="A19" s="5"/>
      <c r="B19" s="5"/>
      <c r="C19" s="5"/>
      <c r="D19" s="5" t="s">
        <v>234</v>
      </c>
      <c r="E19" s="5">
        <f>Other!P5</f>
        <v>0.49730846317884542</v>
      </c>
      <c r="F19" s="5"/>
      <c r="G19" s="5"/>
      <c r="H19" s="5"/>
      <c r="I19" s="5"/>
      <c r="J19" s="5"/>
      <c r="K19" s="5"/>
      <c r="L19" s="5"/>
      <c r="M19" s="5"/>
      <c r="N19" s="5"/>
      <c r="O19" s="5"/>
      <c r="P19" s="5"/>
      <c r="Q19" s="5"/>
      <c r="R19" s="5"/>
      <c r="S19" s="5"/>
      <c r="T19" s="5"/>
      <c r="U19" s="5"/>
      <c r="V19" s="5"/>
      <c r="W19" s="5"/>
      <c r="X19" s="5"/>
      <c r="Y19" s="5"/>
      <c r="Z19" s="9"/>
      <c r="AA19" s="10"/>
      <c r="AB19" s="10"/>
      <c r="AC19" s="10"/>
      <c r="AD19" s="10"/>
      <c r="AE19" s="10"/>
      <c r="AF19" s="10"/>
      <c r="AG19" s="10"/>
      <c r="AH19" s="10"/>
      <c r="AI19" s="10"/>
      <c r="AJ19" s="12"/>
      <c r="AK19" s="12"/>
      <c r="AL19" s="12"/>
      <c r="AM19" s="12"/>
      <c r="AN19" s="12"/>
      <c r="AO19" s="12"/>
      <c r="AP19" s="18"/>
      <c r="AQ19" s="18"/>
      <c r="AR19" s="18"/>
      <c r="AS19" s="18"/>
      <c r="AT19" s="18"/>
      <c r="AU19" s="18"/>
      <c r="AV19" s="18"/>
      <c r="AW19" s="18"/>
      <c r="AX19" s="18"/>
      <c r="AY19" s="18"/>
      <c r="AZ19" s="18"/>
      <c r="BA19" s="18"/>
      <c r="BB19" s="18"/>
      <c r="BC19" s="22"/>
      <c r="BD19" s="22"/>
      <c r="BE19" s="22"/>
      <c r="BF19" s="22"/>
      <c r="BG19" s="22"/>
      <c r="BH19" s="22"/>
      <c r="BI19" s="22"/>
      <c r="BJ19" s="22"/>
      <c r="BK19" s="22"/>
      <c r="BL19" s="22"/>
      <c r="BM19" s="22"/>
      <c r="BN19" s="22"/>
      <c r="BO19" s="26"/>
    </row>
    <row r="20" spans="1:67" x14ac:dyDescent="0.3">
      <c r="A20" s="5"/>
      <c r="B20" s="5"/>
      <c r="C20" s="5"/>
      <c r="D20" s="5" t="s">
        <v>312</v>
      </c>
      <c r="E20" s="5"/>
      <c r="F20" s="5"/>
      <c r="G20" s="5"/>
      <c r="H20" s="5"/>
      <c r="I20" s="5"/>
      <c r="J20" s="5"/>
      <c r="K20" s="5"/>
      <c r="L20" s="5"/>
      <c r="M20" s="5"/>
      <c r="N20" s="5"/>
      <c r="O20" s="5"/>
      <c r="P20" s="5"/>
      <c r="Q20" s="5"/>
      <c r="R20" s="5"/>
      <c r="S20" s="5"/>
      <c r="T20" s="5"/>
      <c r="U20" s="5"/>
      <c r="V20" s="5"/>
      <c r="W20" s="5"/>
      <c r="X20" s="5"/>
      <c r="Y20" s="5"/>
      <c r="Z20" s="9"/>
      <c r="AA20" s="10"/>
      <c r="AB20" s="10"/>
      <c r="AC20" s="10"/>
      <c r="AD20" s="10"/>
      <c r="AE20" s="10"/>
      <c r="AF20" s="10"/>
      <c r="AG20" s="10"/>
      <c r="AH20" s="10"/>
      <c r="AI20" s="10"/>
      <c r="AJ20" s="12"/>
      <c r="AK20" s="12"/>
      <c r="AL20" s="12"/>
      <c r="AM20" s="12"/>
      <c r="AN20" s="12"/>
      <c r="AO20" s="12"/>
      <c r="AP20" s="18"/>
      <c r="AQ20" s="18"/>
      <c r="AR20" s="18"/>
      <c r="AS20" s="18"/>
      <c r="AT20" s="18"/>
      <c r="AU20" s="18"/>
      <c r="AV20" s="18"/>
      <c r="AW20" s="18"/>
      <c r="AX20" s="18"/>
      <c r="AY20" s="18"/>
      <c r="AZ20" s="18"/>
      <c r="BA20" s="18"/>
      <c r="BB20" s="18"/>
      <c r="BC20" s="22"/>
      <c r="BD20" s="22"/>
      <c r="BE20" s="22"/>
      <c r="BF20" s="22"/>
      <c r="BG20" s="22"/>
      <c r="BH20" s="22"/>
      <c r="BI20" s="22"/>
      <c r="BJ20" s="22"/>
      <c r="BK20" s="22"/>
      <c r="BL20" s="22"/>
      <c r="BM20" s="22"/>
      <c r="BN20" s="22"/>
      <c r="BO20" s="26"/>
    </row>
    <row r="21" spans="1:67" x14ac:dyDescent="0.3">
      <c r="A21" s="5"/>
      <c r="B21" s="5"/>
      <c r="C21" s="5"/>
      <c r="D21" s="5"/>
      <c r="E21" s="5"/>
      <c r="F21" s="5"/>
      <c r="G21" s="5"/>
      <c r="H21" s="5"/>
      <c r="I21" s="5"/>
      <c r="J21" s="5"/>
      <c r="K21" s="5"/>
      <c r="L21" s="5"/>
      <c r="M21" s="5"/>
      <c r="N21" s="5"/>
      <c r="O21" s="5"/>
      <c r="P21" s="5"/>
      <c r="Q21" s="5"/>
      <c r="R21" s="5"/>
      <c r="S21" s="5"/>
      <c r="T21" s="5"/>
      <c r="U21" s="5"/>
      <c r="V21" s="5"/>
      <c r="W21" s="5"/>
      <c r="X21" s="5"/>
      <c r="Y21" s="5"/>
      <c r="Z21" s="9"/>
      <c r="AA21" s="10"/>
      <c r="AB21" s="10"/>
      <c r="AC21" s="10"/>
      <c r="AD21" s="10"/>
      <c r="AE21" s="10"/>
      <c r="AF21" s="10"/>
      <c r="AG21" s="10"/>
      <c r="AH21" s="10"/>
      <c r="AI21" s="10"/>
      <c r="AJ21" s="12"/>
      <c r="AK21" s="12"/>
      <c r="AL21" s="12"/>
      <c r="AM21" s="12"/>
      <c r="AN21" s="12"/>
      <c r="AO21" s="12"/>
      <c r="AP21" s="18"/>
      <c r="AQ21" s="18"/>
      <c r="AR21" s="18"/>
      <c r="AS21" s="18"/>
      <c r="AT21" s="18"/>
      <c r="AU21" s="18"/>
      <c r="AV21" s="18"/>
      <c r="AW21" s="18"/>
      <c r="AX21" s="18"/>
      <c r="AY21" s="18"/>
      <c r="AZ21" s="18"/>
      <c r="BA21" s="18"/>
      <c r="BB21" s="18"/>
      <c r="BC21" s="22"/>
      <c r="BD21" s="22"/>
      <c r="BE21" s="22"/>
      <c r="BF21" s="22"/>
      <c r="BG21" s="22"/>
      <c r="BH21" s="22"/>
      <c r="BI21" s="22"/>
      <c r="BJ21" s="22"/>
      <c r="BK21" s="22"/>
      <c r="BL21" s="22"/>
      <c r="BM21" s="22"/>
      <c r="BN21" s="22"/>
      <c r="BO21" s="26"/>
    </row>
    <row r="22" spans="1:67" x14ac:dyDescent="0.3">
      <c r="A22" s="5"/>
      <c r="B22" s="5"/>
      <c r="C22" s="5"/>
      <c r="D22" s="5"/>
      <c r="E22" s="5"/>
      <c r="F22" s="5"/>
      <c r="G22" s="5"/>
      <c r="H22" s="5"/>
      <c r="I22" s="5"/>
      <c r="J22" s="5"/>
      <c r="K22" s="5"/>
      <c r="L22" s="5"/>
      <c r="M22" s="5"/>
      <c r="N22" s="5"/>
      <c r="O22" s="5"/>
      <c r="P22" s="5"/>
      <c r="Q22" s="5"/>
      <c r="R22" s="5"/>
      <c r="S22" s="5"/>
      <c r="T22" s="5"/>
      <c r="U22" s="5"/>
      <c r="V22" s="5"/>
      <c r="W22" s="5"/>
      <c r="X22" s="5"/>
      <c r="Y22" s="5"/>
      <c r="Z22" s="9"/>
      <c r="AA22" s="10"/>
      <c r="AB22" s="10"/>
      <c r="AC22" s="10"/>
      <c r="AD22" s="10"/>
      <c r="AE22" s="10"/>
      <c r="AF22" s="10"/>
      <c r="AG22" s="10"/>
      <c r="AH22" s="10"/>
      <c r="AI22" s="10"/>
      <c r="AJ22" s="12"/>
      <c r="AK22" s="12"/>
      <c r="AL22" s="12"/>
      <c r="AM22" s="12"/>
      <c r="AN22" s="12"/>
      <c r="AO22" s="12"/>
      <c r="AP22" s="18"/>
      <c r="AQ22" s="18"/>
      <c r="AR22" s="18"/>
      <c r="AS22" s="18"/>
      <c r="AT22" s="18"/>
      <c r="AU22" s="18"/>
      <c r="AV22" s="18"/>
      <c r="AW22" s="18"/>
      <c r="AX22" s="18"/>
      <c r="AY22" s="18"/>
      <c r="AZ22" s="18"/>
      <c r="BA22" s="18"/>
      <c r="BB22" s="18"/>
      <c r="BC22" s="22"/>
      <c r="BD22" s="22"/>
      <c r="BE22" s="22"/>
      <c r="BF22" s="22"/>
      <c r="BG22" s="22"/>
      <c r="BH22" s="22"/>
      <c r="BI22" s="22"/>
      <c r="BJ22" s="22"/>
      <c r="BK22" s="22"/>
      <c r="BL22" s="22"/>
      <c r="BM22" s="22"/>
      <c r="BN22" s="22"/>
      <c r="BO22" s="26"/>
    </row>
    <row r="23" spans="1:67" x14ac:dyDescent="0.3">
      <c r="A23" s="5"/>
      <c r="B23" s="5"/>
      <c r="C23" s="5"/>
      <c r="D23" s="5"/>
      <c r="E23" s="5"/>
      <c r="F23" s="5"/>
      <c r="G23" s="5"/>
      <c r="H23" s="5"/>
      <c r="I23" s="5"/>
      <c r="J23" s="5"/>
      <c r="K23" s="5"/>
      <c r="L23" s="5"/>
      <c r="M23" s="5"/>
      <c r="N23" s="5"/>
      <c r="O23" s="5"/>
      <c r="P23" s="5"/>
      <c r="Q23" s="5"/>
      <c r="R23" s="5"/>
      <c r="S23" s="5"/>
      <c r="T23" s="5"/>
      <c r="U23" s="5"/>
      <c r="V23" s="5"/>
      <c r="W23" s="5"/>
      <c r="X23" s="5"/>
      <c r="Y23" s="5"/>
      <c r="Z23" s="9"/>
      <c r="AA23" s="10"/>
      <c r="AB23" s="10"/>
      <c r="AC23" s="10"/>
      <c r="AD23" s="10"/>
      <c r="AE23" s="10"/>
      <c r="AF23" s="10"/>
      <c r="AG23" s="10"/>
      <c r="AH23" s="10"/>
      <c r="AI23" s="10"/>
      <c r="AJ23" s="12"/>
      <c r="AK23" s="12"/>
      <c r="AL23" s="12"/>
      <c r="AM23" s="12"/>
      <c r="AN23" s="12"/>
      <c r="AO23" s="12"/>
      <c r="AP23" s="18"/>
      <c r="AQ23" s="18"/>
      <c r="AR23" s="18"/>
      <c r="AS23" s="18"/>
      <c r="AT23" s="18"/>
      <c r="AU23" s="18"/>
      <c r="AV23" s="18"/>
      <c r="AW23" s="18"/>
      <c r="AX23" s="18"/>
      <c r="AY23" s="18"/>
      <c r="AZ23" s="18"/>
      <c r="BA23" s="18"/>
      <c r="BB23" s="18"/>
      <c r="BC23" s="22"/>
      <c r="BD23" s="22"/>
      <c r="BE23" s="22"/>
      <c r="BF23" s="22"/>
      <c r="BG23" s="22"/>
      <c r="BH23" s="22"/>
      <c r="BI23" s="22"/>
      <c r="BJ23" s="22"/>
      <c r="BK23" s="22"/>
      <c r="BL23" s="22"/>
      <c r="BM23" s="22"/>
      <c r="BN23" s="22"/>
      <c r="BO23" s="26"/>
    </row>
    <row r="24" spans="1:67" x14ac:dyDescent="0.3">
      <c r="A24" s="5"/>
      <c r="B24" s="5"/>
      <c r="C24" s="5"/>
      <c r="D24" s="5"/>
      <c r="E24" s="5"/>
      <c r="F24" s="5"/>
      <c r="G24" s="5"/>
      <c r="H24" s="5"/>
      <c r="I24" s="5"/>
      <c r="J24" s="5"/>
      <c r="K24" s="5"/>
      <c r="L24" s="5"/>
      <c r="M24" s="5"/>
      <c r="N24" s="5"/>
      <c r="O24" s="5"/>
      <c r="P24" s="5"/>
      <c r="Q24" s="5"/>
      <c r="R24" s="5"/>
      <c r="S24" s="5"/>
      <c r="T24" s="5"/>
      <c r="U24" s="5"/>
      <c r="V24" s="5"/>
      <c r="W24" s="5"/>
      <c r="X24" s="5"/>
      <c r="Y24" s="5"/>
      <c r="Z24" s="9"/>
      <c r="AA24" s="10"/>
      <c r="AB24" s="10"/>
      <c r="AC24" s="10"/>
      <c r="AD24" s="10"/>
      <c r="AE24" s="10"/>
      <c r="AF24" s="10"/>
      <c r="AG24" s="10"/>
      <c r="AH24" s="10"/>
      <c r="AI24" s="10"/>
      <c r="AJ24" s="12"/>
      <c r="AK24" s="12"/>
      <c r="AL24" s="12"/>
      <c r="AM24" s="12"/>
      <c r="AN24" s="12"/>
      <c r="AO24" s="12"/>
      <c r="AP24" s="18"/>
      <c r="AQ24" s="18"/>
      <c r="AR24" s="18"/>
      <c r="AS24" s="18"/>
      <c r="AT24" s="18"/>
      <c r="AU24" s="18"/>
      <c r="AV24" s="18"/>
      <c r="AW24" s="18"/>
      <c r="AX24" s="18"/>
      <c r="AY24" s="18"/>
      <c r="AZ24" s="18"/>
      <c r="BA24" s="18"/>
      <c r="BB24" s="18"/>
      <c r="BC24" s="22"/>
      <c r="BD24" s="22"/>
      <c r="BE24" s="22"/>
      <c r="BF24" s="22"/>
      <c r="BG24" s="22"/>
      <c r="BH24" s="22"/>
      <c r="BI24" s="22"/>
      <c r="BJ24" s="22"/>
      <c r="BK24" s="22"/>
      <c r="BL24" s="22"/>
      <c r="BM24" s="22"/>
      <c r="BN24" s="22"/>
      <c r="BO24" s="26"/>
    </row>
    <row r="25" spans="1:67" x14ac:dyDescent="0.3">
      <c r="A25" s="5"/>
      <c r="B25" s="5"/>
      <c r="C25" s="5"/>
      <c r="D25" s="5"/>
      <c r="E25" s="5"/>
      <c r="F25" s="5"/>
      <c r="G25" s="5"/>
      <c r="H25" s="5"/>
      <c r="I25" s="5"/>
      <c r="J25" s="5"/>
      <c r="K25" s="5"/>
      <c r="L25" s="5"/>
      <c r="M25" s="5"/>
      <c r="N25" s="5"/>
      <c r="O25" s="5"/>
      <c r="P25" s="5"/>
      <c r="Q25" s="5"/>
      <c r="R25" s="5"/>
      <c r="S25" s="5"/>
      <c r="T25" s="5"/>
      <c r="U25" s="5"/>
      <c r="V25" s="5"/>
      <c r="W25" s="5"/>
      <c r="X25" s="5"/>
      <c r="Y25" s="5"/>
      <c r="Z25" s="9"/>
      <c r="AA25" s="10"/>
      <c r="AB25" s="10"/>
      <c r="AC25" s="10"/>
      <c r="AD25" s="10"/>
      <c r="AE25" s="10"/>
      <c r="AF25" s="10"/>
      <c r="AG25" s="10"/>
      <c r="AH25" s="10"/>
      <c r="AI25" s="10"/>
      <c r="AJ25" s="12"/>
      <c r="AK25" s="12"/>
      <c r="AL25" s="12"/>
      <c r="AM25" s="12"/>
      <c r="AN25" s="12"/>
      <c r="AO25" s="12"/>
      <c r="AP25" s="18"/>
      <c r="AQ25" s="18"/>
      <c r="AR25" s="18"/>
      <c r="AS25" s="18"/>
      <c r="AT25" s="18"/>
      <c r="AU25" s="18"/>
      <c r="AV25" s="18"/>
      <c r="AW25" s="18"/>
      <c r="AX25" s="18"/>
      <c r="AY25" s="18"/>
      <c r="AZ25" s="18"/>
      <c r="BA25" s="18"/>
      <c r="BB25" s="18"/>
      <c r="BC25" s="22"/>
      <c r="BD25" s="22"/>
      <c r="BE25" s="22"/>
      <c r="BF25" s="22"/>
      <c r="BG25" s="22"/>
      <c r="BH25" s="22"/>
      <c r="BI25" s="22"/>
      <c r="BJ25" s="22"/>
      <c r="BK25" s="22"/>
      <c r="BL25" s="22"/>
      <c r="BM25" s="22"/>
      <c r="BN25" s="22"/>
      <c r="BO25" s="26"/>
    </row>
    <row r="26" spans="1:67" x14ac:dyDescent="0.3">
      <c r="A26" s="5"/>
      <c r="B26" s="5"/>
      <c r="C26" s="5"/>
      <c r="D26" s="5"/>
      <c r="E26" s="5"/>
      <c r="F26" s="5"/>
      <c r="G26" s="5"/>
      <c r="H26" s="5"/>
      <c r="I26" s="5"/>
      <c r="J26" s="5"/>
      <c r="K26" s="5"/>
      <c r="L26" s="5"/>
      <c r="M26" s="5"/>
      <c r="N26" s="5"/>
      <c r="O26" s="5"/>
      <c r="P26" s="5"/>
      <c r="Q26" s="5"/>
      <c r="R26" s="5"/>
      <c r="S26" s="5"/>
      <c r="T26" s="5"/>
      <c r="U26" s="5"/>
      <c r="V26" s="5"/>
      <c r="W26" s="5"/>
      <c r="X26" s="5"/>
      <c r="Y26" s="5"/>
      <c r="Z26" s="9"/>
      <c r="AA26" s="10"/>
      <c r="AB26" s="10"/>
      <c r="AC26" s="10"/>
      <c r="AD26" s="10"/>
      <c r="AE26" s="10"/>
      <c r="AF26" s="10"/>
      <c r="AG26" s="10"/>
      <c r="AH26" s="10"/>
      <c r="AI26" s="10"/>
      <c r="AJ26" s="12"/>
      <c r="AK26" s="12"/>
      <c r="AL26" s="12"/>
      <c r="AM26" s="12"/>
      <c r="AN26" s="12"/>
      <c r="AO26" s="12"/>
      <c r="AP26" s="18"/>
      <c r="AQ26" s="18"/>
      <c r="AR26" s="18"/>
      <c r="AS26" s="18"/>
      <c r="AT26" s="18"/>
      <c r="AU26" s="18"/>
      <c r="AV26" s="18"/>
      <c r="AW26" s="18"/>
      <c r="AX26" s="18"/>
      <c r="AY26" s="18"/>
      <c r="AZ26" s="18"/>
      <c r="BA26" s="18"/>
      <c r="BB26" s="18"/>
      <c r="BC26" s="22"/>
      <c r="BD26" s="22"/>
      <c r="BE26" s="22"/>
      <c r="BF26" s="22"/>
      <c r="BG26" s="22"/>
      <c r="BH26" s="22"/>
      <c r="BI26" s="22"/>
      <c r="BJ26" s="22"/>
      <c r="BK26" s="22"/>
      <c r="BL26" s="22"/>
      <c r="BM26" s="22"/>
      <c r="BN26" s="22"/>
      <c r="BO26" s="26"/>
    </row>
    <row r="27" spans="1:67" x14ac:dyDescent="0.3">
      <c r="A27" s="5"/>
      <c r="B27" s="5"/>
      <c r="C27" s="5"/>
      <c r="D27" s="5"/>
      <c r="E27" s="5"/>
      <c r="F27" s="5"/>
      <c r="G27" s="5"/>
      <c r="H27" s="5"/>
      <c r="I27" s="5"/>
      <c r="J27" s="5"/>
      <c r="K27" s="5"/>
      <c r="L27" s="5"/>
      <c r="M27" s="5"/>
      <c r="N27" s="5"/>
      <c r="O27" s="5"/>
      <c r="P27" s="5"/>
      <c r="Q27" s="5"/>
      <c r="R27" s="5"/>
      <c r="S27" s="5"/>
      <c r="T27" s="5"/>
      <c r="U27" s="5"/>
      <c r="V27" s="5"/>
      <c r="W27" s="5"/>
      <c r="X27" s="5"/>
      <c r="Y27" s="5"/>
      <c r="Z27" s="9"/>
      <c r="AA27" s="10"/>
      <c r="AB27" s="10"/>
      <c r="AC27" s="10"/>
      <c r="AD27" s="10"/>
      <c r="AE27" s="10"/>
      <c r="AF27" s="10"/>
      <c r="AG27" s="10"/>
      <c r="AH27" s="10"/>
      <c r="AI27" s="10"/>
      <c r="AJ27" s="12"/>
      <c r="AK27" s="12"/>
      <c r="AL27" s="12"/>
      <c r="AM27" s="12"/>
      <c r="AN27" s="12"/>
      <c r="AO27" s="12"/>
      <c r="AP27" s="18"/>
      <c r="AQ27" s="18"/>
      <c r="AR27" s="18"/>
      <c r="AS27" s="18"/>
      <c r="AT27" s="18"/>
      <c r="AU27" s="18"/>
      <c r="AV27" s="18"/>
      <c r="AW27" s="18"/>
      <c r="AX27" s="18"/>
      <c r="AY27" s="18"/>
      <c r="AZ27" s="18"/>
      <c r="BA27" s="18"/>
      <c r="BB27" s="18"/>
      <c r="BC27" s="22"/>
      <c r="BD27" s="22"/>
      <c r="BE27" s="22"/>
      <c r="BF27" s="22"/>
      <c r="BG27" s="22"/>
      <c r="BH27" s="22"/>
      <c r="BI27" s="22"/>
      <c r="BJ27" s="22"/>
      <c r="BK27" s="22"/>
      <c r="BL27" s="22"/>
      <c r="BM27" s="22"/>
      <c r="BN27" s="22"/>
      <c r="BO27" s="26"/>
    </row>
    <row r="28" spans="1:67" x14ac:dyDescent="0.3">
      <c r="A28" s="5"/>
      <c r="B28" s="5"/>
      <c r="C28" s="5"/>
      <c r="D28" s="5"/>
      <c r="E28" s="5"/>
      <c r="F28" s="5"/>
      <c r="G28" s="5"/>
      <c r="H28" s="5"/>
      <c r="I28" s="5"/>
      <c r="J28" s="5"/>
      <c r="K28" s="5"/>
      <c r="L28" s="5"/>
      <c r="M28" s="5"/>
      <c r="N28" s="5"/>
      <c r="O28" s="5"/>
      <c r="P28" s="5"/>
      <c r="Q28" s="5"/>
      <c r="R28" s="5"/>
      <c r="S28" s="5"/>
      <c r="T28" s="5"/>
      <c r="U28" s="5"/>
      <c r="V28" s="5"/>
      <c r="W28" s="5"/>
      <c r="X28" s="5"/>
      <c r="Y28" s="5"/>
      <c r="Z28" s="9"/>
      <c r="AA28" s="10"/>
      <c r="AB28" s="10"/>
      <c r="AC28" s="10"/>
      <c r="AD28" s="10"/>
      <c r="AE28" s="10"/>
      <c r="AF28" s="10"/>
      <c r="AG28" s="10"/>
      <c r="AH28" s="10"/>
      <c r="AI28" s="10"/>
      <c r="AJ28" s="12"/>
      <c r="AK28" s="12"/>
      <c r="AL28" s="12"/>
      <c r="AM28" s="12"/>
      <c r="AN28" s="12"/>
      <c r="AO28" s="12"/>
      <c r="AP28" s="18"/>
      <c r="AQ28" s="18"/>
      <c r="AR28" s="18"/>
      <c r="AS28" s="18"/>
      <c r="AT28" s="18"/>
      <c r="AU28" s="18"/>
      <c r="AV28" s="18"/>
      <c r="AW28" s="18"/>
      <c r="AX28" s="18"/>
      <c r="AY28" s="18"/>
      <c r="AZ28" s="18"/>
      <c r="BA28" s="18"/>
      <c r="BB28" s="18"/>
      <c r="BC28" s="22"/>
      <c r="BD28" s="22"/>
      <c r="BE28" s="22"/>
      <c r="BF28" s="22"/>
      <c r="BG28" s="22"/>
      <c r="BH28" s="22"/>
      <c r="BI28" s="22"/>
      <c r="BJ28" s="22"/>
      <c r="BK28" s="22"/>
      <c r="BL28" s="22"/>
      <c r="BM28" s="22"/>
      <c r="BN28" s="22"/>
      <c r="BO28" s="26"/>
    </row>
    <row r="29" spans="1:67" x14ac:dyDescent="0.3">
      <c r="A29" s="5"/>
      <c r="B29" s="5"/>
      <c r="C29" s="5"/>
      <c r="D29" s="5"/>
      <c r="E29" s="5"/>
      <c r="F29" s="5"/>
      <c r="G29" s="5"/>
      <c r="H29" s="5"/>
      <c r="I29" s="5"/>
      <c r="J29" s="5"/>
      <c r="K29" s="5"/>
      <c r="L29" s="5"/>
      <c r="M29" s="5"/>
      <c r="N29" s="5"/>
      <c r="O29" s="5"/>
      <c r="P29" s="5"/>
      <c r="Q29" s="5"/>
      <c r="R29" s="5"/>
      <c r="S29" s="5"/>
      <c r="T29" s="5"/>
      <c r="U29" s="5"/>
      <c r="V29" s="5"/>
      <c r="W29" s="5"/>
      <c r="X29" s="5"/>
      <c r="Y29" s="5"/>
      <c r="Z29" s="9"/>
      <c r="AA29" s="10"/>
      <c r="AB29" s="10"/>
      <c r="AC29" s="10"/>
      <c r="AD29" s="10"/>
      <c r="AE29" s="10"/>
      <c r="AF29" s="10"/>
      <c r="AG29" s="10"/>
      <c r="AH29" s="10"/>
      <c r="AI29" s="10"/>
      <c r="AJ29" s="12"/>
      <c r="AK29" s="12"/>
      <c r="AL29" s="12"/>
      <c r="AM29" s="12"/>
      <c r="AN29" s="12"/>
      <c r="AO29" s="12"/>
      <c r="AP29" s="18"/>
      <c r="AQ29" s="18"/>
      <c r="AR29" s="18"/>
      <c r="AS29" s="18"/>
      <c r="AT29" s="18"/>
      <c r="AU29" s="18"/>
      <c r="AV29" s="18"/>
      <c r="AW29" s="18"/>
      <c r="AX29" s="18"/>
      <c r="AY29" s="18"/>
      <c r="AZ29" s="18"/>
      <c r="BA29" s="18"/>
      <c r="BB29" s="18"/>
      <c r="BC29" s="22"/>
      <c r="BD29" s="22"/>
      <c r="BE29" s="22"/>
      <c r="BF29" s="22"/>
      <c r="BG29" s="22"/>
      <c r="BH29" s="22"/>
      <c r="BI29" s="22"/>
      <c r="BJ29" s="22"/>
      <c r="BK29" s="22"/>
      <c r="BL29" s="22"/>
      <c r="BM29" s="22"/>
      <c r="BN29" s="22"/>
      <c r="BO29" s="26"/>
    </row>
    <row r="30" spans="1:67" x14ac:dyDescent="0.3">
      <c r="A30" s="5"/>
      <c r="B30" s="5"/>
      <c r="C30" s="5"/>
      <c r="D30" s="5"/>
      <c r="E30" s="5"/>
      <c r="F30" s="5"/>
      <c r="G30" s="5"/>
      <c r="H30" s="5"/>
      <c r="I30" s="5"/>
      <c r="J30" s="5"/>
      <c r="K30" s="5"/>
      <c r="L30" s="5"/>
      <c r="M30" s="5"/>
      <c r="N30" s="5"/>
      <c r="O30" s="5"/>
      <c r="P30" s="5"/>
      <c r="Q30" s="5"/>
      <c r="R30" s="5"/>
      <c r="S30" s="5"/>
      <c r="T30" s="5"/>
      <c r="U30" s="5"/>
      <c r="V30" s="5"/>
      <c r="W30" s="5"/>
      <c r="X30" s="5"/>
      <c r="Y30" s="5"/>
      <c r="Z30" s="9"/>
      <c r="AA30" s="10"/>
      <c r="AB30" s="10"/>
      <c r="AC30" s="10"/>
      <c r="AD30" s="10"/>
      <c r="AE30" s="10"/>
      <c r="AF30" s="10"/>
      <c r="AG30" s="10"/>
      <c r="AH30" s="10"/>
      <c r="AI30" s="10"/>
      <c r="AJ30" s="12"/>
      <c r="AK30" s="12"/>
      <c r="AL30" s="12"/>
      <c r="AM30" s="12"/>
      <c r="AN30" s="12"/>
      <c r="AO30" s="12"/>
      <c r="AP30" s="18"/>
      <c r="AQ30" s="18"/>
      <c r="AR30" s="18"/>
      <c r="AS30" s="18"/>
      <c r="AT30" s="18"/>
      <c r="AU30" s="18"/>
      <c r="AV30" s="18"/>
      <c r="AW30" s="18"/>
      <c r="AX30" s="18"/>
      <c r="AY30" s="18"/>
      <c r="AZ30" s="18"/>
      <c r="BA30" s="18"/>
      <c r="BB30" s="18"/>
      <c r="BC30" s="22"/>
      <c r="BD30" s="22"/>
      <c r="BE30" s="22"/>
      <c r="BF30" s="22"/>
      <c r="BG30" s="22"/>
      <c r="BH30" s="22"/>
      <c r="BI30" s="22"/>
      <c r="BJ30" s="22"/>
      <c r="BK30" s="22"/>
      <c r="BL30" s="22"/>
      <c r="BM30" s="22"/>
      <c r="BN30" s="22"/>
      <c r="BO30" s="26"/>
    </row>
    <row r="31" spans="1:67" x14ac:dyDescent="0.3">
      <c r="A31" s="5"/>
      <c r="B31" s="5"/>
      <c r="C31" s="5"/>
      <c r="D31" s="5"/>
      <c r="E31" s="5"/>
      <c r="F31" s="5"/>
      <c r="G31" s="5"/>
      <c r="H31" s="5"/>
      <c r="I31" s="5"/>
      <c r="J31" s="5"/>
      <c r="K31" s="5"/>
      <c r="L31" s="5"/>
      <c r="M31" s="5"/>
      <c r="N31" s="5"/>
      <c r="O31" s="5"/>
      <c r="P31" s="5"/>
      <c r="Q31" s="5"/>
      <c r="R31" s="5"/>
      <c r="S31" s="5"/>
      <c r="T31" s="5"/>
      <c r="U31" s="5"/>
      <c r="V31" s="5"/>
      <c r="W31" s="5"/>
      <c r="X31" s="5"/>
      <c r="Y31" s="5"/>
      <c r="Z31" s="9"/>
      <c r="AA31" s="10"/>
      <c r="AB31" s="10"/>
      <c r="AC31" s="10"/>
      <c r="AD31" s="10"/>
      <c r="AE31" s="10"/>
      <c r="AF31" s="10"/>
      <c r="AG31" s="10"/>
      <c r="AH31" s="10"/>
      <c r="AI31" s="10"/>
      <c r="AJ31" s="12"/>
      <c r="AK31" s="12"/>
      <c r="AL31" s="12"/>
      <c r="AM31" s="12"/>
      <c r="AN31" s="12"/>
      <c r="AO31" s="12"/>
      <c r="AP31" s="18"/>
      <c r="AQ31" s="18"/>
      <c r="AR31" s="18"/>
      <c r="AS31" s="18"/>
      <c r="AT31" s="18"/>
      <c r="AU31" s="18"/>
      <c r="AV31" s="18"/>
      <c r="AW31" s="18"/>
      <c r="AX31" s="18"/>
      <c r="AY31" s="18"/>
      <c r="AZ31" s="18"/>
      <c r="BA31" s="18"/>
      <c r="BB31" s="18"/>
      <c r="BC31" s="22"/>
      <c r="BD31" s="22"/>
      <c r="BE31" s="22"/>
      <c r="BF31" s="22"/>
      <c r="BG31" s="22"/>
      <c r="BH31" s="22"/>
      <c r="BI31" s="22"/>
      <c r="BJ31" s="22"/>
      <c r="BK31" s="22"/>
      <c r="BL31" s="22"/>
      <c r="BM31" s="22"/>
      <c r="BN31" s="22"/>
      <c r="BO31" s="26"/>
    </row>
    <row r="32" spans="1:67" x14ac:dyDescent="0.3">
      <c r="A32" s="5"/>
      <c r="B32" s="5"/>
      <c r="C32" s="5"/>
      <c r="D32" s="5"/>
      <c r="E32" s="5"/>
      <c r="F32" s="5"/>
      <c r="G32" s="5"/>
      <c r="H32" s="5"/>
      <c r="I32" s="5"/>
      <c r="J32" s="5"/>
      <c r="K32" s="5"/>
      <c r="L32" s="5"/>
      <c r="M32" s="5"/>
      <c r="N32" s="5"/>
      <c r="O32" s="5"/>
      <c r="P32" s="5"/>
      <c r="Q32" s="5"/>
      <c r="R32" s="5"/>
      <c r="S32" s="5"/>
      <c r="T32" s="5"/>
      <c r="U32" s="5"/>
      <c r="V32" s="5"/>
      <c r="W32" s="5"/>
      <c r="X32" s="5"/>
      <c r="Y32" s="5"/>
      <c r="Z32" s="9"/>
      <c r="AA32" s="10"/>
      <c r="AB32" s="10"/>
      <c r="AC32" s="10"/>
      <c r="AD32" s="10"/>
      <c r="AE32" s="10"/>
      <c r="AF32" s="10"/>
      <c r="AG32" s="10"/>
      <c r="AH32" s="10"/>
      <c r="AI32" s="10"/>
      <c r="AJ32" s="12"/>
      <c r="AK32" s="12"/>
      <c r="AL32" s="12"/>
      <c r="AM32" s="12"/>
      <c r="AN32" s="12"/>
      <c r="AO32" s="12"/>
      <c r="AP32" s="18"/>
      <c r="AQ32" s="18"/>
      <c r="AR32" s="18"/>
      <c r="AS32" s="18"/>
      <c r="AT32" s="18"/>
      <c r="AU32" s="18"/>
      <c r="AV32" s="18"/>
      <c r="AW32" s="18"/>
      <c r="AX32" s="18"/>
      <c r="AY32" s="18"/>
      <c r="AZ32" s="18"/>
      <c r="BA32" s="18"/>
      <c r="BB32" s="18"/>
      <c r="BC32" s="22"/>
      <c r="BD32" s="22"/>
      <c r="BE32" s="22"/>
      <c r="BF32" s="22"/>
      <c r="BG32" s="22"/>
      <c r="BH32" s="22"/>
      <c r="BI32" s="22"/>
      <c r="BJ32" s="22"/>
      <c r="BK32" s="22"/>
      <c r="BL32" s="22"/>
      <c r="BM32" s="22"/>
      <c r="BN32" s="22"/>
      <c r="BO32" s="26"/>
    </row>
    <row r="33" spans="1:67" x14ac:dyDescent="0.3">
      <c r="A33" s="5"/>
      <c r="B33" s="5"/>
      <c r="C33" s="5"/>
      <c r="D33" s="5"/>
      <c r="E33" s="5"/>
      <c r="F33" s="5"/>
      <c r="G33" s="5"/>
      <c r="H33" s="5"/>
      <c r="I33" s="5"/>
      <c r="J33" s="5"/>
      <c r="K33" s="5"/>
      <c r="L33" s="5"/>
      <c r="M33" s="5"/>
      <c r="N33" s="5"/>
      <c r="O33" s="5"/>
      <c r="P33" s="5"/>
      <c r="Q33" s="5"/>
      <c r="R33" s="5"/>
      <c r="S33" s="5"/>
      <c r="T33" s="5"/>
      <c r="U33" s="5"/>
      <c r="V33" s="5"/>
      <c r="W33" s="5"/>
      <c r="X33" s="5"/>
      <c r="Y33" s="5"/>
      <c r="Z33" s="9"/>
      <c r="AA33" s="10"/>
      <c r="AB33" s="10"/>
      <c r="AC33" s="10"/>
      <c r="AD33" s="10"/>
      <c r="AE33" s="10"/>
      <c r="AF33" s="10"/>
      <c r="AG33" s="10"/>
      <c r="AH33" s="10"/>
      <c r="AI33" s="10"/>
      <c r="AJ33" s="12"/>
      <c r="AK33" s="12"/>
      <c r="AL33" s="12"/>
      <c r="AM33" s="12"/>
      <c r="AN33" s="12"/>
      <c r="AO33" s="12"/>
      <c r="AP33" s="18"/>
      <c r="AQ33" s="18"/>
      <c r="AR33" s="18"/>
      <c r="AS33" s="18"/>
      <c r="AT33" s="18"/>
      <c r="AU33" s="18"/>
      <c r="AV33" s="18"/>
      <c r="AW33" s="18"/>
      <c r="AX33" s="18"/>
      <c r="AY33" s="18"/>
      <c r="AZ33" s="18"/>
      <c r="BA33" s="18"/>
      <c r="BB33" s="18"/>
      <c r="BC33" s="22"/>
      <c r="BD33" s="22"/>
      <c r="BE33" s="22"/>
      <c r="BF33" s="22"/>
      <c r="BG33" s="22"/>
      <c r="BH33" s="22"/>
      <c r="BI33" s="22"/>
      <c r="BJ33" s="22"/>
      <c r="BK33" s="22"/>
      <c r="BL33" s="22"/>
      <c r="BM33" s="22"/>
      <c r="BN33" s="22"/>
      <c r="BO33" s="26"/>
    </row>
    <row r="34" spans="1:67" x14ac:dyDescent="0.3">
      <c r="A34" s="5"/>
      <c r="B34" s="5"/>
      <c r="C34" s="5"/>
      <c r="D34" s="5"/>
      <c r="E34" s="5"/>
      <c r="F34" s="5"/>
      <c r="G34" s="5"/>
      <c r="H34" s="5"/>
      <c r="I34" s="5"/>
      <c r="J34" s="5"/>
      <c r="K34" s="5"/>
      <c r="L34" s="5"/>
      <c r="M34" s="5"/>
      <c r="N34" s="5"/>
      <c r="O34" s="5"/>
      <c r="P34" s="5"/>
      <c r="Q34" s="5"/>
      <c r="R34" s="5"/>
      <c r="S34" s="5"/>
      <c r="T34" s="5"/>
      <c r="U34" s="5"/>
      <c r="V34" s="5"/>
      <c r="W34" s="5"/>
      <c r="X34" s="5"/>
      <c r="Y34" s="5"/>
      <c r="Z34" s="9"/>
      <c r="AA34" s="10"/>
      <c r="AB34" s="10"/>
      <c r="AC34" s="10"/>
      <c r="AD34" s="10"/>
      <c r="AE34" s="10"/>
      <c r="AF34" s="10"/>
      <c r="AG34" s="10"/>
      <c r="AH34" s="10"/>
      <c r="AI34" s="10"/>
      <c r="AJ34" s="12"/>
      <c r="AK34" s="12"/>
      <c r="AL34" s="12"/>
      <c r="AM34" s="12"/>
      <c r="AN34" s="12"/>
      <c r="AO34" s="12"/>
      <c r="AP34" s="18"/>
      <c r="AQ34" s="18"/>
      <c r="AR34" s="18"/>
      <c r="AS34" s="18"/>
      <c r="AT34" s="18"/>
      <c r="AU34" s="18"/>
      <c r="AV34" s="18"/>
      <c r="AW34" s="18"/>
      <c r="AX34" s="18"/>
      <c r="AY34" s="18"/>
      <c r="AZ34" s="18"/>
      <c r="BA34" s="18"/>
      <c r="BB34" s="18"/>
      <c r="BC34" s="22"/>
      <c r="BD34" s="22"/>
      <c r="BE34" s="22"/>
      <c r="BF34" s="22"/>
      <c r="BG34" s="22"/>
      <c r="BH34" s="22"/>
      <c r="BI34" s="22"/>
      <c r="BJ34" s="22"/>
      <c r="BK34" s="22"/>
      <c r="BL34" s="22"/>
      <c r="BM34" s="22"/>
      <c r="BN34" s="22"/>
      <c r="BO34" s="26"/>
    </row>
    <row r="35" spans="1:67" x14ac:dyDescent="0.3">
      <c r="A35" s="5"/>
      <c r="B35" s="5"/>
      <c r="C35" s="5"/>
      <c r="D35" s="5"/>
      <c r="E35" s="5"/>
      <c r="F35" s="5"/>
      <c r="G35" s="5"/>
      <c r="H35" s="5"/>
      <c r="I35" s="5"/>
      <c r="J35" s="5"/>
      <c r="K35" s="5"/>
      <c r="L35" s="5"/>
      <c r="M35" s="5"/>
      <c r="N35" s="5"/>
      <c r="O35" s="5"/>
      <c r="P35" s="5"/>
      <c r="Q35" s="5"/>
      <c r="R35" s="5"/>
      <c r="S35" s="5"/>
      <c r="T35" s="5"/>
      <c r="U35" s="5"/>
      <c r="V35" s="5"/>
      <c r="W35" s="5"/>
      <c r="X35" s="5"/>
      <c r="Y35" s="5"/>
      <c r="Z35" s="9"/>
      <c r="AA35" s="10"/>
      <c r="AB35" s="10"/>
      <c r="AC35" s="10"/>
      <c r="AD35" s="10"/>
      <c r="AE35" s="10"/>
      <c r="AF35" s="10"/>
      <c r="AG35" s="10"/>
      <c r="AH35" s="10"/>
      <c r="AI35" s="10"/>
      <c r="AJ35" s="12"/>
      <c r="AK35" s="12"/>
      <c r="AL35" s="12"/>
      <c r="AM35" s="12"/>
      <c r="AN35" s="12"/>
      <c r="AO35" s="12"/>
      <c r="AP35" s="18"/>
      <c r="AQ35" s="18"/>
      <c r="AR35" s="18"/>
      <c r="AS35" s="18"/>
      <c r="AT35" s="18"/>
      <c r="AU35" s="18"/>
      <c r="AV35" s="18"/>
      <c r="AW35" s="18"/>
      <c r="AX35" s="18"/>
      <c r="AY35" s="18"/>
      <c r="AZ35" s="18"/>
      <c r="BA35" s="18"/>
      <c r="BB35" s="18"/>
      <c r="BC35" s="22"/>
      <c r="BD35" s="22"/>
      <c r="BE35" s="22"/>
      <c r="BF35" s="22"/>
      <c r="BG35" s="22"/>
      <c r="BH35" s="22"/>
      <c r="BI35" s="22"/>
      <c r="BJ35" s="22"/>
      <c r="BK35" s="22"/>
      <c r="BL35" s="22"/>
      <c r="BM35" s="22"/>
      <c r="BN35" s="22"/>
      <c r="BO35" s="26"/>
    </row>
    <row r="36" spans="1:67" x14ac:dyDescent="0.3">
      <c r="A36" s="5"/>
      <c r="B36" s="5"/>
      <c r="C36" s="5"/>
      <c r="D36" s="5"/>
      <c r="E36" s="5"/>
      <c r="F36" s="5"/>
      <c r="G36" s="5"/>
      <c r="H36" s="5"/>
      <c r="I36" s="5"/>
      <c r="J36" s="5"/>
      <c r="K36" s="5"/>
      <c r="L36" s="5"/>
      <c r="M36" s="5"/>
      <c r="N36" s="5"/>
      <c r="O36" s="5"/>
      <c r="P36" s="5"/>
      <c r="Q36" s="5"/>
      <c r="R36" s="5"/>
      <c r="S36" s="5"/>
      <c r="T36" s="5"/>
      <c r="U36" s="5"/>
      <c r="V36" s="5"/>
      <c r="W36" s="5"/>
      <c r="X36" s="5"/>
      <c r="Y36" s="5"/>
      <c r="Z36" s="9"/>
      <c r="AA36" s="10"/>
      <c r="AB36" s="10"/>
      <c r="AC36" s="10"/>
      <c r="AD36" s="10"/>
      <c r="AE36" s="10"/>
      <c r="AF36" s="10"/>
      <c r="AG36" s="10"/>
      <c r="AH36" s="10"/>
      <c r="AI36" s="10"/>
      <c r="AJ36" s="12"/>
      <c r="AK36" s="12"/>
      <c r="AL36" s="12"/>
      <c r="AM36" s="12"/>
      <c r="AN36" s="12"/>
      <c r="AO36" s="12"/>
      <c r="AP36" s="18"/>
      <c r="AQ36" s="18"/>
      <c r="AR36" s="18"/>
      <c r="AS36" s="18"/>
      <c r="AT36" s="18"/>
      <c r="AU36" s="18"/>
      <c r="AV36" s="18"/>
      <c r="AW36" s="18"/>
      <c r="AX36" s="18"/>
      <c r="AY36" s="18"/>
      <c r="AZ36" s="18"/>
      <c r="BA36" s="18"/>
      <c r="BB36" s="18"/>
      <c r="BC36" s="22"/>
      <c r="BD36" s="22"/>
      <c r="BE36" s="22"/>
      <c r="BF36" s="22"/>
      <c r="BG36" s="22"/>
      <c r="BH36" s="22"/>
      <c r="BI36" s="22"/>
      <c r="BJ36" s="22"/>
      <c r="BK36" s="22"/>
      <c r="BL36" s="22"/>
      <c r="BM36" s="22"/>
      <c r="BN36" s="22"/>
      <c r="BO36" s="26"/>
    </row>
    <row r="37" spans="1:67" x14ac:dyDescent="0.3">
      <c r="A37" s="5"/>
      <c r="B37" s="5"/>
      <c r="C37" s="5"/>
      <c r="D37" s="5"/>
      <c r="E37" s="5"/>
      <c r="F37" s="5"/>
      <c r="G37" s="5"/>
      <c r="H37" s="5"/>
      <c r="I37" s="5"/>
      <c r="J37" s="5"/>
      <c r="K37" s="5"/>
      <c r="L37" s="5"/>
      <c r="M37" s="5"/>
      <c r="N37" s="5"/>
      <c r="O37" s="5"/>
      <c r="P37" s="5"/>
      <c r="Q37" s="5"/>
      <c r="R37" s="5"/>
      <c r="S37" s="5"/>
      <c r="T37" s="5"/>
      <c r="U37" s="5"/>
      <c r="V37" s="5"/>
      <c r="W37" s="5"/>
      <c r="X37" s="5"/>
      <c r="Y37" s="5"/>
      <c r="Z37" s="9"/>
      <c r="AA37" s="10"/>
      <c r="AB37" s="10"/>
      <c r="AC37" s="10"/>
      <c r="AD37" s="10"/>
      <c r="AE37" s="10"/>
      <c r="AF37" s="10"/>
      <c r="AG37" s="10"/>
      <c r="AH37" s="10"/>
      <c r="AI37" s="10"/>
      <c r="AJ37" s="12"/>
      <c r="AK37" s="12"/>
      <c r="AL37" s="12"/>
      <c r="AM37" s="12"/>
      <c r="AN37" s="12"/>
      <c r="AO37" s="12"/>
      <c r="AP37" s="18"/>
      <c r="AQ37" s="18"/>
      <c r="AR37" s="18"/>
      <c r="AS37" s="18"/>
      <c r="AT37" s="18"/>
      <c r="AU37" s="18"/>
      <c r="AV37" s="18"/>
      <c r="AW37" s="18"/>
      <c r="AX37" s="18"/>
      <c r="AY37" s="18"/>
      <c r="AZ37" s="18"/>
      <c r="BA37" s="18"/>
      <c r="BB37" s="18"/>
      <c r="BC37" s="22"/>
      <c r="BD37" s="22"/>
      <c r="BE37" s="22"/>
      <c r="BF37" s="22"/>
      <c r="BG37" s="22"/>
      <c r="BH37" s="22"/>
      <c r="BI37" s="22"/>
      <c r="BJ37" s="22"/>
      <c r="BK37" s="22"/>
      <c r="BL37" s="22"/>
      <c r="BM37" s="22"/>
      <c r="BN37" s="22"/>
      <c r="BO37" s="26"/>
    </row>
    <row r="38" spans="1:67" x14ac:dyDescent="0.3">
      <c r="A38" s="5"/>
      <c r="B38" s="5"/>
      <c r="C38" s="5"/>
      <c r="D38" s="5"/>
      <c r="E38" s="5"/>
      <c r="F38" s="5"/>
      <c r="G38" s="5"/>
      <c r="H38" s="5"/>
      <c r="I38" s="5"/>
      <c r="J38" s="5"/>
      <c r="K38" s="5"/>
      <c r="L38" s="5"/>
      <c r="M38" s="5"/>
      <c r="N38" s="5"/>
      <c r="O38" s="5"/>
      <c r="P38" s="5"/>
      <c r="Q38" s="5"/>
      <c r="R38" s="5"/>
      <c r="S38" s="5"/>
      <c r="T38" s="5"/>
      <c r="U38" s="5"/>
      <c r="V38" s="5"/>
      <c r="W38" s="5"/>
      <c r="X38" s="5"/>
      <c r="Y38" s="5"/>
      <c r="Z38" s="9"/>
      <c r="AA38" s="10"/>
      <c r="AB38" s="10"/>
      <c r="AC38" s="10"/>
      <c r="AD38" s="10"/>
      <c r="AE38" s="10"/>
      <c r="AF38" s="10"/>
      <c r="AG38" s="10"/>
      <c r="AH38" s="10"/>
      <c r="AI38" s="10"/>
      <c r="AJ38" s="12"/>
      <c r="AK38" s="12"/>
      <c r="AL38" s="12"/>
      <c r="AM38" s="12"/>
      <c r="AN38" s="12"/>
      <c r="AO38" s="12"/>
      <c r="AP38" s="18"/>
      <c r="AQ38" s="18"/>
      <c r="AR38" s="18"/>
      <c r="AS38" s="18"/>
      <c r="AT38" s="18"/>
      <c r="AU38" s="18"/>
      <c r="AV38" s="18"/>
      <c r="AW38" s="18"/>
      <c r="AX38" s="18"/>
      <c r="AY38" s="18"/>
      <c r="AZ38" s="18"/>
      <c r="BA38" s="18"/>
      <c r="BB38" s="18"/>
      <c r="BC38" s="22"/>
      <c r="BD38" s="22"/>
      <c r="BE38" s="22"/>
      <c r="BF38" s="22"/>
      <c r="BG38" s="22"/>
      <c r="BH38" s="22"/>
      <c r="BI38" s="22"/>
      <c r="BJ38" s="22"/>
      <c r="BK38" s="22"/>
      <c r="BL38" s="22"/>
      <c r="BM38" s="22"/>
      <c r="BN38" s="22"/>
      <c r="BO38" s="26"/>
    </row>
    <row r="39" spans="1:67" x14ac:dyDescent="0.3">
      <c r="A39" s="5"/>
      <c r="B39" s="5"/>
      <c r="C39" s="5"/>
      <c r="D39" s="5"/>
      <c r="E39" s="5"/>
      <c r="F39" s="5"/>
      <c r="G39" s="5"/>
      <c r="H39" s="5"/>
      <c r="I39" s="5"/>
      <c r="J39" s="5"/>
      <c r="K39" s="5"/>
      <c r="L39" s="5"/>
      <c r="M39" s="5"/>
      <c r="N39" s="5"/>
      <c r="O39" s="5"/>
      <c r="P39" s="5"/>
      <c r="Q39" s="5"/>
      <c r="R39" s="5"/>
      <c r="S39" s="5"/>
      <c r="T39" s="5"/>
      <c r="U39" s="5"/>
      <c r="V39" s="5"/>
      <c r="W39" s="5"/>
      <c r="X39" s="5"/>
      <c r="Y39" s="5"/>
      <c r="Z39" s="9"/>
      <c r="AA39" s="10"/>
      <c r="AB39" s="10"/>
      <c r="AC39" s="10"/>
      <c r="AD39" s="10"/>
      <c r="AE39" s="10"/>
      <c r="AF39" s="10"/>
      <c r="AG39" s="10"/>
      <c r="AH39" s="10"/>
      <c r="AI39" s="10"/>
      <c r="AJ39" s="12"/>
      <c r="AK39" s="12"/>
      <c r="AL39" s="12"/>
      <c r="AM39" s="12"/>
      <c r="AN39" s="12"/>
      <c r="AO39" s="12"/>
      <c r="AP39" s="18"/>
      <c r="AQ39" s="18"/>
      <c r="AR39" s="18"/>
      <c r="AS39" s="18"/>
      <c r="AT39" s="18"/>
      <c r="AU39" s="18"/>
      <c r="AV39" s="18"/>
      <c r="AW39" s="18"/>
      <c r="AX39" s="18"/>
      <c r="AY39" s="18"/>
      <c r="AZ39" s="18"/>
      <c r="BA39" s="18"/>
      <c r="BB39" s="18"/>
      <c r="BC39" s="22"/>
      <c r="BD39" s="22"/>
      <c r="BE39" s="22"/>
      <c r="BF39" s="22"/>
      <c r="BG39" s="22"/>
      <c r="BH39" s="22"/>
      <c r="BI39" s="22"/>
      <c r="BJ39" s="22"/>
      <c r="BK39" s="22"/>
      <c r="BL39" s="22"/>
      <c r="BM39" s="22"/>
      <c r="BN39" s="22"/>
      <c r="BO39" s="26"/>
    </row>
    <row r="40" spans="1:67" x14ac:dyDescent="0.3">
      <c r="A40" s="5"/>
      <c r="B40" s="5"/>
      <c r="C40" s="5"/>
      <c r="D40" s="5"/>
      <c r="E40" s="5"/>
      <c r="F40" s="5"/>
      <c r="G40" s="5"/>
      <c r="H40" s="5"/>
      <c r="I40" s="5"/>
      <c r="J40" s="5"/>
      <c r="K40" s="5"/>
      <c r="L40" s="5"/>
      <c r="M40" s="5"/>
      <c r="N40" s="5"/>
      <c r="O40" s="5"/>
      <c r="P40" s="5"/>
      <c r="Q40" s="5"/>
      <c r="R40" s="5"/>
      <c r="S40" s="5"/>
      <c r="T40" s="5"/>
      <c r="U40" s="5"/>
      <c r="V40" s="5"/>
      <c r="W40" s="5"/>
      <c r="X40" s="5"/>
      <c r="Y40" s="5"/>
      <c r="Z40" s="9"/>
      <c r="AA40" s="10"/>
      <c r="AB40" s="10"/>
      <c r="AC40" s="10"/>
      <c r="AD40" s="10"/>
      <c r="AE40" s="10"/>
      <c r="AF40" s="10"/>
      <c r="AG40" s="10"/>
      <c r="AH40" s="10"/>
      <c r="AI40" s="10"/>
      <c r="AJ40" s="12"/>
      <c r="AK40" s="12"/>
      <c r="AL40" s="12"/>
      <c r="AM40" s="12"/>
      <c r="AN40" s="12"/>
      <c r="AO40" s="12"/>
      <c r="AP40" s="18"/>
      <c r="AQ40" s="18"/>
      <c r="AR40" s="18"/>
      <c r="AS40" s="18"/>
      <c r="AT40" s="18"/>
      <c r="AU40" s="18"/>
      <c r="AV40" s="18"/>
      <c r="AW40" s="18"/>
      <c r="AX40" s="18"/>
      <c r="AY40" s="18"/>
      <c r="AZ40" s="18"/>
      <c r="BA40" s="18"/>
      <c r="BB40" s="18"/>
      <c r="BC40" s="22"/>
      <c r="BD40" s="22"/>
      <c r="BE40" s="22"/>
      <c r="BF40" s="22"/>
      <c r="BG40" s="22"/>
      <c r="BH40" s="22"/>
      <c r="BI40" s="22"/>
      <c r="BJ40" s="22"/>
      <c r="BK40" s="22"/>
      <c r="BL40" s="22"/>
      <c r="BM40" s="22"/>
      <c r="BN40" s="22"/>
      <c r="BO40" s="26"/>
    </row>
    <row r="41" spans="1:67" x14ac:dyDescent="0.3">
      <c r="A41" s="5"/>
      <c r="B41" s="5"/>
      <c r="C41" s="5"/>
      <c r="D41" s="5"/>
      <c r="E41" s="5"/>
      <c r="F41" s="5"/>
      <c r="G41" s="5"/>
      <c r="H41" s="5"/>
      <c r="I41" s="5"/>
      <c r="J41" s="5"/>
      <c r="K41" s="5"/>
      <c r="L41" s="5"/>
      <c r="M41" s="5"/>
      <c r="N41" s="5"/>
      <c r="O41" s="5"/>
      <c r="P41" s="5"/>
      <c r="Q41" s="5"/>
      <c r="R41" s="5"/>
      <c r="S41" s="5"/>
      <c r="T41" s="5"/>
      <c r="U41" s="5"/>
      <c r="V41" s="5"/>
      <c r="W41" s="5"/>
      <c r="X41" s="5"/>
      <c r="Y41" s="5"/>
      <c r="Z41" s="9"/>
      <c r="AA41" s="10"/>
      <c r="AB41" s="10"/>
      <c r="AC41" s="10"/>
      <c r="AD41" s="10"/>
      <c r="AE41" s="10"/>
      <c r="AF41" s="10"/>
      <c r="AG41" s="10"/>
      <c r="AH41" s="10"/>
      <c r="AI41" s="10"/>
      <c r="AJ41" s="12"/>
      <c r="AK41" s="12"/>
      <c r="AL41" s="12"/>
      <c r="AM41" s="12"/>
      <c r="AN41" s="12"/>
      <c r="AO41" s="12"/>
      <c r="AP41" s="18"/>
      <c r="AQ41" s="18"/>
      <c r="AR41" s="18"/>
      <c r="AS41" s="18"/>
      <c r="AT41" s="18"/>
      <c r="AU41" s="18"/>
      <c r="AV41" s="18"/>
      <c r="AW41" s="18"/>
      <c r="AX41" s="18"/>
      <c r="AY41" s="18"/>
      <c r="AZ41" s="18"/>
      <c r="BA41" s="18"/>
      <c r="BB41" s="18"/>
      <c r="BC41" s="22"/>
      <c r="BD41" s="22"/>
      <c r="BE41" s="22"/>
      <c r="BF41" s="22"/>
      <c r="BG41" s="22"/>
      <c r="BH41" s="22"/>
      <c r="BI41" s="22"/>
      <c r="BJ41" s="22"/>
      <c r="BK41" s="22"/>
      <c r="BL41" s="22"/>
      <c r="BM41" s="22"/>
      <c r="BN41" s="22"/>
      <c r="BO41" s="26"/>
    </row>
    <row r="42" spans="1:67" x14ac:dyDescent="0.3">
      <c r="A42" s="5"/>
      <c r="B42" s="5"/>
      <c r="C42" s="5"/>
      <c r="D42" s="5"/>
      <c r="E42" s="5"/>
      <c r="F42" s="5"/>
      <c r="G42" s="5"/>
      <c r="H42" s="5"/>
      <c r="I42" s="5"/>
      <c r="J42" s="5"/>
      <c r="K42" s="5"/>
      <c r="L42" s="5"/>
      <c r="M42" s="5"/>
      <c r="N42" s="5"/>
      <c r="O42" s="5"/>
      <c r="P42" s="5"/>
      <c r="Q42" s="5"/>
      <c r="R42" s="5"/>
      <c r="S42" s="5"/>
      <c r="T42" s="5"/>
      <c r="U42" s="5"/>
      <c r="V42" s="5"/>
      <c r="W42" s="5"/>
      <c r="X42" s="5"/>
      <c r="Y42" s="5"/>
      <c r="Z42" s="9"/>
      <c r="AA42" s="10"/>
      <c r="AB42" s="10"/>
      <c r="AC42" s="10"/>
      <c r="AD42" s="10"/>
      <c r="AE42" s="10"/>
      <c r="AF42" s="10"/>
      <c r="AG42" s="10"/>
      <c r="AH42" s="10"/>
      <c r="AI42" s="10"/>
      <c r="AJ42" s="12"/>
      <c r="AK42" s="12"/>
      <c r="AL42" s="12"/>
      <c r="AM42" s="12"/>
      <c r="AN42" s="12"/>
      <c r="AO42" s="12"/>
      <c r="AP42" s="18"/>
      <c r="AQ42" s="18"/>
      <c r="AR42" s="18"/>
      <c r="AS42" s="18"/>
      <c r="AT42" s="18"/>
      <c r="AU42" s="18"/>
      <c r="AV42" s="18"/>
      <c r="AW42" s="18"/>
      <c r="AX42" s="18"/>
      <c r="AY42" s="18"/>
      <c r="AZ42" s="18"/>
      <c r="BA42" s="18"/>
      <c r="BB42" s="18"/>
      <c r="BC42" s="22"/>
      <c r="BD42" s="22"/>
      <c r="BE42" s="22"/>
      <c r="BF42" s="22"/>
      <c r="BG42" s="22"/>
      <c r="BH42" s="22"/>
      <c r="BI42" s="22"/>
      <c r="BJ42" s="22"/>
      <c r="BK42" s="22"/>
      <c r="BL42" s="22"/>
      <c r="BM42" s="22"/>
      <c r="BN42" s="22"/>
      <c r="BO42" s="26"/>
    </row>
    <row r="43" spans="1:67" x14ac:dyDescent="0.3">
      <c r="A43" s="5"/>
      <c r="B43" s="5"/>
      <c r="C43" s="5"/>
      <c r="D43" s="5"/>
      <c r="E43" s="5"/>
      <c r="F43" s="5"/>
      <c r="G43" s="5"/>
      <c r="H43" s="5"/>
      <c r="I43" s="5"/>
      <c r="J43" s="5"/>
      <c r="K43" s="5"/>
      <c r="L43" s="5"/>
      <c r="M43" s="5"/>
      <c r="N43" s="5"/>
      <c r="O43" s="5"/>
      <c r="P43" s="5"/>
      <c r="Q43" s="5"/>
      <c r="R43" s="5"/>
      <c r="S43" s="5"/>
      <c r="T43" s="5"/>
      <c r="U43" s="5"/>
      <c r="V43" s="5"/>
      <c r="W43" s="5"/>
      <c r="X43" s="5"/>
      <c r="Y43" s="5"/>
      <c r="Z43" s="9"/>
      <c r="AA43" s="10"/>
      <c r="AB43" s="10"/>
      <c r="AC43" s="10"/>
      <c r="AD43" s="10"/>
      <c r="AE43" s="10"/>
      <c r="AF43" s="10"/>
      <c r="AG43" s="10"/>
      <c r="AH43" s="10"/>
      <c r="AI43" s="10"/>
      <c r="AJ43" s="12"/>
      <c r="AK43" s="12"/>
      <c r="AL43" s="12"/>
      <c r="AM43" s="12"/>
      <c r="AN43" s="12"/>
      <c r="AO43" s="12"/>
      <c r="AP43" s="18"/>
      <c r="AQ43" s="18"/>
      <c r="AR43" s="18"/>
      <c r="AS43" s="18"/>
      <c r="AT43" s="18"/>
      <c r="AU43" s="18"/>
      <c r="AV43" s="18"/>
      <c r="AW43" s="18"/>
      <c r="AX43" s="18"/>
      <c r="AY43" s="18"/>
      <c r="AZ43" s="18"/>
      <c r="BA43" s="18"/>
      <c r="BB43" s="18"/>
      <c r="BC43" s="22"/>
      <c r="BD43" s="22"/>
      <c r="BE43" s="22"/>
      <c r="BF43" s="22"/>
      <c r="BG43" s="22"/>
      <c r="BH43" s="22"/>
      <c r="BI43" s="22"/>
      <c r="BJ43" s="22"/>
      <c r="BK43" s="22"/>
      <c r="BL43" s="22"/>
      <c r="BM43" s="22"/>
      <c r="BN43" s="22"/>
      <c r="BO43" s="26"/>
    </row>
    <row r="44" spans="1:67" x14ac:dyDescent="0.3">
      <c r="D44" s="5"/>
      <c r="E44" s="5"/>
      <c r="F44" s="5"/>
      <c r="G44" s="5"/>
      <c r="H44" s="5"/>
      <c r="I44" s="5"/>
      <c r="J44" s="5"/>
      <c r="K44" s="5"/>
      <c r="L44" s="5"/>
      <c r="M44" s="5"/>
      <c r="N44" s="5"/>
      <c r="O44" s="5"/>
      <c r="P44" s="5"/>
      <c r="Q44" s="5"/>
      <c r="R44" s="5"/>
      <c r="S44" s="5"/>
      <c r="T44" s="5"/>
      <c r="U44" s="5"/>
      <c r="V44" s="5"/>
      <c r="Z44" s="13"/>
      <c r="AA44" s="12"/>
      <c r="AB44" s="12"/>
      <c r="AC44" s="12"/>
      <c r="AD44" s="12"/>
      <c r="AE44" s="12"/>
      <c r="AF44" s="12"/>
      <c r="AG44" s="12"/>
      <c r="AH44" s="12"/>
      <c r="AI44" s="12"/>
      <c r="AJ44" s="12"/>
      <c r="AK44" s="12"/>
      <c r="AL44" s="12"/>
      <c r="AM44" s="12"/>
      <c r="AN44" s="12"/>
      <c r="AO44" s="12"/>
      <c r="AP44" s="18"/>
      <c r="AQ44" s="18"/>
      <c r="AR44" s="18"/>
      <c r="AS44" s="18"/>
      <c r="AT44" s="18"/>
      <c r="AU44" s="18"/>
      <c r="AV44" s="18"/>
      <c r="AW44" s="18"/>
      <c r="AX44" s="18"/>
      <c r="AY44" s="18"/>
      <c r="AZ44" s="18"/>
      <c r="BA44" s="18"/>
      <c r="BB44" s="18"/>
      <c r="BC44" s="22"/>
      <c r="BD44" s="22"/>
      <c r="BE44" s="22"/>
      <c r="BF44" s="22"/>
      <c r="BG44" s="22"/>
      <c r="BH44" s="22"/>
      <c r="BI44" s="22"/>
      <c r="BJ44" s="22"/>
      <c r="BK44" s="22"/>
      <c r="BL44" s="22"/>
      <c r="BM44" s="22"/>
      <c r="BN44" s="22"/>
      <c r="BO44" s="26"/>
    </row>
    <row r="45" spans="1:67" x14ac:dyDescent="0.3">
      <c r="D45" s="5"/>
      <c r="E45" s="5"/>
      <c r="F45" s="5"/>
      <c r="G45" s="5"/>
      <c r="H45" s="5"/>
      <c r="I45" s="5"/>
      <c r="J45" s="5"/>
      <c r="K45" s="5"/>
      <c r="L45" s="5"/>
      <c r="M45" s="5"/>
      <c r="N45" s="5"/>
      <c r="O45" s="5"/>
      <c r="P45" s="5"/>
      <c r="Q45" s="5"/>
      <c r="R45" s="5"/>
      <c r="S45" s="5"/>
      <c r="T45" s="5"/>
      <c r="U45" s="5"/>
      <c r="V45" s="5"/>
      <c r="Z45" s="13"/>
      <c r="AA45" s="12"/>
      <c r="AB45" s="12"/>
      <c r="AC45" s="12"/>
      <c r="AD45" s="12"/>
      <c r="AE45" s="12"/>
      <c r="AF45" s="12"/>
      <c r="AG45" s="12"/>
      <c r="AH45" s="12"/>
      <c r="AI45" s="12"/>
      <c r="AJ45" s="12"/>
      <c r="AK45" s="12"/>
      <c r="AL45" s="12"/>
      <c r="AM45" s="12"/>
      <c r="AN45" s="12"/>
      <c r="AO45" s="12"/>
      <c r="AP45" s="18"/>
      <c r="AQ45" s="18"/>
      <c r="AR45" s="18"/>
      <c r="AS45" s="18"/>
      <c r="AT45" s="18"/>
      <c r="AU45" s="18"/>
      <c r="AV45" s="18"/>
      <c r="AW45" s="18"/>
      <c r="AX45" s="18"/>
      <c r="AY45" s="18"/>
      <c r="AZ45" s="18"/>
      <c r="BA45" s="18"/>
      <c r="BB45" s="18"/>
      <c r="BC45" s="22"/>
      <c r="BD45" s="22"/>
      <c r="BE45" s="22"/>
      <c r="BF45" s="22"/>
      <c r="BG45" s="22"/>
      <c r="BH45" s="22"/>
      <c r="BI45" s="22"/>
      <c r="BJ45" s="22"/>
      <c r="BK45" s="22"/>
      <c r="BL45" s="22"/>
      <c r="BM45" s="22"/>
      <c r="BN45" s="22"/>
      <c r="BO45" s="26"/>
    </row>
    <row r="46" spans="1:67" x14ac:dyDescent="0.3">
      <c r="D46" s="5"/>
      <c r="E46" s="5"/>
      <c r="F46" s="5"/>
      <c r="G46" s="5"/>
      <c r="H46" s="5"/>
      <c r="I46" s="5"/>
      <c r="J46" s="5"/>
      <c r="K46" s="5"/>
      <c r="L46" s="5"/>
      <c r="M46" s="5"/>
      <c r="N46" s="5"/>
      <c r="O46" s="5"/>
      <c r="P46" s="5"/>
      <c r="Q46" s="5"/>
      <c r="R46" s="5"/>
      <c r="S46" s="5"/>
      <c r="T46" s="5"/>
      <c r="U46" s="5"/>
      <c r="V46" s="5"/>
      <c r="Z46" s="13"/>
      <c r="AA46" s="12"/>
      <c r="AB46" s="12"/>
      <c r="AC46" s="12"/>
      <c r="AD46" s="12"/>
      <c r="AE46" s="12"/>
      <c r="AF46" s="12"/>
      <c r="AG46" s="12"/>
      <c r="AH46" s="12"/>
      <c r="AI46" s="12"/>
      <c r="AJ46" s="12"/>
      <c r="AK46" s="12"/>
      <c r="AL46" s="12"/>
      <c r="AM46" s="12"/>
      <c r="AN46" s="12"/>
      <c r="AO46" s="12"/>
      <c r="AP46" s="18"/>
      <c r="AQ46" s="18"/>
      <c r="AR46" s="18"/>
      <c r="AS46" s="18"/>
      <c r="AT46" s="18"/>
      <c r="AU46" s="18"/>
      <c r="AV46" s="18"/>
      <c r="AW46" s="18"/>
      <c r="AX46" s="18"/>
      <c r="AY46" s="18"/>
      <c r="AZ46" s="18"/>
      <c r="BA46" s="18"/>
      <c r="BB46" s="18"/>
      <c r="BC46" s="22"/>
      <c r="BD46" s="22"/>
      <c r="BE46" s="22"/>
      <c r="BF46" s="22"/>
      <c r="BG46" s="22"/>
      <c r="BH46" s="22"/>
      <c r="BI46" s="22"/>
      <c r="BJ46" s="22"/>
      <c r="BK46" s="22"/>
      <c r="BL46" s="22"/>
      <c r="BM46" s="22"/>
      <c r="BN46" s="22"/>
      <c r="BO46" s="26"/>
    </row>
    <row r="47" spans="1:67" x14ac:dyDescent="0.3">
      <c r="Z47" s="13"/>
      <c r="AA47" s="12"/>
      <c r="AB47" s="12"/>
      <c r="AC47" s="12"/>
      <c r="AD47" s="12"/>
      <c r="AE47" s="12"/>
      <c r="AF47" s="12"/>
      <c r="AG47" s="12"/>
      <c r="AH47" s="12"/>
      <c r="AI47" s="12"/>
      <c r="AJ47" s="12"/>
      <c r="AK47" s="12"/>
      <c r="AL47" s="12"/>
      <c r="AM47" s="12"/>
      <c r="AN47" s="12"/>
      <c r="AO47" s="12"/>
      <c r="AP47" s="18"/>
      <c r="AQ47" s="18"/>
      <c r="AR47" s="18"/>
      <c r="AS47" s="18"/>
      <c r="AT47" s="18"/>
      <c r="AU47" s="18"/>
      <c r="AV47" s="18"/>
      <c r="AW47" s="18"/>
      <c r="AX47" s="18"/>
      <c r="AY47" s="18"/>
      <c r="AZ47" s="18"/>
      <c r="BA47" s="18"/>
      <c r="BB47" s="18"/>
      <c r="BC47" s="22"/>
      <c r="BD47" s="22"/>
      <c r="BE47" s="22"/>
      <c r="BF47" s="22"/>
      <c r="BG47" s="22"/>
      <c r="BH47" s="22"/>
      <c r="BI47" s="22"/>
      <c r="BJ47" s="22"/>
      <c r="BK47" s="22"/>
      <c r="BL47" s="22"/>
      <c r="BM47" s="22"/>
      <c r="BN47" s="22"/>
      <c r="BO47" s="26"/>
    </row>
    <row r="48" spans="1:67" x14ac:dyDescent="0.3">
      <c r="Z48" s="13"/>
      <c r="AA48" s="12"/>
      <c r="AB48" s="12"/>
      <c r="AC48" s="12"/>
      <c r="AD48" s="12"/>
      <c r="AE48" s="12"/>
      <c r="AF48" s="12"/>
      <c r="AG48" s="12"/>
      <c r="AH48" s="12"/>
      <c r="AI48" s="12"/>
      <c r="AJ48" s="12"/>
      <c r="AK48" s="12"/>
      <c r="AL48" s="12"/>
      <c r="AM48" s="12"/>
      <c r="AN48" s="12"/>
      <c r="AO48" s="12"/>
      <c r="AP48" s="18"/>
      <c r="AQ48" s="18"/>
      <c r="AR48" s="18"/>
      <c r="AS48" s="18"/>
      <c r="AT48" s="18"/>
      <c r="AU48" s="18"/>
      <c r="AV48" s="18"/>
      <c r="AW48" s="18"/>
      <c r="AX48" s="18"/>
      <c r="AY48" s="18"/>
      <c r="AZ48" s="18"/>
      <c r="BA48" s="18"/>
      <c r="BB48" s="18"/>
      <c r="BC48" s="22"/>
      <c r="BD48" s="22"/>
      <c r="BE48" s="22"/>
      <c r="BF48" s="22"/>
      <c r="BG48" s="22"/>
      <c r="BH48" s="22"/>
      <c r="BI48" s="22"/>
      <c r="BJ48" s="22"/>
      <c r="BK48" s="22"/>
      <c r="BL48" s="22"/>
      <c r="BM48" s="22"/>
      <c r="BN48" s="22"/>
      <c r="BO48" s="26"/>
    </row>
    <row r="49" spans="26:67" x14ac:dyDescent="0.3">
      <c r="Z49" s="13"/>
      <c r="AA49" s="12"/>
      <c r="AB49" s="12"/>
      <c r="AC49" s="12"/>
      <c r="AD49" s="12"/>
      <c r="AE49" s="12"/>
      <c r="AF49" s="12"/>
      <c r="AG49" s="12"/>
      <c r="AH49" s="12"/>
      <c r="AI49" s="12"/>
      <c r="AJ49" s="12"/>
      <c r="AK49" s="12"/>
      <c r="AL49" s="12"/>
      <c r="AM49" s="12"/>
      <c r="AN49" s="12"/>
      <c r="AO49" s="12"/>
      <c r="AP49" s="18"/>
      <c r="AQ49" s="18"/>
      <c r="AR49" s="18"/>
      <c r="AS49" s="18"/>
      <c r="AT49" s="18"/>
      <c r="AU49" s="18"/>
      <c r="AV49" s="18"/>
      <c r="AW49" s="18"/>
      <c r="AX49" s="18"/>
      <c r="AY49" s="18"/>
      <c r="AZ49" s="18"/>
      <c r="BA49" s="18"/>
      <c r="BB49" s="18"/>
      <c r="BC49" s="22"/>
      <c r="BD49" s="22"/>
      <c r="BE49" s="22"/>
      <c r="BF49" s="22"/>
      <c r="BG49" s="22"/>
      <c r="BH49" s="22"/>
      <c r="BI49" s="22"/>
      <c r="BJ49" s="22"/>
      <c r="BK49" s="22"/>
      <c r="BL49" s="22"/>
      <c r="BM49" s="22"/>
      <c r="BN49" s="22"/>
      <c r="BO49" s="26"/>
    </row>
    <row r="50" spans="26:67" x14ac:dyDescent="0.3">
      <c r="Z50" s="13"/>
      <c r="AA50" s="12"/>
      <c r="AB50" s="12"/>
      <c r="AC50" s="12"/>
      <c r="AD50" s="12"/>
      <c r="AE50" s="12"/>
      <c r="AF50" s="12"/>
      <c r="AG50" s="12"/>
      <c r="AH50" s="12"/>
      <c r="AI50" s="12"/>
      <c r="AJ50" s="12"/>
      <c r="AK50" s="12"/>
      <c r="AL50" s="12"/>
      <c r="AM50" s="12"/>
      <c r="AN50" s="12"/>
      <c r="AO50" s="12"/>
      <c r="AP50" s="18"/>
      <c r="AQ50" s="18"/>
      <c r="AR50" s="18"/>
      <c r="AS50" s="18"/>
      <c r="AT50" s="18"/>
      <c r="AU50" s="18"/>
      <c r="AV50" s="18"/>
      <c r="AW50" s="18"/>
      <c r="AX50" s="18"/>
      <c r="AY50" s="18"/>
      <c r="AZ50" s="18"/>
      <c r="BA50" s="18"/>
      <c r="BB50" s="18"/>
      <c r="BC50" s="22"/>
      <c r="BD50" s="22"/>
      <c r="BE50" s="22"/>
      <c r="BF50" s="22"/>
      <c r="BG50" s="22"/>
      <c r="BH50" s="22"/>
      <c r="BI50" s="22"/>
      <c r="BJ50" s="22"/>
      <c r="BK50" s="22"/>
      <c r="BL50" s="22"/>
      <c r="BM50" s="22"/>
      <c r="BN50" s="22"/>
      <c r="BO50" s="26"/>
    </row>
    <row r="51" spans="26:67" x14ac:dyDescent="0.3">
      <c r="Z51" s="13"/>
      <c r="AA51" s="12"/>
      <c r="AB51" s="12"/>
      <c r="AC51" s="12"/>
      <c r="AD51" s="12"/>
      <c r="AE51" s="12"/>
      <c r="AF51" s="12"/>
      <c r="AG51" s="12"/>
      <c r="AH51" s="12"/>
      <c r="AI51" s="12"/>
      <c r="AJ51" s="12"/>
      <c r="AK51" s="12"/>
      <c r="AL51" s="12"/>
      <c r="AM51" s="12"/>
      <c r="AN51" s="12"/>
      <c r="AO51" s="12"/>
      <c r="AP51" s="18"/>
      <c r="AQ51" s="18"/>
      <c r="AR51" s="18"/>
      <c r="AS51" s="18"/>
      <c r="AT51" s="18"/>
      <c r="AU51" s="18"/>
      <c r="AV51" s="18"/>
      <c r="AW51" s="18"/>
      <c r="AX51" s="18"/>
      <c r="AY51" s="18"/>
      <c r="AZ51" s="18"/>
      <c r="BA51" s="18"/>
      <c r="BB51" s="18"/>
      <c r="BC51" s="22"/>
      <c r="BD51" s="22"/>
      <c r="BE51" s="22"/>
      <c r="BF51" s="22"/>
      <c r="BG51" s="22"/>
      <c r="BH51" s="22"/>
      <c r="BI51" s="22"/>
      <c r="BJ51" s="22"/>
      <c r="BK51" s="22"/>
      <c r="BL51" s="22"/>
      <c r="BM51" s="22"/>
      <c r="BN51" s="22"/>
      <c r="BO51" s="26"/>
    </row>
    <row r="52" spans="26:67" x14ac:dyDescent="0.3">
      <c r="Z52" s="13"/>
      <c r="AA52" s="12"/>
      <c r="AB52" s="12"/>
      <c r="AC52" s="12"/>
      <c r="AD52" s="12"/>
      <c r="AE52" s="12"/>
      <c r="AF52" s="12"/>
      <c r="AG52" s="12"/>
      <c r="AH52" s="12"/>
      <c r="AI52" s="12"/>
      <c r="AJ52" s="12"/>
      <c r="AK52" s="12"/>
      <c r="AL52" s="12"/>
      <c r="AM52" s="12"/>
      <c r="AN52" s="12"/>
      <c r="AO52" s="12"/>
      <c r="AP52" s="18"/>
      <c r="AQ52" s="18"/>
      <c r="AR52" s="18"/>
      <c r="AS52" s="18"/>
      <c r="AT52" s="18"/>
      <c r="AU52" s="18"/>
      <c r="AV52" s="18"/>
      <c r="AW52" s="18"/>
      <c r="AX52" s="18"/>
      <c r="AY52" s="18"/>
      <c r="AZ52" s="18"/>
      <c r="BA52" s="18"/>
      <c r="BB52" s="18"/>
      <c r="BC52" s="22"/>
      <c r="BD52" s="22"/>
      <c r="BE52" s="22"/>
      <c r="BF52" s="22"/>
      <c r="BG52" s="22"/>
      <c r="BH52" s="22"/>
      <c r="BI52" s="22"/>
      <c r="BJ52" s="22"/>
      <c r="BK52" s="22"/>
      <c r="BL52" s="22"/>
      <c r="BM52" s="22"/>
      <c r="BN52" s="22"/>
      <c r="BO52" s="26"/>
    </row>
    <row r="53" spans="26:67" x14ac:dyDescent="0.3">
      <c r="Z53" s="13"/>
      <c r="AA53" s="12"/>
      <c r="AB53" s="12"/>
      <c r="AC53" s="12"/>
      <c r="AD53" s="12"/>
      <c r="AE53" s="12"/>
      <c r="AF53" s="12"/>
      <c r="AG53" s="12"/>
      <c r="AH53" s="12"/>
      <c r="AI53" s="12"/>
      <c r="AJ53" s="12"/>
      <c r="AK53" s="12"/>
      <c r="AL53" s="12"/>
      <c r="AM53" s="12"/>
      <c r="AN53" s="12"/>
      <c r="AO53" s="12"/>
      <c r="AP53" s="18"/>
      <c r="AQ53" s="18"/>
      <c r="AR53" s="18"/>
      <c r="AS53" s="18"/>
      <c r="AT53" s="18"/>
      <c r="AU53" s="18"/>
      <c r="AV53" s="18"/>
      <c r="AW53" s="18"/>
      <c r="AX53" s="18"/>
      <c r="AY53" s="18"/>
      <c r="AZ53" s="18"/>
      <c r="BA53" s="18"/>
      <c r="BB53" s="18"/>
      <c r="BC53" s="22"/>
      <c r="BD53" s="22"/>
      <c r="BE53" s="22"/>
      <c r="BF53" s="22"/>
      <c r="BG53" s="22"/>
      <c r="BH53" s="22"/>
      <c r="BI53" s="22"/>
      <c r="BJ53" s="22"/>
      <c r="BK53" s="22"/>
      <c r="BL53" s="22"/>
      <c r="BM53" s="22"/>
      <c r="BN53" s="22"/>
      <c r="BO53" s="26"/>
    </row>
    <row r="54" spans="26:67" x14ac:dyDescent="0.3">
      <c r="Z54" s="13"/>
      <c r="AA54" s="12"/>
      <c r="AB54" s="12"/>
      <c r="AC54" s="12"/>
      <c r="AD54" s="12"/>
      <c r="AE54" s="12"/>
      <c r="AF54" s="12"/>
      <c r="AG54" s="12"/>
      <c r="AH54" s="12"/>
      <c r="AI54" s="12"/>
      <c r="AJ54" s="12"/>
      <c r="AK54" s="12"/>
      <c r="AL54" s="12"/>
      <c r="AM54" s="12"/>
      <c r="AN54" s="12"/>
      <c r="AO54" s="12"/>
      <c r="AP54" s="18"/>
      <c r="AQ54" s="18"/>
      <c r="AR54" s="18"/>
      <c r="AS54" s="18"/>
      <c r="AT54" s="18"/>
      <c r="AU54" s="18"/>
      <c r="AV54" s="18"/>
      <c r="AW54" s="18"/>
      <c r="AX54" s="18"/>
      <c r="AY54" s="18"/>
      <c r="AZ54" s="18"/>
      <c r="BA54" s="18"/>
      <c r="BB54" s="18"/>
      <c r="BC54" s="22"/>
      <c r="BD54" s="22"/>
      <c r="BE54" s="22"/>
      <c r="BF54" s="22"/>
      <c r="BG54" s="22"/>
      <c r="BH54" s="22"/>
      <c r="BI54" s="22"/>
      <c r="BJ54" s="22"/>
      <c r="BK54" s="22"/>
      <c r="BL54" s="22"/>
      <c r="BM54" s="22"/>
      <c r="BN54" s="22"/>
      <c r="BO54" s="26"/>
    </row>
    <row r="55" spans="26:67" x14ac:dyDescent="0.3">
      <c r="Z55" s="13"/>
      <c r="AA55" s="12"/>
      <c r="AB55" s="12"/>
      <c r="AC55" s="12"/>
      <c r="AD55" s="12"/>
      <c r="AE55" s="12"/>
      <c r="AF55" s="12"/>
      <c r="AG55" s="12"/>
      <c r="AH55" s="12"/>
      <c r="AI55" s="12"/>
      <c r="AJ55" s="12"/>
      <c r="AK55" s="12"/>
      <c r="AL55" s="12"/>
      <c r="AM55" s="12"/>
      <c r="AN55" s="12"/>
      <c r="AO55" s="12"/>
      <c r="AP55" s="18"/>
      <c r="AQ55" s="18"/>
      <c r="AR55" s="18"/>
      <c r="AS55" s="18"/>
      <c r="AT55" s="18"/>
      <c r="AU55" s="18"/>
      <c r="AV55" s="18"/>
      <c r="AW55" s="18"/>
      <c r="AX55" s="18"/>
      <c r="AY55" s="18"/>
      <c r="AZ55" s="18"/>
      <c r="BA55" s="18"/>
      <c r="BB55" s="18"/>
      <c r="BC55" s="22"/>
      <c r="BD55" s="22"/>
      <c r="BE55" s="22"/>
      <c r="BF55" s="22"/>
      <c r="BG55" s="22"/>
      <c r="BH55" s="22"/>
      <c r="BI55" s="22"/>
      <c r="BJ55" s="22"/>
      <c r="BK55" s="22"/>
      <c r="BL55" s="22"/>
      <c r="BM55" s="22"/>
      <c r="BN55" s="22"/>
      <c r="BO55" s="26"/>
    </row>
    <row r="56" spans="26:67" x14ac:dyDescent="0.3">
      <c r="Z56" s="13"/>
      <c r="AA56" s="12"/>
      <c r="AB56" s="12"/>
      <c r="AC56" s="12"/>
      <c r="AD56" s="12"/>
      <c r="AE56" s="12"/>
      <c r="AF56" s="12"/>
      <c r="AG56" s="12"/>
      <c r="AH56" s="12"/>
      <c r="AI56" s="12"/>
      <c r="AJ56" s="12"/>
      <c r="AK56" s="12"/>
      <c r="AL56" s="12"/>
      <c r="AM56" s="12"/>
      <c r="AN56" s="12"/>
      <c r="AO56" s="12"/>
      <c r="AP56" s="18"/>
      <c r="AQ56" s="18"/>
      <c r="AR56" s="18"/>
      <c r="AS56" s="18"/>
      <c r="AT56" s="18"/>
      <c r="AU56" s="18"/>
      <c r="AV56" s="18"/>
      <c r="AW56" s="18"/>
      <c r="AX56" s="18"/>
      <c r="AY56" s="18"/>
      <c r="AZ56" s="18"/>
      <c r="BA56" s="18"/>
      <c r="BB56" s="18"/>
      <c r="BC56" s="22"/>
      <c r="BD56" s="22"/>
      <c r="BE56" s="22"/>
      <c r="BF56" s="22"/>
      <c r="BG56" s="22"/>
      <c r="BH56" s="22"/>
      <c r="BI56" s="22"/>
      <c r="BJ56" s="22"/>
      <c r="BK56" s="22"/>
      <c r="BL56" s="22"/>
      <c r="BM56" s="22"/>
      <c r="BN56" s="22"/>
      <c r="BO56" s="26"/>
    </row>
    <row r="57" spans="26:67" x14ac:dyDescent="0.3">
      <c r="Z57" s="13"/>
      <c r="AA57" s="12"/>
      <c r="AB57" s="12"/>
      <c r="AC57" s="12"/>
      <c r="AD57" s="12"/>
      <c r="AE57" s="12"/>
      <c r="AF57" s="12"/>
      <c r="AG57" s="12"/>
      <c r="AH57" s="12"/>
      <c r="AI57" s="12"/>
      <c r="AJ57" s="12"/>
      <c r="AK57" s="12"/>
      <c r="AL57" s="12"/>
      <c r="AM57" s="12"/>
      <c r="AN57" s="12"/>
      <c r="AO57" s="12"/>
      <c r="AP57" s="18"/>
      <c r="AQ57" s="18"/>
      <c r="AR57" s="18"/>
      <c r="AS57" s="18"/>
      <c r="AT57" s="18"/>
      <c r="AU57" s="18"/>
      <c r="AV57" s="18"/>
      <c r="AW57" s="18"/>
      <c r="AX57" s="18"/>
      <c r="AY57" s="18"/>
      <c r="AZ57" s="18"/>
      <c r="BA57" s="18"/>
      <c r="BB57" s="18"/>
      <c r="BC57" s="22"/>
      <c r="BD57" s="22"/>
      <c r="BE57" s="22"/>
      <c r="BF57" s="22"/>
      <c r="BG57" s="22"/>
      <c r="BH57" s="22"/>
      <c r="BI57" s="22"/>
      <c r="BJ57" s="22"/>
      <c r="BK57" s="22"/>
      <c r="BL57" s="22"/>
      <c r="BM57" s="22"/>
      <c r="BN57" s="22"/>
      <c r="BO57" s="26"/>
    </row>
    <row r="58" spans="26:67" x14ac:dyDescent="0.3">
      <c r="Z58" s="13"/>
      <c r="AA58" s="12"/>
      <c r="AB58" s="12"/>
      <c r="AC58" s="12"/>
      <c r="AD58" s="12"/>
      <c r="AE58" s="12"/>
      <c r="AF58" s="12"/>
      <c r="AG58" s="12"/>
      <c r="AH58" s="12"/>
      <c r="AI58" s="12"/>
      <c r="AJ58" s="12"/>
      <c r="AK58" s="12"/>
      <c r="AL58" s="12"/>
      <c r="AM58" s="12"/>
      <c r="AN58" s="12"/>
      <c r="AO58" s="12"/>
      <c r="AP58" s="18"/>
      <c r="AQ58" s="18"/>
      <c r="AR58" s="18"/>
      <c r="AS58" s="18"/>
      <c r="AT58" s="18"/>
      <c r="AU58" s="18"/>
      <c r="AV58" s="18"/>
      <c r="AW58" s="18"/>
      <c r="AX58" s="18"/>
      <c r="AY58" s="18"/>
      <c r="AZ58" s="18"/>
      <c r="BA58" s="18"/>
      <c r="BB58" s="18"/>
      <c r="BC58" s="22"/>
      <c r="BD58" s="22"/>
      <c r="BE58" s="22"/>
      <c r="BF58" s="22"/>
      <c r="BG58" s="22"/>
      <c r="BH58" s="22"/>
      <c r="BI58" s="22"/>
      <c r="BJ58" s="22"/>
      <c r="BK58" s="22"/>
      <c r="BL58" s="22"/>
      <c r="BM58" s="22"/>
      <c r="BN58" s="22"/>
      <c r="BO58" s="26"/>
    </row>
    <row r="59" spans="26:67" x14ac:dyDescent="0.3">
      <c r="Z59" s="13"/>
      <c r="AA59" s="12"/>
      <c r="AB59" s="12"/>
      <c r="AC59" s="12"/>
      <c r="AD59" s="12"/>
      <c r="AE59" s="12"/>
      <c r="AF59" s="12"/>
      <c r="AG59" s="12"/>
      <c r="AH59" s="12"/>
      <c r="AI59" s="12"/>
      <c r="AJ59" s="12"/>
      <c r="AK59" s="12"/>
      <c r="AL59" s="12"/>
      <c r="AM59" s="12"/>
      <c r="AN59" s="12"/>
      <c r="AO59" s="12"/>
      <c r="AP59" s="18"/>
      <c r="AQ59" s="18"/>
      <c r="AR59" s="18"/>
      <c r="AS59" s="18"/>
      <c r="AT59" s="18"/>
      <c r="AU59" s="18"/>
      <c r="AV59" s="18"/>
      <c r="AW59" s="18"/>
      <c r="AX59" s="18"/>
      <c r="AY59" s="18"/>
      <c r="AZ59" s="18"/>
      <c r="BA59" s="18"/>
      <c r="BB59" s="18"/>
      <c r="BC59" s="22"/>
      <c r="BD59" s="22"/>
      <c r="BE59" s="22"/>
      <c r="BF59" s="22"/>
      <c r="BG59" s="22"/>
      <c r="BH59" s="22"/>
      <c r="BI59" s="22"/>
      <c r="BJ59" s="22"/>
      <c r="BK59" s="22"/>
      <c r="BL59" s="22"/>
      <c r="BM59" s="22"/>
      <c r="BN59" s="22"/>
      <c r="BO59" s="26"/>
    </row>
    <row r="60" spans="26:67" x14ac:dyDescent="0.3">
      <c r="Z60" s="13"/>
      <c r="AA60" s="12"/>
      <c r="AB60" s="12"/>
      <c r="AC60" s="12"/>
      <c r="AD60" s="12"/>
      <c r="AE60" s="12"/>
      <c r="AF60" s="12"/>
      <c r="AG60" s="12"/>
      <c r="AH60" s="12"/>
      <c r="AI60" s="12"/>
      <c r="AJ60" s="12"/>
      <c r="AK60" s="12"/>
      <c r="AL60" s="12"/>
      <c r="AM60" s="12"/>
      <c r="AN60" s="12"/>
      <c r="AO60" s="12"/>
      <c r="AP60" s="18"/>
      <c r="AQ60" s="18"/>
      <c r="AR60" s="18"/>
      <c r="AS60" s="18"/>
      <c r="AT60" s="18"/>
      <c r="AU60" s="18"/>
      <c r="AV60" s="18"/>
      <c r="AW60" s="18"/>
      <c r="AX60" s="18"/>
      <c r="AY60" s="18"/>
      <c r="AZ60" s="18"/>
      <c r="BA60" s="18"/>
      <c r="BB60" s="18"/>
      <c r="BC60" s="22"/>
      <c r="BD60" s="22"/>
      <c r="BE60" s="22"/>
      <c r="BF60" s="22"/>
      <c r="BG60" s="22"/>
      <c r="BH60" s="22"/>
      <c r="BI60" s="22"/>
      <c r="BJ60" s="22"/>
      <c r="BK60" s="22"/>
      <c r="BL60" s="22"/>
      <c r="BM60" s="22"/>
      <c r="BN60" s="22"/>
      <c r="BO60" s="26"/>
    </row>
    <row r="61" spans="26:67" x14ac:dyDescent="0.3">
      <c r="Z61" s="13"/>
      <c r="AA61" s="12"/>
      <c r="AB61" s="12"/>
      <c r="AC61" s="12"/>
      <c r="AD61" s="12"/>
      <c r="AE61" s="12"/>
      <c r="AF61" s="12"/>
      <c r="AG61" s="12"/>
      <c r="AH61" s="12"/>
      <c r="AI61" s="12"/>
      <c r="AJ61" s="12"/>
      <c r="AK61" s="12"/>
      <c r="AL61" s="12"/>
      <c r="AM61" s="12"/>
      <c r="AN61" s="12"/>
      <c r="AO61" s="12"/>
      <c r="AP61" s="18"/>
      <c r="AQ61" s="18"/>
      <c r="AR61" s="18"/>
      <c r="AS61" s="18"/>
      <c r="AT61" s="18"/>
      <c r="AU61" s="18"/>
      <c r="AV61" s="18"/>
      <c r="AW61" s="18"/>
      <c r="AX61" s="18"/>
      <c r="AY61" s="18"/>
      <c r="AZ61" s="18"/>
      <c r="BA61" s="18"/>
      <c r="BB61" s="18"/>
      <c r="BC61" s="22"/>
      <c r="BD61" s="22"/>
      <c r="BE61" s="22"/>
      <c r="BF61" s="22"/>
      <c r="BG61" s="22"/>
      <c r="BH61" s="22"/>
      <c r="BI61" s="22"/>
      <c r="BJ61" s="22"/>
      <c r="BK61" s="22"/>
      <c r="BL61" s="22"/>
      <c r="BM61" s="22"/>
      <c r="BN61" s="22"/>
      <c r="BO61" s="26"/>
    </row>
    <row r="62" spans="26:67" x14ac:dyDescent="0.3">
      <c r="Z62" s="13"/>
      <c r="AA62" s="12"/>
      <c r="AB62" s="12"/>
      <c r="AC62" s="12"/>
      <c r="AD62" s="12"/>
      <c r="AE62" s="12"/>
      <c r="AF62" s="12"/>
      <c r="AG62" s="12"/>
      <c r="AH62" s="12"/>
      <c r="AI62" s="12"/>
      <c r="AJ62" s="12"/>
      <c r="AK62" s="12"/>
      <c r="AL62" s="12"/>
      <c r="AM62" s="12"/>
      <c r="AN62" s="12"/>
      <c r="AO62" s="12"/>
      <c r="AP62" s="18"/>
      <c r="AQ62" s="18"/>
      <c r="AR62" s="18"/>
      <c r="AS62" s="18"/>
      <c r="AT62" s="18"/>
      <c r="AU62" s="18"/>
      <c r="AV62" s="18"/>
      <c r="AW62" s="18"/>
      <c r="AX62" s="18"/>
      <c r="AY62" s="18"/>
      <c r="AZ62" s="18"/>
      <c r="BA62" s="18"/>
      <c r="BB62" s="18"/>
      <c r="BC62" s="22"/>
      <c r="BD62" s="22"/>
      <c r="BE62" s="22"/>
      <c r="BF62" s="22"/>
      <c r="BG62" s="22"/>
      <c r="BH62" s="22"/>
      <c r="BI62" s="22"/>
      <c r="BJ62" s="22"/>
      <c r="BK62" s="22"/>
      <c r="BL62" s="22"/>
      <c r="BM62" s="22"/>
      <c r="BN62" s="22"/>
      <c r="BO62" s="26"/>
    </row>
    <row r="63" spans="26:67" x14ac:dyDescent="0.3">
      <c r="Z63" s="13"/>
      <c r="AA63" s="12"/>
      <c r="AB63" s="12"/>
      <c r="AC63" s="12"/>
      <c r="AD63" s="12"/>
      <c r="AE63" s="12"/>
      <c r="AF63" s="12"/>
      <c r="AG63" s="12"/>
      <c r="AH63" s="12"/>
      <c r="AI63" s="12"/>
      <c r="AJ63" s="12"/>
      <c r="AK63" s="12"/>
      <c r="AL63" s="12"/>
      <c r="AM63" s="12"/>
      <c r="AN63" s="12"/>
      <c r="AO63" s="12"/>
      <c r="AP63" s="18"/>
      <c r="AQ63" s="18"/>
      <c r="AR63" s="18"/>
      <c r="AS63" s="18"/>
      <c r="AT63" s="18"/>
      <c r="AU63" s="18"/>
      <c r="AV63" s="18"/>
      <c r="AW63" s="18"/>
      <c r="AX63" s="18"/>
      <c r="AY63" s="18"/>
      <c r="AZ63" s="18"/>
      <c r="BA63" s="18"/>
      <c r="BB63" s="18"/>
      <c r="BC63" s="22"/>
      <c r="BD63" s="22"/>
      <c r="BE63" s="22"/>
      <c r="BF63" s="22"/>
      <c r="BG63" s="22"/>
      <c r="BH63" s="22"/>
      <c r="BI63" s="22"/>
      <c r="BJ63" s="22"/>
      <c r="BK63" s="22"/>
      <c r="BL63" s="22"/>
      <c r="BM63" s="22"/>
      <c r="BN63" s="22"/>
      <c r="BO63" s="26"/>
    </row>
    <row r="64" spans="26:67" x14ac:dyDescent="0.3">
      <c r="Z64" s="13"/>
      <c r="AA64" s="12"/>
      <c r="AB64" s="12"/>
      <c r="AC64" s="12"/>
      <c r="AD64" s="12"/>
      <c r="AE64" s="12"/>
      <c r="AF64" s="12"/>
      <c r="AG64" s="12"/>
      <c r="AH64" s="12"/>
      <c r="AI64" s="12"/>
      <c r="AJ64" s="12"/>
      <c r="AK64" s="12"/>
      <c r="AL64" s="12"/>
      <c r="AM64" s="12"/>
      <c r="AN64" s="12"/>
      <c r="AO64" s="12"/>
      <c r="AP64" s="18"/>
      <c r="AQ64" s="18"/>
      <c r="AR64" s="18"/>
      <c r="AS64" s="18"/>
      <c r="AT64" s="18"/>
      <c r="AU64" s="18"/>
      <c r="AV64" s="18"/>
      <c r="AW64" s="18"/>
      <c r="AX64" s="18"/>
      <c r="AY64" s="18"/>
      <c r="AZ64" s="18"/>
      <c r="BA64" s="18"/>
      <c r="BB64" s="18"/>
      <c r="BC64" s="22"/>
      <c r="BD64" s="22"/>
      <c r="BE64" s="22"/>
      <c r="BF64" s="22"/>
      <c r="BG64" s="22"/>
      <c r="BH64" s="22"/>
      <c r="BI64" s="22"/>
      <c r="BJ64" s="22"/>
      <c r="BK64" s="22"/>
      <c r="BL64" s="22"/>
      <c r="BM64" s="22"/>
      <c r="BN64" s="22"/>
      <c r="BO64" s="26"/>
    </row>
    <row r="65" spans="26:67" x14ac:dyDescent="0.3">
      <c r="Z65" s="13"/>
      <c r="AA65" s="12"/>
      <c r="AB65" s="12"/>
      <c r="AC65" s="12"/>
      <c r="AD65" s="12"/>
      <c r="AE65" s="12"/>
      <c r="AF65" s="12"/>
      <c r="AG65" s="12"/>
      <c r="AH65" s="12"/>
      <c r="AI65" s="12"/>
      <c r="AJ65" s="12"/>
      <c r="AK65" s="12"/>
      <c r="AL65" s="12"/>
      <c r="AM65" s="12"/>
      <c r="AN65" s="12"/>
      <c r="AO65" s="12"/>
      <c r="AP65" s="18"/>
      <c r="AQ65" s="18"/>
      <c r="AR65" s="18"/>
      <c r="AS65" s="18"/>
      <c r="AT65" s="18"/>
      <c r="AU65" s="18"/>
      <c r="AV65" s="18"/>
      <c r="AW65" s="18"/>
      <c r="AX65" s="18"/>
      <c r="AY65" s="18"/>
      <c r="AZ65" s="18"/>
      <c r="BA65" s="18"/>
      <c r="BB65" s="18"/>
      <c r="BC65" s="22"/>
      <c r="BD65" s="22"/>
      <c r="BE65" s="22"/>
      <c r="BF65" s="22"/>
      <c r="BG65" s="22"/>
      <c r="BH65" s="22"/>
      <c r="BI65" s="22"/>
      <c r="BJ65" s="22"/>
      <c r="BK65" s="22"/>
      <c r="BL65" s="22"/>
      <c r="BM65" s="22"/>
      <c r="BN65" s="22"/>
      <c r="BO65" s="26"/>
    </row>
    <row r="66" spans="26:67" x14ac:dyDescent="0.3">
      <c r="Z66" s="13"/>
      <c r="AA66" s="12"/>
      <c r="AB66" s="12"/>
      <c r="AC66" s="12"/>
      <c r="AD66" s="12"/>
      <c r="AE66" s="12"/>
      <c r="AF66" s="12"/>
      <c r="AG66" s="12"/>
      <c r="AH66" s="12"/>
      <c r="AI66" s="12"/>
      <c r="AJ66" s="12"/>
      <c r="AK66" s="12"/>
      <c r="AL66" s="12"/>
      <c r="AM66" s="12"/>
      <c r="AN66" s="12"/>
      <c r="AO66" s="12"/>
      <c r="AP66" s="18"/>
      <c r="AQ66" s="18"/>
      <c r="AR66" s="18"/>
      <c r="AS66" s="18"/>
      <c r="AT66" s="18"/>
      <c r="AU66" s="18"/>
      <c r="AV66" s="18"/>
      <c r="AW66" s="18"/>
      <c r="AX66" s="18"/>
      <c r="AY66" s="18"/>
      <c r="AZ66" s="18"/>
      <c r="BA66" s="18"/>
      <c r="BB66" s="18"/>
      <c r="BC66" s="22"/>
      <c r="BD66" s="22"/>
      <c r="BE66" s="22"/>
      <c r="BF66" s="22"/>
      <c r="BG66" s="22"/>
      <c r="BH66" s="22"/>
      <c r="BI66" s="22"/>
      <c r="BJ66" s="22"/>
      <c r="BK66" s="22"/>
      <c r="BL66" s="22"/>
      <c r="BM66" s="22"/>
      <c r="BN66" s="22"/>
      <c r="BO66" s="26"/>
    </row>
    <row r="67" spans="26:67" x14ac:dyDescent="0.3">
      <c r="Z67" s="13"/>
      <c r="AA67" s="12"/>
      <c r="AB67" s="12"/>
      <c r="AC67" s="12"/>
      <c r="AD67" s="12"/>
      <c r="AE67" s="12"/>
      <c r="AF67" s="12"/>
      <c r="AG67" s="12"/>
      <c r="AH67" s="12"/>
      <c r="AI67" s="12"/>
      <c r="AJ67" s="12"/>
      <c r="AK67" s="12"/>
      <c r="AL67" s="12"/>
      <c r="AM67" s="12"/>
      <c r="AN67" s="12"/>
      <c r="AO67" s="12"/>
      <c r="AP67" s="18"/>
      <c r="AQ67" s="18"/>
      <c r="AR67" s="18"/>
      <c r="AS67" s="18"/>
      <c r="AT67" s="18"/>
      <c r="AU67" s="18"/>
      <c r="AV67" s="18"/>
      <c r="AW67" s="18"/>
      <c r="AX67" s="18"/>
      <c r="AY67" s="18"/>
      <c r="AZ67" s="18"/>
      <c r="BA67" s="18"/>
      <c r="BB67" s="18"/>
      <c r="BC67" s="22"/>
      <c r="BD67" s="22"/>
      <c r="BE67" s="22"/>
      <c r="BF67" s="22"/>
      <c r="BG67" s="22"/>
      <c r="BH67" s="22"/>
      <c r="BI67" s="22"/>
      <c r="BJ67" s="22"/>
      <c r="BK67" s="22"/>
      <c r="BL67" s="22"/>
      <c r="BM67" s="22"/>
      <c r="BN67" s="22"/>
      <c r="BO67" s="26"/>
    </row>
    <row r="68" spans="26:67" x14ac:dyDescent="0.3">
      <c r="Z68" s="13"/>
      <c r="AA68" s="12"/>
      <c r="AB68" s="12"/>
      <c r="AC68" s="12"/>
      <c r="AD68" s="12"/>
      <c r="AE68" s="12"/>
      <c r="AF68" s="12"/>
      <c r="AG68" s="12"/>
      <c r="AH68" s="12"/>
      <c r="AI68" s="12"/>
      <c r="AJ68" s="12"/>
      <c r="AK68" s="12"/>
      <c r="AL68" s="12"/>
      <c r="AM68" s="12"/>
      <c r="AN68" s="12"/>
      <c r="AO68" s="12"/>
      <c r="AP68" s="18"/>
      <c r="AQ68" s="18"/>
      <c r="AR68" s="18"/>
      <c r="AS68" s="18"/>
      <c r="AT68" s="18"/>
      <c r="AU68" s="18"/>
      <c r="AV68" s="18"/>
      <c r="AW68" s="18"/>
      <c r="AX68" s="18"/>
      <c r="AY68" s="18"/>
      <c r="AZ68" s="18"/>
      <c r="BA68" s="18"/>
      <c r="BB68" s="18"/>
      <c r="BC68" s="22"/>
      <c r="BD68" s="22"/>
      <c r="BE68" s="22"/>
      <c r="BF68" s="22"/>
      <c r="BG68" s="22"/>
      <c r="BH68" s="22"/>
      <c r="BI68" s="22"/>
      <c r="BJ68" s="22"/>
      <c r="BK68" s="22"/>
      <c r="BL68" s="22"/>
      <c r="BM68" s="22"/>
      <c r="BN68" s="22"/>
      <c r="BO68" s="26"/>
    </row>
    <row r="69" spans="26:67" ht="14.5" thickBot="1" x14ac:dyDescent="0.35">
      <c r="Z69" s="14"/>
      <c r="AA69" s="15"/>
      <c r="AB69" s="15"/>
      <c r="AC69" s="15"/>
      <c r="AD69" s="15"/>
      <c r="AE69" s="15"/>
      <c r="AF69" s="15"/>
      <c r="AG69" s="15"/>
      <c r="AH69" s="15"/>
      <c r="AI69" s="15"/>
      <c r="AJ69" s="15"/>
      <c r="AK69" s="15"/>
      <c r="AL69" s="15"/>
      <c r="AM69" s="15"/>
      <c r="AN69" s="15"/>
      <c r="AO69" s="15"/>
      <c r="AP69" s="19"/>
      <c r="AQ69" s="19"/>
      <c r="AR69" s="19"/>
      <c r="AS69" s="19"/>
      <c r="AT69" s="19"/>
      <c r="AU69" s="19"/>
      <c r="AV69" s="19"/>
      <c r="AW69" s="19"/>
      <c r="AX69" s="19"/>
      <c r="AY69" s="19"/>
      <c r="AZ69" s="19"/>
      <c r="BA69" s="19"/>
      <c r="BB69" s="19"/>
      <c r="BC69" s="24"/>
      <c r="BD69" s="24"/>
      <c r="BE69" s="24"/>
      <c r="BF69" s="24"/>
      <c r="BG69" s="24"/>
      <c r="BH69" s="24"/>
      <c r="BI69" s="24"/>
      <c r="BJ69" s="24"/>
      <c r="BK69" s="24"/>
      <c r="BL69" s="24"/>
      <c r="BM69" s="24"/>
      <c r="BN69" s="24"/>
      <c r="BO69" s="27"/>
    </row>
    <row r="70" spans="26:67" ht="14.5" thickTop="1" x14ac:dyDescent="0.3"/>
  </sheetData>
  <mergeCells count="1">
    <mergeCell ref="C13:C1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EK45"/>
  <sheetViews>
    <sheetView zoomScale="115" zoomScaleNormal="115" workbookViewId="0">
      <selection activeCell="AM19" sqref="AM19"/>
    </sheetView>
  </sheetViews>
  <sheetFormatPr defaultRowHeight="14" x14ac:dyDescent="0.3"/>
  <cols>
    <col min="3" max="3" width="19.58203125" bestFit="1" customWidth="1"/>
    <col min="6" max="6" width="12.33203125" bestFit="1" customWidth="1"/>
    <col min="7" max="7" width="11.75" bestFit="1" customWidth="1"/>
    <col min="8" max="9" width="11.75" customWidth="1"/>
    <col min="14" max="14" width="11.75" bestFit="1" customWidth="1"/>
    <col min="15" max="16" width="11.75" customWidth="1"/>
    <col min="21" max="21" width="11.75" bestFit="1" customWidth="1"/>
    <col min="22" max="22" width="11.75" customWidth="1"/>
    <col min="24" max="24" width="11.33203125" bestFit="1" customWidth="1"/>
    <col min="26" max="26" width="10.25" bestFit="1" customWidth="1"/>
    <col min="28" max="28" width="11.75" bestFit="1" customWidth="1"/>
    <col min="29" max="29" width="11.75" customWidth="1"/>
    <col min="31" max="31" width="11.5" bestFit="1" customWidth="1"/>
    <col min="35" max="35" width="11.75" bestFit="1" customWidth="1"/>
    <col min="36" max="36" width="11.75" customWidth="1"/>
    <col min="42" max="42" width="11.75" bestFit="1" customWidth="1"/>
    <col min="43" max="43" width="11.75" customWidth="1"/>
    <col min="49" max="49" width="11.75" bestFit="1" customWidth="1"/>
    <col min="50" max="51" width="11.75" customWidth="1"/>
    <col min="55" max="55" width="10.25" bestFit="1" customWidth="1"/>
    <col min="56" max="56" width="11.75" bestFit="1" customWidth="1"/>
    <col min="57" max="58" width="11.75" customWidth="1"/>
    <col min="62" max="62" width="10.25" bestFit="1" customWidth="1"/>
    <col min="63" max="63" width="11.75" bestFit="1" customWidth="1"/>
    <col min="64" max="67" width="11.75" customWidth="1"/>
    <col min="70" max="70" width="11.75" bestFit="1" customWidth="1"/>
    <col min="71" max="72" width="11.75" customWidth="1"/>
    <col min="77" max="77" width="11.75" bestFit="1" customWidth="1"/>
    <col min="78" max="79" width="11.75" customWidth="1"/>
    <col min="84" max="84" width="11.75" bestFit="1" customWidth="1"/>
    <col min="85" max="88" width="11.75" customWidth="1"/>
    <col min="91" max="91" width="11.75" bestFit="1" customWidth="1"/>
  </cols>
  <sheetData>
    <row r="2" spans="1:141" x14ac:dyDescent="0.3">
      <c r="E2" s="387" t="s">
        <v>219</v>
      </c>
      <c r="F2" s="387"/>
      <c r="M2" s="387" t="s">
        <v>219</v>
      </c>
      <c r="N2" s="387"/>
    </row>
    <row r="3" spans="1:141" ht="14.5" thickBot="1" x14ac:dyDescent="0.35"/>
    <row r="4" spans="1:141" x14ac:dyDescent="0.3">
      <c r="D4" s="388" t="s">
        <v>92</v>
      </c>
      <c r="E4" s="389"/>
      <c r="F4" s="389"/>
      <c r="G4" s="389"/>
      <c r="H4" s="73" t="s">
        <v>144</v>
      </c>
      <c r="I4" s="74" t="s">
        <v>145</v>
      </c>
      <c r="K4" s="382" t="s">
        <v>93</v>
      </c>
      <c r="L4" s="383"/>
      <c r="M4" s="383"/>
      <c r="N4" s="383"/>
      <c r="O4" s="40" t="s">
        <v>144</v>
      </c>
      <c r="P4" s="41" t="s">
        <v>145</v>
      </c>
      <c r="R4" s="382" t="s">
        <v>94</v>
      </c>
      <c r="S4" s="383"/>
      <c r="T4" s="383"/>
      <c r="U4" s="383"/>
      <c r="V4" s="40" t="s">
        <v>144</v>
      </c>
      <c r="W4" s="41" t="s">
        <v>145</v>
      </c>
      <c r="X4" s="72"/>
      <c r="Y4" s="382" t="s">
        <v>95</v>
      </c>
      <c r="Z4" s="383"/>
      <c r="AA4" s="383"/>
      <c r="AB4" s="383"/>
      <c r="AC4" s="40" t="s">
        <v>144</v>
      </c>
      <c r="AD4" s="41" t="s">
        <v>145</v>
      </c>
      <c r="AE4" s="72"/>
      <c r="AF4" s="382" t="s">
        <v>137</v>
      </c>
      <c r="AG4" s="383"/>
      <c r="AH4" s="383"/>
      <c r="AI4" s="383"/>
      <c r="AJ4" s="40" t="s">
        <v>144</v>
      </c>
      <c r="AK4" s="41" t="s">
        <v>145</v>
      </c>
      <c r="AL4" s="72"/>
      <c r="AM4" s="382" t="s">
        <v>138</v>
      </c>
      <c r="AN4" s="383"/>
      <c r="AO4" s="383"/>
      <c r="AP4" s="383"/>
      <c r="AQ4" s="40" t="s">
        <v>144</v>
      </c>
      <c r="AR4" s="41" t="s">
        <v>145</v>
      </c>
      <c r="AS4" s="72"/>
      <c r="AT4" s="382" t="s">
        <v>98</v>
      </c>
      <c r="AU4" s="383"/>
      <c r="AV4" s="383"/>
      <c r="AW4" s="383"/>
      <c r="AX4" s="40" t="s">
        <v>144</v>
      </c>
      <c r="AY4" s="41" t="s">
        <v>145</v>
      </c>
      <c r="BA4" s="382" t="s">
        <v>139</v>
      </c>
      <c r="BB4" s="383"/>
      <c r="BC4" s="383"/>
      <c r="BD4" s="383"/>
      <c r="BE4" s="40" t="s">
        <v>144</v>
      </c>
      <c r="BF4" s="41" t="s">
        <v>145</v>
      </c>
      <c r="BH4" s="382" t="s">
        <v>140</v>
      </c>
      <c r="BI4" s="383"/>
      <c r="BJ4" s="383"/>
      <c r="BK4" s="383"/>
      <c r="BL4" s="40" t="s">
        <v>144</v>
      </c>
      <c r="BM4" s="41" t="s">
        <v>145</v>
      </c>
      <c r="BN4" s="72"/>
      <c r="BO4" s="382" t="s">
        <v>141</v>
      </c>
      <c r="BP4" s="383"/>
      <c r="BQ4" s="383"/>
      <c r="BR4" s="383"/>
      <c r="BS4" s="40" t="s">
        <v>144</v>
      </c>
      <c r="BT4" s="41" t="s">
        <v>145</v>
      </c>
      <c r="BV4" s="382" t="s">
        <v>142</v>
      </c>
      <c r="BW4" s="383"/>
      <c r="BX4" s="383"/>
      <c r="BY4" s="383"/>
      <c r="BZ4" s="40" t="s">
        <v>144</v>
      </c>
      <c r="CA4" s="41" t="s">
        <v>145</v>
      </c>
      <c r="CC4" s="382" t="s">
        <v>143</v>
      </c>
      <c r="CD4" s="383"/>
      <c r="CE4" s="383"/>
      <c r="CF4" s="383"/>
      <c r="CG4" s="40" t="s">
        <v>144</v>
      </c>
      <c r="CH4" s="41" t="s">
        <v>145</v>
      </c>
      <c r="CI4" s="72"/>
      <c r="CJ4" s="384" t="s">
        <v>116</v>
      </c>
      <c r="CK4" s="385"/>
      <c r="CL4" s="385"/>
      <c r="CM4" s="385"/>
      <c r="CN4" s="385"/>
      <c r="CO4" s="386"/>
    </row>
    <row r="5" spans="1:141" x14ac:dyDescent="0.3">
      <c r="D5" s="28" t="s">
        <v>62</v>
      </c>
      <c r="E5" t="s">
        <v>134</v>
      </c>
      <c r="F5" t="s">
        <v>135</v>
      </c>
      <c r="G5" t="s">
        <v>136</v>
      </c>
      <c r="I5" s="29"/>
      <c r="K5" s="28" t="s">
        <v>62</v>
      </c>
      <c r="L5" t="s">
        <v>134</v>
      </c>
      <c r="M5" t="s">
        <v>135</v>
      </c>
      <c r="N5" t="s">
        <v>136</v>
      </c>
      <c r="P5" s="29"/>
      <c r="R5" s="28" t="s">
        <v>62</v>
      </c>
      <c r="S5" t="s">
        <v>134</v>
      </c>
      <c r="T5" t="s">
        <v>135</v>
      </c>
      <c r="U5" t="s">
        <v>136</v>
      </c>
      <c r="W5" s="29"/>
      <c r="Y5" s="28" t="s">
        <v>62</v>
      </c>
      <c r="Z5" t="s">
        <v>134</v>
      </c>
      <c r="AA5" t="s">
        <v>135</v>
      </c>
      <c r="AB5" t="s">
        <v>136</v>
      </c>
      <c r="AD5" s="29"/>
      <c r="AF5" s="28" t="s">
        <v>62</v>
      </c>
      <c r="AG5" t="s">
        <v>134</v>
      </c>
      <c r="AH5" t="s">
        <v>135</v>
      </c>
      <c r="AI5" t="s">
        <v>136</v>
      </c>
      <c r="AK5" s="29"/>
      <c r="AM5" s="28" t="s">
        <v>62</v>
      </c>
      <c r="AN5" t="s">
        <v>134</v>
      </c>
      <c r="AO5" t="s">
        <v>135</v>
      </c>
      <c r="AP5" t="s">
        <v>136</v>
      </c>
      <c r="AR5" s="29"/>
      <c r="AT5" s="28" t="s">
        <v>62</v>
      </c>
      <c r="AU5" t="s">
        <v>134</v>
      </c>
      <c r="AV5" t="s">
        <v>135</v>
      </c>
      <c r="AW5" t="s">
        <v>136</v>
      </c>
      <c r="AY5" s="29"/>
      <c r="BA5" s="28" t="s">
        <v>62</v>
      </c>
      <c r="BB5" t="s">
        <v>134</v>
      </c>
      <c r="BC5" t="s">
        <v>135</v>
      </c>
      <c r="BD5" t="s">
        <v>136</v>
      </c>
      <c r="BF5" s="29"/>
      <c r="BH5" s="28" t="s">
        <v>62</v>
      </c>
      <c r="BI5" t="s">
        <v>134</v>
      </c>
      <c r="BJ5" t="s">
        <v>135</v>
      </c>
      <c r="BK5" t="s">
        <v>136</v>
      </c>
      <c r="BM5" s="29"/>
      <c r="BO5" s="28" t="s">
        <v>62</v>
      </c>
      <c r="BP5" t="s">
        <v>134</v>
      </c>
      <c r="BQ5" t="s">
        <v>135</v>
      </c>
      <c r="BR5" t="s">
        <v>136</v>
      </c>
      <c r="BT5" s="29"/>
      <c r="BV5" s="28" t="s">
        <v>62</v>
      </c>
      <c r="BW5" t="s">
        <v>134</v>
      </c>
      <c r="BX5" t="s">
        <v>135</v>
      </c>
      <c r="BY5" t="s">
        <v>136</v>
      </c>
      <c r="CA5" s="29"/>
      <c r="CC5" s="28" t="s">
        <v>62</v>
      </c>
      <c r="CD5" t="s">
        <v>134</v>
      </c>
      <c r="CE5" t="s">
        <v>135</v>
      </c>
      <c r="CF5" t="s">
        <v>136</v>
      </c>
      <c r="CH5" s="29"/>
      <c r="CJ5" s="75" t="s">
        <v>14</v>
      </c>
      <c r="CK5" s="75" t="s">
        <v>15</v>
      </c>
      <c r="CL5" s="75" t="s">
        <v>146</v>
      </c>
      <c r="CM5" s="75" t="s">
        <v>147</v>
      </c>
      <c r="CN5" s="75" t="s">
        <v>148</v>
      </c>
      <c r="CO5" s="75" t="s">
        <v>149</v>
      </c>
    </row>
    <row r="6" spans="1:141" s="34" customFormat="1" x14ac:dyDescent="0.3">
      <c r="A6"/>
      <c r="B6"/>
      <c r="C6" s="33" t="s">
        <v>132</v>
      </c>
      <c r="D6" s="33">
        <f>MobileCall!J5</f>
        <v>1533.3532066886719</v>
      </c>
      <c r="E6" s="34" t="e">
        <f>MobileCall!#REF!</f>
        <v>#REF!</v>
      </c>
      <c r="F6" s="34" t="e">
        <f>MobileCall!#REF!</f>
        <v>#REF!</v>
      </c>
      <c r="G6" s="34" t="e">
        <f>MobileCall!#REF!</f>
        <v>#REF!</v>
      </c>
      <c r="H6" s="36" t="e">
        <f>D6*E6*G6</f>
        <v>#REF!</v>
      </c>
      <c r="I6" s="37" t="e">
        <f>D6*F6*G6</f>
        <v>#REF!</v>
      </c>
      <c r="J6"/>
      <c r="K6" s="33">
        <f>MobileData!D5</f>
        <v>14557.004624640344</v>
      </c>
      <c r="L6" s="34" t="e">
        <f>MobileData!#REF!</f>
        <v>#REF!</v>
      </c>
      <c r="M6" s="34" t="e">
        <f>MobileData!#REF!</f>
        <v>#REF!</v>
      </c>
      <c r="N6" s="34" t="e">
        <f>MobileData!#REF!</f>
        <v>#REF!</v>
      </c>
      <c r="O6" s="34" t="e">
        <f>K6*L6*N6</f>
        <v>#REF!</v>
      </c>
      <c r="P6" s="35" t="e">
        <f>K6*M6*N6</f>
        <v>#REF!</v>
      </c>
      <c r="Q6"/>
      <c r="R6" s="33">
        <f>Cordless!D5</f>
        <v>68.825783940379409</v>
      </c>
      <c r="S6" s="34">
        <f>Cordless!G5</f>
        <v>1.8139606510229382E-2</v>
      </c>
      <c r="T6" s="34">
        <f>Cordless!H5</f>
        <v>5.2029621757074245E-3</v>
      </c>
      <c r="U6" s="34">
        <f>Cordless!I5</f>
        <v>10</v>
      </c>
      <c r="V6" s="34">
        <f>R6*S6*U6</f>
        <v>12.484726384365473</v>
      </c>
      <c r="W6" s="35">
        <f>R6*T6*U6</f>
        <v>3.5809795055520555</v>
      </c>
      <c r="X6"/>
      <c r="Y6" s="33">
        <f>Laptop!D5</f>
        <v>3952.392511449988</v>
      </c>
      <c r="Z6" s="34" t="e">
        <f>Laptop!#REF!</f>
        <v>#REF!</v>
      </c>
      <c r="AA6" s="34" t="e">
        <f>Laptop!#REF!</f>
        <v>#REF!</v>
      </c>
      <c r="AB6" s="34" t="e">
        <f>Laptop!#REF!</f>
        <v>#REF!</v>
      </c>
      <c r="AC6" s="34" t="e">
        <f>Y6*Z6*AB6</f>
        <v>#REF!</v>
      </c>
      <c r="AD6" s="35" t="e">
        <f>Y6*AA6*AB6</f>
        <v>#REF!</v>
      </c>
      <c r="AE6"/>
      <c r="AF6" s="33">
        <f>Tablet!D5</f>
        <v>1382.8669819193744</v>
      </c>
      <c r="AG6" s="34" t="e">
        <f>Tablet!#REF!</f>
        <v>#REF!</v>
      </c>
      <c r="AH6" s="34" t="e">
        <f>Tablet!#REF!</f>
        <v>#REF!</v>
      </c>
      <c r="AI6" s="34">
        <f>Tablet!E5</f>
        <v>5.6911003926290423E-3</v>
      </c>
      <c r="AJ6" s="34" t="e">
        <f>AF6*AG6*AI6</f>
        <v>#REF!</v>
      </c>
      <c r="AK6" s="35" t="e">
        <f>AF6*AG6*AI6</f>
        <v>#REF!</v>
      </c>
      <c r="AL6"/>
      <c r="AM6" s="33">
        <f>Farfield!D5</f>
        <v>86400.000000000015</v>
      </c>
      <c r="AN6" s="34">
        <f>Farfield!G5</f>
        <v>5.4913151591311042E-3</v>
      </c>
      <c r="AO6" s="34">
        <f>Farfield!H5</f>
        <v>4.5942859964909974E-3</v>
      </c>
      <c r="AP6" s="36">
        <f>Farfield!I5</f>
        <v>0.3426673332505874</v>
      </c>
      <c r="AQ6" s="36">
        <f>AM6*AN6*AP6</f>
        <v>162.57838938779352</v>
      </c>
      <c r="AR6" s="35">
        <f>AM6*AO6*AP6</f>
        <v>136.02053352453879</v>
      </c>
      <c r="AS6"/>
      <c r="AT6" s="33">
        <f>Wifi!D5</f>
        <v>79200.000000000015</v>
      </c>
      <c r="AU6" s="34" t="e">
        <f>Wifi!#REF!</f>
        <v>#REF!</v>
      </c>
      <c r="AV6" s="34" t="e">
        <f>Wifi!#REF!</f>
        <v>#REF!</v>
      </c>
      <c r="AW6" s="34" t="e">
        <f>Wifi!#REF!</f>
        <v>#REF!</v>
      </c>
      <c r="AX6" s="34" t="e">
        <f>AT6*AU6*AW6</f>
        <v>#REF!</v>
      </c>
      <c r="AY6" s="35" t="e">
        <f>AT6*AV6*AW6</f>
        <v>#REF!</v>
      </c>
      <c r="AZ6"/>
      <c r="BA6" s="33">
        <f>Other!AA5</f>
        <v>0</v>
      </c>
      <c r="BB6" s="34">
        <f>Other!BK5</f>
        <v>2.3593158088228227E-5</v>
      </c>
      <c r="BC6" s="34">
        <f>Other!BL5</f>
        <v>1.0633773069601888E-2</v>
      </c>
      <c r="BD6" s="34">
        <f>Other!CA5</f>
        <v>1</v>
      </c>
      <c r="BE6" s="34">
        <f>BA6*BB6*BD6</f>
        <v>0</v>
      </c>
      <c r="BF6" s="35">
        <f>BA6*BC6*BD6</f>
        <v>0</v>
      </c>
      <c r="BG6"/>
      <c r="BH6" s="33" t="e">
        <f>Other!#REF!</f>
        <v>#REF!</v>
      </c>
      <c r="BI6" s="34" t="e">
        <f>Other!#REF!</f>
        <v>#REF!</v>
      </c>
      <c r="BJ6" s="34" t="e">
        <f>Other!#REF!</f>
        <v>#REF!</v>
      </c>
      <c r="BK6" s="34" t="e">
        <f>Other!#REF!</f>
        <v>#REF!</v>
      </c>
      <c r="BL6" s="34" t="e">
        <f>BH6*BI6*BK6</f>
        <v>#REF!</v>
      </c>
      <c r="BM6" s="35" t="e">
        <f>BH6*BJ6*BK6</f>
        <v>#REF!</v>
      </c>
      <c r="BN6"/>
      <c r="BO6" s="33">
        <f>Other!AB5</f>
        <v>600</v>
      </c>
      <c r="BP6" s="34">
        <f>Other!BY5</f>
        <v>1.040371354637645E-3</v>
      </c>
      <c r="BQ6" s="34">
        <f>Other!BZ5</f>
        <v>6.5385220697443958E-3</v>
      </c>
      <c r="BR6" s="34">
        <f>Other!CD5</f>
        <v>10.734999999999998</v>
      </c>
      <c r="BS6" s="34">
        <f>BO6*BP6*BR6</f>
        <v>6.7010318952210692</v>
      </c>
      <c r="BT6" s="35">
        <f>BO6*BQ6*BR6</f>
        <v>42.114620651223646</v>
      </c>
      <c r="BU6"/>
      <c r="BV6" s="33">
        <f>Other!AC5</f>
        <v>8411.1430499999988</v>
      </c>
      <c r="BW6" s="34">
        <f>Other!BM5</f>
        <v>2.0049280171110295E-2</v>
      </c>
      <c r="BX6" s="34">
        <f>Other!BN5</f>
        <v>1.4057892042931803E-2</v>
      </c>
      <c r="BY6" s="34">
        <f>Other!CG5</f>
        <v>0.16</v>
      </c>
      <c r="BZ6" s="34">
        <f>BV6*BW6*BY6</f>
        <v>26.981978170997944</v>
      </c>
      <c r="CA6" s="35">
        <f>BV6*BX6*BY6</f>
        <v>18.918870552728979</v>
      </c>
      <c r="CB6"/>
      <c r="CC6" s="33">
        <f>Other!AD5</f>
        <v>59349.948849104861</v>
      </c>
      <c r="CD6" s="34">
        <f>Other!BO5</f>
        <v>1.33E-3</v>
      </c>
      <c r="CE6" s="34">
        <f>Other!BP5</f>
        <v>5.2950000000000002E-3</v>
      </c>
      <c r="CF6" s="34">
        <f>Other!CN5</f>
        <v>1.6410900000000002</v>
      </c>
      <c r="CG6" s="34">
        <f>CC6*CD6*CF6</f>
        <v>129.54014805051409</v>
      </c>
      <c r="CH6" s="35">
        <f>CC6*CE6*CF6</f>
        <v>515.72562701313689</v>
      </c>
      <c r="CI6"/>
      <c r="CJ6" s="39" t="e">
        <f>SUM(H6,O6,V6,AC6,AJ6,AQ6,AX6,BE6,BL6,BS6,BZ6,CG6)</f>
        <v>#REF!</v>
      </c>
      <c r="CK6" s="39" t="e">
        <f>SUM(I6,P6,W6,AD6,AK6,AR6,AY6,BF6,BM6,BT6,CA6,CH6)</f>
        <v>#REF!</v>
      </c>
      <c r="CL6" s="38" t="e">
        <f>SUM(H6,O6,V6,AC6,AJ6,BE6,BL6,BS6,BZ6)</f>
        <v>#REF!</v>
      </c>
      <c r="CM6" s="38" t="e">
        <f>SUM(I6,P6,W6,AD6,AK6,BF6,BM6,BT6,CA6)</f>
        <v>#REF!</v>
      </c>
      <c r="CN6" s="39" t="e">
        <f>SUM(AX6,CG6,AQ6)</f>
        <v>#REF!</v>
      </c>
      <c r="CO6" s="39" t="e">
        <f>SUM(AY6,CH6,AR6)</f>
        <v>#REF!</v>
      </c>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row>
    <row r="7" spans="1:141" s="69" customFormat="1" x14ac:dyDescent="0.3">
      <c r="A7"/>
      <c r="B7"/>
      <c r="C7" s="68" t="s">
        <v>133</v>
      </c>
      <c r="D7" s="68">
        <f>9.3*60</f>
        <v>558</v>
      </c>
      <c r="H7" s="69">
        <f>656+10.7</f>
        <v>666.7</v>
      </c>
      <c r="I7" s="70">
        <v>49.8</v>
      </c>
      <c r="J7"/>
      <c r="K7" s="68">
        <f>47*60</f>
        <v>2820</v>
      </c>
      <c r="N7" s="69">
        <f>AVERAGE(3.1,6.7,81.4,6.7,87.4,5.4,3.1,1.6,5.4,3.1,1.6)</f>
        <v>18.681818181818183</v>
      </c>
      <c r="O7" s="69">
        <v>23.9</v>
      </c>
      <c r="P7" s="70">
        <v>46.5</v>
      </c>
      <c r="Q7"/>
      <c r="R7" s="68">
        <f>6.4*60</f>
        <v>384</v>
      </c>
      <c r="V7" s="69">
        <v>11.9</v>
      </c>
      <c r="W7" s="70">
        <v>0.9</v>
      </c>
      <c r="X7"/>
      <c r="Y7" s="68">
        <f>126.5*60</f>
        <v>7590</v>
      </c>
      <c r="AB7" s="69">
        <v>1</v>
      </c>
      <c r="AC7" s="69">
        <v>2.2000000000000002</v>
      </c>
      <c r="AD7" s="70">
        <v>20.5</v>
      </c>
      <c r="AE7"/>
      <c r="AF7" s="68">
        <f>29.6*60</f>
        <v>1776</v>
      </c>
      <c r="AI7" s="69">
        <f>AVERAGE(6.7,81.4,6.7,87.4,5.4,3.1,1.6,5.4,3.1,1.6)</f>
        <v>20.240000000000002</v>
      </c>
      <c r="AJ7" s="69">
        <v>13.3</v>
      </c>
      <c r="AK7" s="70">
        <v>42.6</v>
      </c>
      <c r="AL7"/>
      <c r="AM7" s="68">
        <v>86400</v>
      </c>
      <c r="AP7" s="69">
        <v>0.15</v>
      </c>
      <c r="AQ7" s="69">
        <v>77.3</v>
      </c>
      <c r="AR7" s="70">
        <v>124</v>
      </c>
      <c r="AS7"/>
      <c r="AT7" s="68">
        <v>3600</v>
      </c>
      <c r="AX7" s="69">
        <v>13.6</v>
      </c>
      <c r="AY7" s="70">
        <v>28.3</v>
      </c>
      <c r="AZ7"/>
      <c r="BA7" s="68">
        <f>22*60</f>
        <v>1320</v>
      </c>
      <c r="BD7" s="69">
        <v>0.05</v>
      </c>
      <c r="BE7" s="69">
        <v>0</v>
      </c>
      <c r="BF7" s="70">
        <v>0.5</v>
      </c>
      <c r="BG7"/>
      <c r="BH7" s="68"/>
      <c r="BM7" s="70"/>
      <c r="BN7"/>
      <c r="BO7" s="68">
        <f>0.2*60</f>
        <v>12</v>
      </c>
      <c r="BR7" s="69">
        <v>14.5</v>
      </c>
      <c r="BS7" s="69">
        <v>1.2</v>
      </c>
      <c r="BT7" s="70">
        <v>0</v>
      </c>
      <c r="BU7"/>
      <c r="BV7" s="68" t="s">
        <v>150</v>
      </c>
      <c r="BW7" s="69" t="s">
        <v>150</v>
      </c>
      <c r="BX7" s="69" t="s">
        <v>150</v>
      </c>
      <c r="BY7" s="69" t="s">
        <v>150</v>
      </c>
      <c r="BZ7" s="69" t="s">
        <v>150</v>
      </c>
      <c r="CA7" s="70" t="s">
        <v>150</v>
      </c>
      <c r="CB7"/>
      <c r="CC7" s="68" t="s">
        <v>150</v>
      </c>
      <c r="CD7" s="69" t="s">
        <v>150</v>
      </c>
      <c r="CE7" s="69" t="s">
        <v>150</v>
      </c>
      <c r="CF7" s="69" t="s">
        <v>150</v>
      </c>
      <c r="CG7" s="69" t="s">
        <v>150</v>
      </c>
      <c r="CH7" s="70" t="s">
        <v>150</v>
      </c>
      <c r="CI7"/>
      <c r="CJ7" s="71">
        <v>810</v>
      </c>
      <c r="CK7" s="71">
        <v>290.39999999999998</v>
      </c>
      <c r="CL7" s="71">
        <v>719.6</v>
      </c>
      <c r="CM7" s="71">
        <v>199</v>
      </c>
      <c r="CN7" s="71">
        <f>13.6+77.3</f>
        <v>90.899999999999991</v>
      </c>
      <c r="CO7" s="71">
        <f>28.3+62.8</f>
        <v>91.1</v>
      </c>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row>
    <row r="8" spans="1:141" s="86" customFormat="1" x14ac:dyDescent="0.3">
      <c r="C8" s="90" t="s">
        <v>232</v>
      </c>
      <c r="D8" s="91"/>
      <c r="E8" s="90"/>
      <c r="F8" s="90"/>
      <c r="G8" s="90"/>
      <c r="H8" s="90"/>
      <c r="I8" s="92"/>
      <c r="K8" s="87"/>
      <c r="P8" s="88"/>
      <c r="R8" s="87"/>
      <c r="W8" s="88"/>
      <c r="Y8" s="87"/>
      <c r="AD8" s="88"/>
      <c r="AF8" s="87"/>
      <c r="AK8" s="88"/>
      <c r="AM8" s="87"/>
      <c r="AR8" s="88"/>
      <c r="AT8" s="87"/>
      <c r="AY8" s="88"/>
      <c r="BA8" s="87"/>
      <c r="BF8" s="88"/>
      <c r="BH8" s="87"/>
      <c r="BM8" s="88"/>
      <c r="BO8" s="87"/>
      <c r="BT8" s="88"/>
      <c r="BV8" s="87"/>
      <c r="CA8" s="88"/>
      <c r="CC8" s="87"/>
      <c r="CH8" s="88"/>
      <c r="CJ8" s="89"/>
      <c r="CK8" s="89"/>
      <c r="CL8" s="89"/>
      <c r="CM8" s="89"/>
      <c r="CN8" s="89"/>
      <c r="CO8" s="89"/>
    </row>
    <row r="9" spans="1:141" x14ac:dyDescent="0.3">
      <c r="D9" s="28"/>
      <c r="I9" s="29"/>
      <c r="K9" s="28"/>
      <c r="P9" s="29"/>
      <c r="R9" s="28"/>
      <c r="W9" s="29"/>
      <c r="Y9" s="28"/>
      <c r="AD9" s="29"/>
      <c r="AF9" s="28"/>
      <c r="AK9" s="29"/>
      <c r="AM9" s="28"/>
      <c r="AR9" s="29"/>
      <c r="AT9" s="28"/>
      <c r="AY9" s="29"/>
      <c r="BA9" s="28"/>
      <c r="BF9" s="29"/>
      <c r="BH9" s="28"/>
      <c r="BM9" s="29"/>
      <c r="BO9" s="28"/>
      <c r="BT9" s="29"/>
      <c r="BV9" s="28"/>
      <c r="CA9" s="29"/>
      <c r="CC9" s="28"/>
      <c r="CH9" s="29"/>
      <c r="CJ9" s="42"/>
      <c r="CK9" s="42"/>
      <c r="CL9" s="42"/>
      <c r="CM9" s="42"/>
      <c r="CN9" s="42"/>
      <c r="CO9" s="42"/>
    </row>
    <row r="10" spans="1:141" x14ac:dyDescent="0.3">
      <c r="D10" s="28"/>
      <c r="I10" s="29"/>
      <c r="K10" s="28"/>
      <c r="P10" s="29"/>
      <c r="R10" s="28"/>
      <c r="W10" s="29"/>
      <c r="Y10" s="28"/>
      <c r="AD10" s="29"/>
      <c r="AF10" s="28"/>
      <c r="AK10" s="29"/>
      <c r="AM10" s="28"/>
      <c r="AR10" s="29"/>
      <c r="AT10" s="28"/>
      <c r="AY10" s="29"/>
      <c r="BA10" s="28"/>
      <c r="BF10" s="29"/>
      <c r="BH10" s="28"/>
      <c r="BM10" s="29"/>
      <c r="BO10" s="28"/>
      <c r="BT10" s="29"/>
      <c r="BV10" s="28"/>
      <c r="CA10" s="29"/>
      <c r="CC10" s="28"/>
      <c r="CH10" s="29"/>
      <c r="CJ10" s="42"/>
      <c r="CK10" s="42"/>
      <c r="CL10" s="42"/>
      <c r="CM10" s="42"/>
      <c r="CN10" s="42"/>
      <c r="CO10" s="42"/>
    </row>
    <row r="11" spans="1:141" x14ac:dyDescent="0.3">
      <c r="D11" s="28"/>
      <c r="I11" s="29"/>
      <c r="K11" s="28"/>
      <c r="P11" s="29"/>
      <c r="R11" s="28"/>
      <c r="W11" s="29"/>
      <c r="Y11" s="28"/>
      <c r="AD11" s="29"/>
      <c r="AF11" s="28"/>
      <c r="AK11" s="29"/>
      <c r="AM11" s="28"/>
      <c r="AR11" s="29"/>
      <c r="AT11" s="28"/>
      <c r="AY11" s="29"/>
      <c r="BA11" s="28"/>
      <c r="BF11" s="29"/>
      <c r="BH11" s="28"/>
      <c r="BM11" s="29"/>
      <c r="BO11" s="28"/>
      <c r="BT11" s="29"/>
      <c r="BV11" s="28"/>
      <c r="CA11" s="29"/>
      <c r="CC11" s="28"/>
      <c r="CH11" s="29"/>
      <c r="CJ11" s="42"/>
      <c r="CK11" s="42"/>
      <c r="CL11" s="42"/>
      <c r="CM11" s="42"/>
      <c r="CN11" s="42"/>
      <c r="CO11" s="42"/>
    </row>
    <row r="12" spans="1:141" x14ac:dyDescent="0.3">
      <c r="D12" s="28"/>
      <c r="I12" s="29"/>
      <c r="K12" s="28"/>
      <c r="P12" s="29"/>
      <c r="R12" s="28"/>
      <c r="W12" s="29"/>
      <c r="Y12" s="28"/>
      <c r="AD12" s="29"/>
      <c r="AF12" s="28"/>
      <c r="AK12" s="29"/>
      <c r="AM12" s="28"/>
      <c r="AR12" s="29"/>
      <c r="AT12" s="28"/>
      <c r="AY12" s="29"/>
      <c r="BA12" s="28"/>
      <c r="BF12" s="29"/>
      <c r="BH12" s="28"/>
      <c r="BM12" s="29"/>
      <c r="BO12" s="28"/>
      <c r="BT12" s="29"/>
      <c r="BV12" s="28"/>
      <c r="CA12" s="29"/>
      <c r="CC12" s="28"/>
      <c r="CH12" s="29"/>
      <c r="CJ12" s="42"/>
      <c r="CK12" s="42"/>
      <c r="CL12" s="42"/>
      <c r="CM12" s="42"/>
      <c r="CN12" s="42"/>
      <c r="CO12" s="42"/>
    </row>
    <row r="13" spans="1:141" x14ac:dyDescent="0.3">
      <c r="D13" s="28"/>
      <c r="I13" s="29"/>
      <c r="K13" s="28"/>
      <c r="P13" s="29"/>
      <c r="R13" s="28"/>
      <c r="W13" s="29"/>
      <c r="Y13" s="28"/>
      <c r="AD13" s="29"/>
      <c r="AF13" s="28"/>
      <c r="AK13" s="29"/>
      <c r="AM13" s="28"/>
      <c r="AR13" s="29"/>
      <c r="AT13" s="28"/>
      <c r="AY13" s="29"/>
      <c r="BA13" s="28"/>
      <c r="BF13" s="29"/>
      <c r="BH13" s="28"/>
      <c r="BM13" s="29"/>
      <c r="BO13" s="28"/>
      <c r="BT13" s="29"/>
      <c r="BV13" s="28"/>
      <c r="CA13" s="29"/>
      <c r="CC13" s="28"/>
      <c r="CH13" s="29"/>
      <c r="CJ13" s="42"/>
      <c r="CK13" s="42"/>
      <c r="CL13" s="42"/>
      <c r="CM13" s="42"/>
      <c r="CN13" s="42"/>
      <c r="CO13" s="42"/>
    </row>
    <row r="14" spans="1:141" x14ac:dyDescent="0.3">
      <c r="D14" s="28"/>
      <c r="I14" s="29"/>
      <c r="K14" s="28"/>
      <c r="P14" s="29"/>
      <c r="R14" s="28"/>
      <c r="W14" s="29"/>
      <c r="Y14" s="28"/>
      <c r="AD14" s="29"/>
      <c r="AF14" s="28"/>
      <c r="AK14" s="29"/>
      <c r="AM14" s="28"/>
      <c r="AR14" s="29"/>
      <c r="AT14" s="28"/>
      <c r="AY14" s="29"/>
      <c r="BA14" s="28"/>
      <c r="BF14" s="29"/>
      <c r="BH14" s="28"/>
      <c r="BM14" s="29"/>
      <c r="BO14" s="28"/>
      <c r="BT14" s="29"/>
      <c r="BV14" s="28"/>
      <c r="CA14" s="29"/>
      <c r="CC14" s="28"/>
      <c r="CH14" s="29"/>
      <c r="CJ14" s="42"/>
      <c r="CK14" s="42"/>
      <c r="CL14" s="42"/>
      <c r="CM14" s="42"/>
      <c r="CN14" s="42"/>
      <c r="CO14" s="42"/>
    </row>
    <row r="15" spans="1:141" ht="14.5" thickBot="1" x14ac:dyDescent="0.35">
      <c r="D15" s="30"/>
      <c r="E15" s="31"/>
      <c r="F15" s="31"/>
      <c r="G15" s="31"/>
      <c r="H15" s="31"/>
      <c r="I15" s="32"/>
      <c r="K15" s="30"/>
      <c r="L15" s="31"/>
      <c r="M15" s="31"/>
      <c r="N15" s="31"/>
      <c r="O15" s="31"/>
      <c r="P15" s="32"/>
      <c r="R15" s="30"/>
      <c r="S15" s="31"/>
      <c r="T15" s="31"/>
      <c r="U15" s="31"/>
      <c r="V15" s="31"/>
      <c r="W15" s="32"/>
      <c r="Y15" s="30"/>
      <c r="Z15" s="31"/>
      <c r="AA15" s="31"/>
      <c r="AB15" s="31"/>
      <c r="AC15" s="31"/>
      <c r="AD15" s="32"/>
      <c r="AF15" s="30"/>
      <c r="AG15" s="31"/>
      <c r="AH15" s="31"/>
      <c r="AI15" s="31"/>
      <c r="AJ15" s="31"/>
      <c r="AK15" s="32"/>
      <c r="AM15" s="30"/>
      <c r="AN15" s="31"/>
      <c r="AO15" s="31"/>
      <c r="AP15" s="31"/>
      <c r="AQ15" s="31"/>
      <c r="AR15" s="32"/>
      <c r="AT15" s="30"/>
      <c r="AU15" s="31"/>
      <c r="AV15" s="31"/>
      <c r="AW15" s="31"/>
      <c r="AX15" s="31"/>
      <c r="AY15" s="32"/>
      <c r="BA15" s="30"/>
      <c r="BB15" s="31"/>
      <c r="BC15" s="31"/>
      <c r="BD15" s="31"/>
      <c r="BE15" s="31"/>
      <c r="BF15" s="32"/>
      <c r="BH15" s="30"/>
      <c r="BI15" s="31"/>
      <c r="BJ15" s="31"/>
      <c r="BK15" s="31"/>
      <c r="BL15" s="31"/>
      <c r="BM15" s="32"/>
      <c r="BO15" s="30"/>
      <c r="BP15" s="31"/>
      <c r="BQ15" s="31"/>
      <c r="BR15" s="31"/>
      <c r="BS15" s="31"/>
      <c r="BT15" s="32"/>
      <c r="BV15" s="30"/>
      <c r="BW15" s="31"/>
      <c r="BX15" s="31"/>
      <c r="BY15" s="31"/>
      <c r="BZ15" s="31"/>
      <c r="CA15" s="32"/>
      <c r="CC15" s="30"/>
      <c r="CD15" s="31"/>
      <c r="CE15" s="31"/>
      <c r="CF15" s="31"/>
      <c r="CG15" s="31"/>
      <c r="CH15" s="32"/>
      <c r="CJ15" s="42"/>
      <c r="CK15" s="42"/>
      <c r="CL15" s="42"/>
      <c r="CM15" s="42"/>
      <c r="CN15" s="42"/>
      <c r="CO15" s="42"/>
    </row>
    <row r="40" spans="24:32" x14ac:dyDescent="0.3">
      <c r="AA40" t="s">
        <v>230</v>
      </c>
    </row>
    <row r="42" spans="24:32" x14ac:dyDescent="0.3">
      <c r="Y42" t="s">
        <v>220</v>
      </c>
      <c r="Z42" t="s">
        <v>221</v>
      </c>
      <c r="AA42" t="s">
        <v>222</v>
      </c>
      <c r="AB42" t="s">
        <v>223</v>
      </c>
      <c r="AC42" t="s">
        <v>224</v>
      </c>
      <c r="AD42" t="s">
        <v>225</v>
      </c>
      <c r="AE42" t="s">
        <v>226</v>
      </c>
      <c r="AF42" t="s">
        <v>116</v>
      </c>
    </row>
    <row r="43" spans="24:32" x14ac:dyDescent="0.3">
      <c r="X43" t="s">
        <v>229</v>
      </c>
      <c r="Y43">
        <v>40</v>
      </c>
      <c r="Z43">
        <v>5</v>
      </c>
      <c r="AA43">
        <v>10</v>
      </c>
      <c r="AB43">
        <v>5</v>
      </c>
      <c r="AC43">
        <v>2</v>
      </c>
      <c r="AD43">
        <v>65</v>
      </c>
      <c r="AE43">
        <v>73</v>
      </c>
      <c r="AF43">
        <f>SUM(Y43:AE43)</f>
        <v>200</v>
      </c>
    </row>
    <row r="44" spans="24:32" x14ac:dyDescent="0.3">
      <c r="X44" t="s">
        <v>228</v>
      </c>
      <c r="Y44">
        <f>Y43/AF43</f>
        <v>0.2</v>
      </c>
      <c r="Z44">
        <f>Z43/AF43</f>
        <v>2.5000000000000001E-2</v>
      </c>
      <c r="AA44">
        <f>AA43/AF43</f>
        <v>0.05</v>
      </c>
      <c r="AB44">
        <f>AB43/AF43</f>
        <v>2.5000000000000001E-2</v>
      </c>
      <c r="AC44">
        <f>AC43/AF43</f>
        <v>0.01</v>
      </c>
      <c r="AD44">
        <f>AD43/AF43</f>
        <v>0.32500000000000001</v>
      </c>
      <c r="AE44">
        <f>AE43/AF43</f>
        <v>0.36499999999999999</v>
      </c>
      <c r="AF44">
        <f>SUM(Y44:AE44)</f>
        <v>1</v>
      </c>
    </row>
    <row r="45" spans="24:32" ht="19" x14ac:dyDescent="0.4">
      <c r="X45" t="s">
        <v>227</v>
      </c>
      <c r="Y45">
        <v>10</v>
      </c>
      <c r="Z45">
        <v>6</v>
      </c>
      <c r="AA45">
        <v>70</v>
      </c>
      <c r="AB45">
        <v>65</v>
      </c>
      <c r="AC45">
        <v>5</v>
      </c>
      <c r="AD45">
        <v>2</v>
      </c>
      <c r="AE45">
        <v>15</v>
      </c>
      <c r="AF45" s="76">
        <f>(Y44*Y45)+(Z44*Z45)+(AA44*AA45)+(AB44*AB45)+(AC44*AC45)+(AD44*AD45)+(AE44*AE45)</f>
        <v>13.45</v>
      </c>
    </row>
  </sheetData>
  <mergeCells count="15">
    <mergeCell ref="AM4:AP4"/>
    <mergeCell ref="CJ4:CO4"/>
    <mergeCell ref="M2:N2"/>
    <mergeCell ref="E2:F2"/>
    <mergeCell ref="D4:G4"/>
    <mergeCell ref="K4:N4"/>
    <mergeCell ref="R4:U4"/>
    <mergeCell ref="Y4:AB4"/>
    <mergeCell ref="AF4:AI4"/>
    <mergeCell ref="BO4:BR4"/>
    <mergeCell ref="BV4:BY4"/>
    <mergeCell ref="CC4:CF4"/>
    <mergeCell ref="AT4:AW4"/>
    <mergeCell ref="BA4:BD4"/>
    <mergeCell ref="BH4:BK4"/>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66"/>
  <sheetViews>
    <sheetView topLeftCell="B2" zoomScaleNormal="100" workbookViewId="0">
      <selection activeCell="D11" sqref="D11"/>
    </sheetView>
  </sheetViews>
  <sheetFormatPr defaultRowHeight="14" x14ac:dyDescent="0.3"/>
  <cols>
    <col min="3" max="3" width="11.25" bestFit="1" customWidth="1"/>
    <col min="4" max="4" width="62.25" bestFit="1" customWidth="1"/>
    <col min="5" max="5" width="10.08203125" bestFit="1" customWidth="1"/>
    <col min="6" max="6" width="13.1640625" bestFit="1" customWidth="1"/>
    <col min="7" max="7" width="18.25" bestFit="1" customWidth="1"/>
    <col min="8" max="8" width="13.1640625" bestFit="1" customWidth="1"/>
  </cols>
  <sheetData>
    <row r="1" spans="1:16" ht="14.5" customHeight="1" x14ac:dyDescent="0.3">
      <c r="A1" t="s">
        <v>235</v>
      </c>
      <c r="C1" t="s">
        <v>236</v>
      </c>
      <c r="D1" t="s">
        <v>9</v>
      </c>
      <c r="E1" t="s">
        <v>237</v>
      </c>
      <c r="G1" t="s">
        <v>238</v>
      </c>
    </row>
    <row r="2" spans="1:16" x14ac:dyDescent="0.3">
      <c r="E2" t="s">
        <v>239</v>
      </c>
      <c r="F2" t="s">
        <v>240</v>
      </c>
      <c r="G2" t="s">
        <v>239</v>
      </c>
      <c r="H2" t="s">
        <v>240</v>
      </c>
    </row>
    <row r="4" spans="1:16" x14ac:dyDescent="0.3">
      <c r="A4" t="s">
        <v>241</v>
      </c>
    </row>
    <row r="5" spans="1:16" x14ac:dyDescent="0.3">
      <c r="A5" t="s">
        <v>132</v>
      </c>
      <c r="C5">
        <v>7.07</v>
      </c>
      <c r="D5" t="s">
        <v>242</v>
      </c>
      <c r="E5">
        <v>65.31</v>
      </c>
      <c r="F5">
        <v>17</v>
      </c>
      <c r="G5">
        <v>16.38</v>
      </c>
      <c r="H5">
        <v>4</v>
      </c>
    </row>
    <row r="6" spans="1:16" ht="42.65" customHeight="1" x14ac:dyDescent="0.3">
      <c r="A6" t="s">
        <v>243</v>
      </c>
      <c r="C6">
        <v>11</v>
      </c>
      <c r="D6" t="s">
        <v>244</v>
      </c>
      <c r="E6">
        <v>667.7</v>
      </c>
      <c r="F6">
        <v>51</v>
      </c>
      <c r="G6">
        <v>49.8</v>
      </c>
      <c r="H6">
        <v>20.399999999999999</v>
      </c>
    </row>
    <row r="7" spans="1:16" x14ac:dyDescent="0.3">
      <c r="A7" t="s">
        <v>245</v>
      </c>
      <c r="C7">
        <v>6</v>
      </c>
      <c r="D7" t="s">
        <v>246</v>
      </c>
      <c r="E7">
        <v>293.75</v>
      </c>
      <c r="F7">
        <v>58.1</v>
      </c>
      <c r="G7">
        <v>61.64</v>
      </c>
      <c r="H7">
        <v>17.57</v>
      </c>
      <c r="N7" t="s">
        <v>270</v>
      </c>
      <c r="O7" t="s">
        <v>271</v>
      </c>
    </row>
    <row r="8" spans="1:16" x14ac:dyDescent="0.3">
      <c r="L8" t="s">
        <v>247</v>
      </c>
      <c r="M8" t="s">
        <v>132</v>
      </c>
      <c r="N8">
        <v>17</v>
      </c>
      <c r="O8">
        <v>4</v>
      </c>
    </row>
    <row r="9" spans="1:16" x14ac:dyDescent="0.3">
      <c r="A9" t="s">
        <v>247</v>
      </c>
      <c r="M9" t="s">
        <v>243</v>
      </c>
      <c r="N9">
        <v>51</v>
      </c>
      <c r="O9">
        <v>20.399999999999999</v>
      </c>
    </row>
    <row r="10" spans="1:16" x14ac:dyDescent="0.3">
      <c r="A10" t="s">
        <v>132</v>
      </c>
      <c r="C10">
        <v>77.150000000000006</v>
      </c>
      <c r="D10" t="s">
        <v>248</v>
      </c>
      <c r="E10">
        <v>119.8</v>
      </c>
      <c r="F10">
        <v>31</v>
      </c>
      <c r="G10">
        <v>116.66</v>
      </c>
      <c r="H10">
        <v>29</v>
      </c>
      <c r="M10" t="s">
        <v>245</v>
      </c>
      <c r="N10">
        <v>58.1</v>
      </c>
      <c r="O10">
        <v>17.57</v>
      </c>
    </row>
    <row r="11" spans="1:16" x14ac:dyDescent="0.3">
      <c r="A11" t="s">
        <v>243</v>
      </c>
      <c r="C11">
        <v>47</v>
      </c>
      <c r="D11" t="s">
        <v>244</v>
      </c>
      <c r="E11">
        <v>23.9</v>
      </c>
      <c r="F11">
        <v>4.8</v>
      </c>
      <c r="G11">
        <v>46.5</v>
      </c>
      <c r="H11">
        <v>9.3000000000000007</v>
      </c>
    </row>
    <row r="12" spans="1:16" x14ac:dyDescent="0.3">
      <c r="A12" t="s">
        <v>245</v>
      </c>
      <c r="C12">
        <v>24.6</v>
      </c>
      <c r="D12" t="s">
        <v>246</v>
      </c>
      <c r="E12">
        <v>9.6199999999999992</v>
      </c>
      <c r="F12">
        <v>4.2</v>
      </c>
      <c r="G12">
        <v>38.119999999999997</v>
      </c>
      <c r="H12">
        <v>18.579999999999998</v>
      </c>
    </row>
    <row r="13" spans="1:16" x14ac:dyDescent="0.3">
      <c r="N13" t="s">
        <v>269</v>
      </c>
      <c r="O13" t="s">
        <v>133</v>
      </c>
      <c r="P13" t="s">
        <v>232</v>
      </c>
    </row>
    <row r="14" spans="1:16" x14ac:dyDescent="0.3">
      <c r="A14" t="s">
        <v>188</v>
      </c>
      <c r="M14" t="s">
        <v>14</v>
      </c>
      <c r="N14">
        <v>17</v>
      </c>
      <c r="O14">
        <v>51</v>
      </c>
      <c r="P14">
        <v>58.1</v>
      </c>
    </row>
    <row r="15" spans="1:16" x14ac:dyDescent="0.3">
      <c r="A15" t="s">
        <v>132</v>
      </c>
      <c r="C15">
        <v>4.33</v>
      </c>
      <c r="D15" t="s">
        <v>249</v>
      </c>
      <c r="E15">
        <v>69.989999999999995</v>
      </c>
      <c r="F15">
        <v>18</v>
      </c>
      <c r="G15">
        <v>14.38</v>
      </c>
      <c r="H15">
        <v>4</v>
      </c>
      <c r="M15" t="s">
        <v>128</v>
      </c>
      <c r="N15">
        <v>4</v>
      </c>
      <c r="O15">
        <v>20.399999999999999</v>
      </c>
      <c r="P15">
        <v>17.57</v>
      </c>
    </row>
    <row r="16" spans="1:16" x14ac:dyDescent="0.3">
      <c r="A16" t="s">
        <v>243</v>
      </c>
      <c r="C16">
        <v>6.4</v>
      </c>
      <c r="D16" t="s">
        <v>244</v>
      </c>
      <c r="E16">
        <v>11.9</v>
      </c>
      <c r="F16">
        <v>3.8</v>
      </c>
      <c r="G16">
        <v>0.9</v>
      </c>
      <c r="H16">
        <v>0.5</v>
      </c>
    </row>
    <row r="17" spans="1:16" x14ac:dyDescent="0.3">
      <c r="A17" t="s">
        <v>245</v>
      </c>
      <c r="C17">
        <v>0.9</v>
      </c>
      <c r="D17" t="s">
        <v>246</v>
      </c>
      <c r="E17">
        <v>13.2</v>
      </c>
      <c r="F17">
        <v>8.67</v>
      </c>
      <c r="G17">
        <v>1.37</v>
      </c>
      <c r="H17">
        <v>1.29</v>
      </c>
    </row>
    <row r="18" spans="1:16" x14ac:dyDescent="0.3">
      <c r="M18" t="s">
        <v>272</v>
      </c>
      <c r="N18" t="s">
        <v>274</v>
      </c>
      <c r="O18" t="s">
        <v>275</v>
      </c>
      <c r="P18" t="s">
        <v>276</v>
      </c>
    </row>
    <row r="19" spans="1:16" x14ac:dyDescent="0.3">
      <c r="A19" t="s">
        <v>95</v>
      </c>
      <c r="M19" t="s">
        <v>241</v>
      </c>
      <c r="N19">
        <v>7.07</v>
      </c>
      <c r="O19">
        <v>11</v>
      </c>
      <c r="P19">
        <v>6</v>
      </c>
    </row>
    <row r="20" spans="1:16" x14ac:dyDescent="0.3">
      <c r="A20" t="s">
        <v>132</v>
      </c>
      <c r="C20">
        <v>72.849999999999994</v>
      </c>
      <c r="D20" t="s">
        <v>249</v>
      </c>
      <c r="E20">
        <v>2.89</v>
      </c>
      <c r="F20">
        <v>1</v>
      </c>
      <c r="G20">
        <v>88.41</v>
      </c>
      <c r="H20">
        <v>22</v>
      </c>
      <c r="M20" t="s">
        <v>247</v>
      </c>
      <c r="N20">
        <v>77.150000000000006</v>
      </c>
      <c r="O20">
        <v>47</v>
      </c>
      <c r="P20">
        <v>24.6</v>
      </c>
    </row>
    <row r="21" spans="1:16" x14ac:dyDescent="0.3">
      <c r="A21" t="s">
        <v>243</v>
      </c>
      <c r="C21">
        <v>126.5</v>
      </c>
      <c r="D21" t="s">
        <v>244</v>
      </c>
      <c r="E21">
        <v>2.2000000000000002</v>
      </c>
      <c r="F21">
        <v>0.8</v>
      </c>
      <c r="G21">
        <v>20.5</v>
      </c>
      <c r="H21">
        <v>8.4</v>
      </c>
      <c r="M21" t="s">
        <v>273</v>
      </c>
      <c r="N21">
        <v>4.33</v>
      </c>
      <c r="O21">
        <v>6.4</v>
      </c>
      <c r="P21">
        <v>0.9</v>
      </c>
    </row>
    <row r="22" spans="1:16" x14ac:dyDescent="0.3">
      <c r="A22" t="s">
        <v>245</v>
      </c>
      <c r="C22">
        <v>20.5</v>
      </c>
      <c r="D22" t="s">
        <v>246</v>
      </c>
      <c r="E22">
        <v>4.26</v>
      </c>
      <c r="F22">
        <v>3.96</v>
      </c>
      <c r="G22">
        <v>15.9</v>
      </c>
      <c r="H22">
        <v>11.6</v>
      </c>
      <c r="M22" t="s">
        <v>95</v>
      </c>
      <c r="N22">
        <v>72.849999999999994</v>
      </c>
      <c r="O22">
        <v>126.5</v>
      </c>
      <c r="P22">
        <v>20.5</v>
      </c>
    </row>
    <row r="23" spans="1:16" x14ac:dyDescent="0.3">
      <c r="M23" t="s">
        <v>96</v>
      </c>
      <c r="N23">
        <v>26.95</v>
      </c>
      <c r="O23">
        <v>29.43</v>
      </c>
      <c r="P23">
        <v>23.8</v>
      </c>
    </row>
    <row r="24" spans="1:16" x14ac:dyDescent="0.3">
      <c r="A24" t="s">
        <v>96</v>
      </c>
      <c r="M24" t="s">
        <v>208</v>
      </c>
    </row>
    <row r="25" spans="1:16" x14ac:dyDescent="0.3">
      <c r="A25" t="s">
        <v>132</v>
      </c>
      <c r="C25">
        <v>26.95</v>
      </c>
      <c r="D25" t="s">
        <v>249</v>
      </c>
      <c r="E25">
        <v>16.350000000000001</v>
      </c>
      <c r="F25">
        <v>4</v>
      </c>
      <c r="G25">
        <v>14.71</v>
      </c>
      <c r="H25">
        <v>4</v>
      </c>
      <c r="M25" t="s">
        <v>252</v>
      </c>
    </row>
    <row r="26" spans="1:16" x14ac:dyDescent="0.3">
      <c r="A26" t="s">
        <v>243</v>
      </c>
      <c r="C26">
        <v>29.43</v>
      </c>
      <c r="D26" t="s">
        <v>244</v>
      </c>
      <c r="E26">
        <v>13.3</v>
      </c>
      <c r="F26">
        <v>2.9</v>
      </c>
      <c r="G26">
        <v>42.6</v>
      </c>
      <c r="H26">
        <v>7.9</v>
      </c>
      <c r="M26" t="s">
        <v>99</v>
      </c>
    </row>
    <row r="27" spans="1:16" x14ac:dyDescent="0.3">
      <c r="A27" t="s">
        <v>245</v>
      </c>
      <c r="C27">
        <v>23.8</v>
      </c>
      <c r="D27" t="s">
        <v>246</v>
      </c>
      <c r="E27">
        <v>5.47</v>
      </c>
      <c r="F27">
        <v>4.87</v>
      </c>
      <c r="G27">
        <v>25.2</v>
      </c>
      <c r="H27">
        <v>16.600000000000001</v>
      </c>
    </row>
    <row r="29" spans="1:16" x14ac:dyDescent="0.3">
      <c r="A29" t="s">
        <v>208</v>
      </c>
    </row>
    <row r="30" spans="1:16" x14ac:dyDescent="0.3">
      <c r="A30" t="s">
        <v>132</v>
      </c>
      <c r="C30" t="s">
        <v>250</v>
      </c>
      <c r="D30" t="s">
        <v>251</v>
      </c>
      <c r="E30">
        <v>85.3</v>
      </c>
      <c r="F30">
        <v>20</v>
      </c>
      <c r="G30">
        <v>82.66</v>
      </c>
      <c r="H30">
        <v>22</v>
      </c>
    </row>
    <row r="31" spans="1:16" x14ac:dyDescent="0.3">
      <c r="A31" t="s">
        <v>243</v>
      </c>
      <c r="C31" t="s">
        <v>268</v>
      </c>
      <c r="D31" t="s">
        <v>244</v>
      </c>
      <c r="E31">
        <v>77.3</v>
      </c>
      <c r="F31">
        <v>29.9</v>
      </c>
      <c r="G31">
        <v>124</v>
      </c>
      <c r="H31">
        <v>35.1</v>
      </c>
    </row>
    <row r="32" spans="1:16" x14ac:dyDescent="0.3">
      <c r="A32" t="s">
        <v>245</v>
      </c>
      <c r="C32" t="s">
        <v>233</v>
      </c>
      <c r="D32" t="s">
        <v>246</v>
      </c>
      <c r="E32">
        <v>6.06</v>
      </c>
      <c r="F32">
        <v>9.77</v>
      </c>
      <c r="G32">
        <v>8.0500000000000007</v>
      </c>
      <c r="H32">
        <v>11.8</v>
      </c>
    </row>
    <row r="34" spans="1:8" x14ac:dyDescent="0.3">
      <c r="A34" t="s">
        <v>252</v>
      </c>
    </row>
    <row r="35" spans="1:8" x14ac:dyDescent="0.3">
      <c r="A35" t="s">
        <v>132</v>
      </c>
      <c r="C35" t="s">
        <v>253</v>
      </c>
      <c r="D35" t="s">
        <v>254</v>
      </c>
      <c r="E35">
        <v>5.9999999999999997E-7</v>
      </c>
      <c r="F35">
        <v>0</v>
      </c>
      <c r="G35">
        <v>2E-3</v>
      </c>
      <c r="H35">
        <v>0</v>
      </c>
    </row>
    <row r="36" spans="1:8" x14ac:dyDescent="0.3">
      <c r="A36" t="s">
        <v>243</v>
      </c>
      <c r="C36" t="s">
        <v>233</v>
      </c>
      <c r="D36" t="s">
        <v>244</v>
      </c>
      <c r="E36">
        <v>13.6</v>
      </c>
      <c r="F36">
        <v>6.5</v>
      </c>
      <c r="G36">
        <v>28.3</v>
      </c>
      <c r="H36">
        <v>17.899999999999999</v>
      </c>
    </row>
    <row r="37" spans="1:8" x14ac:dyDescent="0.3">
      <c r="A37" t="s">
        <v>255</v>
      </c>
      <c r="C37" t="s">
        <v>233</v>
      </c>
      <c r="D37" t="s">
        <v>246</v>
      </c>
      <c r="E37">
        <v>24.06</v>
      </c>
      <c r="F37">
        <v>12.7</v>
      </c>
      <c r="G37">
        <v>51.2</v>
      </c>
      <c r="H37">
        <v>22.6</v>
      </c>
    </row>
    <row r="39" spans="1:8" x14ac:dyDescent="0.3">
      <c r="A39" t="s">
        <v>99</v>
      </c>
    </row>
    <row r="40" spans="1:8" x14ac:dyDescent="0.3">
      <c r="A40" t="s">
        <v>132</v>
      </c>
      <c r="C40" t="s">
        <v>233</v>
      </c>
      <c r="D40" t="s">
        <v>233</v>
      </c>
      <c r="E40">
        <v>21.16</v>
      </c>
      <c r="F40">
        <v>6</v>
      </c>
      <c r="G40">
        <v>75.45</v>
      </c>
      <c r="H40">
        <v>18</v>
      </c>
    </row>
    <row r="41" spans="1:8" x14ac:dyDescent="0.3">
      <c r="A41" t="s">
        <v>256</v>
      </c>
      <c r="C41" t="s">
        <v>233</v>
      </c>
      <c r="D41" t="s">
        <v>244</v>
      </c>
      <c r="E41">
        <v>1.2</v>
      </c>
      <c r="F41">
        <v>0.2</v>
      </c>
      <c r="G41">
        <v>0.5</v>
      </c>
      <c r="H41">
        <v>0.3</v>
      </c>
    </row>
    <row r="42" spans="1:8" x14ac:dyDescent="0.3">
      <c r="A42" t="s">
        <v>245</v>
      </c>
      <c r="C42" t="s">
        <v>233</v>
      </c>
      <c r="D42" t="s">
        <v>246</v>
      </c>
      <c r="E42" t="s">
        <v>233</v>
      </c>
      <c r="F42" t="s">
        <v>233</v>
      </c>
      <c r="G42" t="s">
        <v>233</v>
      </c>
      <c r="H42" t="s">
        <v>233</v>
      </c>
    </row>
    <row r="44" spans="1:8" x14ac:dyDescent="0.3">
      <c r="A44" t="s">
        <v>257</v>
      </c>
    </row>
    <row r="45" spans="1:8" x14ac:dyDescent="0.3">
      <c r="A45" t="s">
        <v>132</v>
      </c>
      <c r="E45">
        <v>380.84</v>
      </c>
      <c r="F45">
        <v>100</v>
      </c>
      <c r="G45">
        <v>408.68</v>
      </c>
      <c r="H45">
        <v>100</v>
      </c>
    </row>
    <row r="46" spans="1:8" x14ac:dyDescent="0.3">
      <c r="A46" t="s">
        <v>243</v>
      </c>
      <c r="D46" t="s">
        <v>244</v>
      </c>
      <c r="E46">
        <v>810</v>
      </c>
      <c r="F46">
        <v>100</v>
      </c>
      <c r="G46">
        <v>290.39999999999998</v>
      </c>
      <c r="H46">
        <v>100</v>
      </c>
    </row>
    <row r="47" spans="1:8" x14ac:dyDescent="0.3">
      <c r="A47" t="s">
        <v>245</v>
      </c>
      <c r="D47" t="s">
        <v>246</v>
      </c>
      <c r="E47">
        <v>348</v>
      </c>
      <c r="F47" t="s">
        <v>233</v>
      </c>
      <c r="G47">
        <v>171.17</v>
      </c>
      <c r="H47" t="s">
        <v>233</v>
      </c>
    </row>
    <row r="48" spans="1:8" x14ac:dyDescent="0.3">
      <c r="A48" t="s">
        <v>125</v>
      </c>
    </row>
    <row r="49" spans="1:8" x14ac:dyDescent="0.3">
      <c r="A49" t="s">
        <v>132</v>
      </c>
      <c r="E49">
        <v>295.52999999999997</v>
      </c>
      <c r="G49">
        <v>326.01</v>
      </c>
    </row>
    <row r="50" spans="1:8" x14ac:dyDescent="0.3">
      <c r="A50" t="s">
        <v>243</v>
      </c>
      <c r="D50" t="s">
        <v>244</v>
      </c>
      <c r="E50">
        <v>719.6</v>
      </c>
      <c r="G50">
        <v>199</v>
      </c>
    </row>
    <row r="51" spans="1:8" x14ac:dyDescent="0.3">
      <c r="A51" t="s">
        <v>245</v>
      </c>
      <c r="D51" t="s">
        <v>246</v>
      </c>
      <c r="E51">
        <v>317.88</v>
      </c>
      <c r="G51">
        <v>139.75</v>
      </c>
    </row>
    <row r="52" spans="1:8" x14ac:dyDescent="0.3">
      <c r="A52" t="s">
        <v>258</v>
      </c>
    </row>
    <row r="53" spans="1:8" x14ac:dyDescent="0.3">
      <c r="A53" t="s">
        <v>132</v>
      </c>
      <c r="E53">
        <v>85.31</v>
      </c>
      <c r="G53">
        <v>82.67</v>
      </c>
    </row>
    <row r="54" spans="1:8" x14ac:dyDescent="0.3">
      <c r="A54" t="s">
        <v>243</v>
      </c>
      <c r="D54" t="s">
        <v>244</v>
      </c>
      <c r="E54">
        <v>90.9</v>
      </c>
      <c r="G54">
        <v>91.1</v>
      </c>
    </row>
    <row r="55" spans="1:8" x14ac:dyDescent="0.3">
      <c r="A55" t="s">
        <v>245</v>
      </c>
      <c r="D55" t="s">
        <v>246</v>
      </c>
      <c r="E55">
        <v>30.12</v>
      </c>
      <c r="G55">
        <v>59.25</v>
      </c>
    </row>
    <row r="62" spans="1:8" x14ac:dyDescent="0.3">
      <c r="A62" t="s">
        <v>259</v>
      </c>
      <c r="B62" t="s">
        <v>260</v>
      </c>
      <c r="C62">
        <v>1440</v>
      </c>
      <c r="D62" t="s">
        <v>261</v>
      </c>
      <c r="E62">
        <v>7.3000000000000001E-3</v>
      </c>
      <c r="F62" t="s">
        <v>233</v>
      </c>
      <c r="G62">
        <v>58.98</v>
      </c>
      <c r="H62" t="s">
        <v>233</v>
      </c>
    </row>
    <row r="63" spans="1:8" x14ac:dyDescent="0.3">
      <c r="B63" t="s">
        <v>262</v>
      </c>
      <c r="C63">
        <v>120</v>
      </c>
      <c r="D63" t="s">
        <v>261</v>
      </c>
      <c r="E63">
        <v>1.0999999999999999E-2</v>
      </c>
      <c r="F63" t="s">
        <v>233</v>
      </c>
      <c r="G63">
        <v>4.25</v>
      </c>
      <c r="H63" t="s">
        <v>233</v>
      </c>
    </row>
    <row r="64" spans="1:8" x14ac:dyDescent="0.3">
      <c r="B64" t="s">
        <v>263</v>
      </c>
      <c r="C64">
        <v>0</v>
      </c>
      <c r="D64" t="s">
        <v>261</v>
      </c>
      <c r="E64">
        <v>0</v>
      </c>
      <c r="F64" t="s">
        <v>233</v>
      </c>
      <c r="G64">
        <v>0</v>
      </c>
      <c r="H64" t="s">
        <v>233</v>
      </c>
    </row>
    <row r="65" spans="2:8" x14ac:dyDescent="0.3">
      <c r="B65" t="s">
        <v>264</v>
      </c>
      <c r="C65">
        <v>138</v>
      </c>
      <c r="D65" t="s">
        <v>265</v>
      </c>
      <c r="E65">
        <v>21.14</v>
      </c>
      <c r="F65" t="s">
        <v>233</v>
      </c>
      <c r="G65">
        <v>12.23</v>
      </c>
      <c r="H65" t="s">
        <v>233</v>
      </c>
    </row>
    <row r="66" spans="2:8" x14ac:dyDescent="0.3">
      <c r="B66" t="s">
        <v>266</v>
      </c>
      <c r="C66">
        <v>990</v>
      </c>
      <c r="D66" t="s">
        <v>267</v>
      </c>
      <c r="E66">
        <v>2.9999999999999999E-7</v>
      </c>
      <c r="F66" t="s">
        <v>233</v>
      </c>
      <c r="G66">
        <v>8.9999999999999998E-4</v>
      </c>
      <c r="H66" t="s">
        <v>233</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49"/>
  <sheetViews>
    <sheetView topLeftCell="A31" zoomScale="85" zoomScaleNormal="85" workbookViewId="0">
      <selection activeCell="B56" sqref="B56"/>
    </sheetView>
  </sheetViews>
  <sheetFormatPr defaultRowHeight="14" x14ac:dyDescent="0.3"/>
  <cols>
    <col min="1" max="1" width="27.75" customWidth="1"/>
    <col min="2" max="2" width="20.58203125" customWidth="1"/>
    <col min="3" max="3" width="48.75" customWidth="1"/>
    <col min="4" max="4" width="56.83203125" customWidth="1"/>
    <col min="5" max="5" width="33.58203125" customWidth="1"/>
    <col min="6" max="8" width="37.25" customWidth="1"/>
    <col min="11" max="11" width="14" style="67" bestFit="1" customWidth="1"/>
    <col min="12" max="12" width="14" bestFit="1" customWidth="1"/>
  </cols>
  <sheetData>
    <row r="1" spans="1:12" ht="14.5" thickBot="1" x14ac:dyDescent="0.35">
      <c r="E1" s="417">
        <v>1800</v>
      </c>
      <c r="F1" s="417"/>
    </row>
    <row r="2" spans="1:12" ht="30" thickTop="1" thickBot="1" x14ac:dyDescent="0.35">
      <c r="A2" s="43" t="s">
        <v>151</v>
      </c>
      <c r="B2" s="44" t="s">
        <v>152</v>
      </c>
      <c r="C2" s="44" t="s">
        <v>153</v>
      </c>
      <c r="D2" s="44" t="s">
        <v>154</v>
      </c>
      <c r="E2" s="44" t="s">
        <v>155</v>
      </c>
      <c r="F2" s="45" t="s">
        <v>156</v>
      </c>
      <c r="G2" s="66"/>
      <c r="H2" s="66"/>
      <c r="K2" s="66" t="s">
        <v>15</v>
      </c>
      <c r="L2" s="66" t="s">
        <v>14</v>
      </c>
    </row>
    <row r="3" spans="1:12" ht="15.5" thickTop="1" thickBot="1" x14ac:dyDescent="0.35">
      <c r="A3" s="46"/>
      <c r="B3" s="396" t="s">
        <v>157</v>
      </c>
      <c r="C3" s="397"/>
      <c r="D3" s="398"/>
      <c r="E3" s="47"/>
      <c r="F3" s="48"/>
      <c r="G3" s="118"/>
      <c r="H3" s="118"/>
      <c r="K3" t="s">
        <v>122</v>
      </c>
      <c r="L3" t="s">
        <v>122</v>
      </c>
    </row>
    <row r="4" spans="1:12" ht="51" customHeight="1" thickTop="1" thickBot="1" x14ac:dyDescent="0.35">
      <c r="A4" s="414">
        <v>1</v>
      </c>
      <c r="B4" s="414" t="s">
        <v>158</v>
      </c>
      <c r="C4" s="402" t="s">
        <v>159</v>
      </c>
      <c r="D4" s="49" t="s">
        <v>160</v>
      </c>
      <c r="E4" s="49">
        <v>6.2</v>
      </c>
      <c r="F4" s="50">
        <v>35.5</v>
      </c>
      <c r="G4" s="119"/>
      <c r="H4" s="119"/>
      <c r="K4" s="77">
        <f>AVERAGE(E4:E5)/1000</f>
        <v>7.0000000000000001E-3</v>
      </c>
      <c r="L4" s="78">
        <f>AVERAGE(F4:F5)/1000</f>
        <v>3.49E-2</v>
      </c>
    </row>
    <row r="5" spans="1:12" ht="43.5" customHeight="1" thickBot="1" x14ac:dyDescent="0.35">
      <c r="A5" s="415"/>
      <c r="B5" s="415"/>
      <c r="C5" s="403"/>
      <c r="D5" s="49" t="s">
        <v>161</v>
      </c>
      <c r="E5" s="49">
        <v>7.8</v>
      </c>
      <c r="F5" s="50">
        <v>34.299999999999997</v>
      </c>
      <c r="G5" s="119"/>
      <c r="H5" s="119"/>
      <c r="K5" s="79"/>
      <c r="L5" s="80"/>
    </row>
    <row r="6" spans="1:12" ht="29.5" thickBot="1" x14ac:dyDescent="0.35">
      <c r="A6" s="415"/>
      <c r="B6" s="415"/>
      <c r="C6" s="392" t="s">
        <v>162</v>
      </c>
      <c r="D6" s="51" t="s">
        <v>163</v>
      </c>
      <c r="E6" s="51">
        <v>1.8</v>
      </c>
      <c r="F6" s="52">
        <v>1.7</v>
      </c>
      <c r="G6" s="120"/>
      <c r="H6" s="120"/>
      <c r="K6" s="77">
        <f t="shared" ref="K6:K14" si="0">AVERAGE(E6:E7)/1000</f>
        <v>2.1000000000000003E-3</v>
      </c>
      <c r="L6" s="78">
        <f t="shared" ref="L6:L12" si="1">AVERAGE(F6:F7)/1000</f>
        <v>2.5999999999999999E-3</v>
      </c>
    </row>
    <row r="7" spans="1:12" ht="15" thickBot="1" x14ac:dyDescent="0.35">
      <c r="A7" s="415"/>
      <c r="B7" s="415"/>
      <c r="C7" s="412"/>
      <c r="D7" s="51" t="s">
        <v>164</v>
      </c>
      <c r="E7" s="51">
        <v>2.4</v>
      </c>
      <c r="F7" s="52">
        <v>3.5</v>
      </c>
      <c r="G7" s="120"/>
      <c r="H7" s="120"/>
      <c r="K7" s="79"/>
      <c r="L7" s="80"/>
    </row>
    <row r="8" spans="1:12" ht="29.5" thickBot="1" x14ac:dyDescent="0.35">
      <c r="A8" s="415"/>
      <c r="B8" s="415"/>
      <c r="C8" s="406" t="s">
        <v>165</v>
      </c>
      <c r="D8" s="49" t="s">
        <v>166</v>
      </c>
      <c r="E8" s="49">
        <v>10.199999999999999</v>
      </c>
      <c r="F8" s="53">
        <v>1.4E-3</v>
      </c>
      <c r="G8" s="121"/>
      <c r="H8" s="121"/>
      <c r="K8" s="77">
        <f t="shared" si="0"/>
        <v>1.235E-2</v>
      </c>
      <c r="L8" s="78">
        <f t="shared" si="1"/>
        <v>1.9999999999999999E-6</v>
      </c>
    </row>
    <row r="9" spans="1:12" ht="42" customHeight="1" thickBot="1" x14ac:dyDescent="0.35">
      <c r="A9" s="415"/>
      <c r="B9" s="415"/>
      <c r="C9" s="403"/>
      <c r="D9" s="49" t="s">
        <v>167</v>
      </c>
      <c r="E9" s="49">
        <v>14.5</v>
      </c>
      <c r="F9" s="53">
        <v>2.5999999999999999E-3</v>
      </c>
      <c r="G9" s="121"/>
      <c r="H9" s="121"/>
      <c r="K9" s="79"/>
      <c r="L9" s="80"/>
    </row>
    <row r="10" spans="1:12" ht="42.75" customHeight="1" thickBot="1" x14ac:dyDescent="0.35">
      <c r="A10" s="415"/>
      <c r="B10" s="415"/>
      <c r="C10" s="392" t="s">
        <v>159</v>
      </c>
      <c r="D10" s="51" t="s">
        <v>168</v>
      </c>
      <c r="E10" s="51">
        <v>4.5999999999999996</v>
      </c>
      <c r="F10" s="52">
        <v>17.5</v>
      </c>
      <c r="G10" s="120"/>
      <c r="H10" s="120"/>
      <c r="K10" s="77">
        <f t="shared" si="0"/>
        <v>5.1500000000000001E-3</v>
      </c>
      <c r="L10" s="78">
        <f t="shared" si="1"/>
        <v>1.6399999999999998E-2</v>
      </c>
    </row>
    <row r="11" spans="1:12" ht="45" customHeight="1" thickBot="1" x14ac:dyDescent="0.35">
      <c r="A11" s="415"/>
      <c r="B11" s="415"/>
      <c r="C11" s="412"/>
      <c r="D11" s="51" t="s">
        <v>169</v>
      </c>
      <c r="E11" s="51">
        <v>5.7</v>
      </c>
      <c r="F11" s="52">
        <v>15.3</v>
      </c>
      <c r="G11" s="120"/>
      <c r="H11" s="120"/>
      <c r="K11" s="79"/>
      <c r="L11" s="80"/>
    </row>
    <row r="12" spans="1:12" ht="52.5" customHeight="1" thickBot="1" x14ac:dyDescent="0.35">
      <c r="A12" s="415"/>
      <c r="B12" s="415"/>
      <c r="C12" s="406" t="s">
        <v>170</v>
      </c>
      <c r="D12" s="49" t="s">
        <v>171</v>
      </c>
      <c r="E12" s="49">
        <v>1.5</v>
      </c>
      <c r="F12" s="50">
        <v>0.9</v>
      </c>
      <c r="G12" s="119"/>
      <c r="H12" s="119"/>
      <c r="K12" s="77">
        <f t="shared" si="0"/>
        <v>1.75E-3</v>
      </c>
      <c r="L12" s="78">
        <f t="shared" si="1"/>
        <v>1.25E-3</v>
      </c>
    </row>
    <row r="13" spans="1:12" ht="49.5" customHeight="1" thickBot="1" x14ac:dyDescent="0.35">
      <c r="A13" s="415"/>
      <c r="B13" s="415"/>
      <c r="C13" s="403"/>
      <c r="D13" s="49" t="s">
        <v>172</v>
      </c>
      <c r="E13" s="49">
        <v>2</v>
      </c>
      <c r="F13" s="50">
        <v>1.6</v>
      </c>
      <c r="G13" s="119"/>
      <c r="H13" s="119"/>
      <c r="K13" s="79"/>
      <c r="L13" s="80"/>
    </row>
    <row r="14" spans="1:12" ht="66" customHeight="1" thickBot="1" x14ac:dyDescent="0.35">
      <c r="A14" s="415"/>
      <c r="B14" s="415"/>
      <c r="C14" s="392" t="s">
        <v>173</v>
      </c>
      <c r="D14" s="51" t="s">
        <v>174</v>
      </c>
      <c r="E14" s="51">
        <v>9.4</v>
      </c>
      <c r="F14" s="54">
        <v>5.0000000000000001E-4</v>
      </c>
      <c r="G14" s="122"/>
      <c r="H14" s="122"/>
      <c r="K14" s="77">
        <f t="shared" si="0"/>
        <v>1.0150000000000001E-2</v>
      </c>
      <c r="L14" s="81">
        <f>AVERAGE(F14:F15)/1000</f>
        <v>4.4999999999999998E-7</v>
      </c>
    </row>
    <row r="15" spans="1:12" ht="42" customHeight="1" thickBot="1" x14ac:dyDescent="0.35">
      <c r="A15" s="415"/>
      <c r="B15" s="415"/>
      <c r="C15" s="412"/>
      <c r="D15" s="51" t="s">
        <v>175</v>
      </c>
      <c r="E15" s="51">
        <v>10.9</v>
      </c>
      <c r="F15" s="54">
        <v>4.0000000000000002E-4</v>
      </c>
      <c r="G15" s="122"/>
      <c r="H15" s="122"/>
      <c r="K15" s="79"/>
      <c r="L15" s="80"/>
    </row>
    <row r="16" spans="1:12" ht="66" customHeight="1" thickBot="1" x14ac:dyDescent="0.35">
      <c r="A16" s="415"/>
      <c r="B16" s="415"/>
      <c r="C16" s="406" t="s">
        <v>176</v>
      </c>
      <c r="D16" s="49" t="s">
        <v>177</v>
      </c>
      <c r="E16" s="49">
        <v>8.6</v>
      </c>
      <c r="F16" s="50">
        <v>19.8</v>
      </c>
      <c r="G16" s="119"/>
      <c r="H16" s="119"/>
      <c r="K16" s="77">
        <f>AVERAGE(E16:E19)/1000</f>
        <v>9.8499999999999994E-3</v>
      </c>
      <c r="L16" s="78">
        <f>AVERAGE(F16:F19)/1000</f>
        <v>1.7024999999999998E-2</v>
      </c>
    </row>
    <row r="17" spans="1:12" ht="54.75" customHeight="1" thickBot="1" x14ac:dyDescent="0.35">
      <c r="A17" s="415"/>
      <c r="B17" s="415"/>
      <c r="C17" s="418"/>
      <c r="D17" s="49" t="s">
        <v>178</v>
      </c>
      <c r="E17" s="49">
        <v>9.1999999999999993</v>
      </c>
      <c r="F17" s="50">
        <v>15.4</v>
      </c>
      <c r="G17" s="119"/>
      <c r="H17" s="119"/>
      <c r="K17" s="82"/>
      <c r="L17" s="83"/>
    </row>
    <row r="18" spans="1:12" ht="54" customHeight="1" thickBot="1" x14ac:dyDescent="0.35">
      <c r="A18" s="415"/>
      <c r="B18" s="415"/>
      <c r="C18" s="418"/>
      <c r="D18" s="49" t="s">
        <v>179</v>
      </c>
      <c r="E18" s="49">
        <v>11.6</v>
      </c>
      <c r="F18" s="50">
        <v>13.8</v>
      </c>
      <c r="G18" s="119"/>
      <c r="H18" s="119"/>
      <c r="K18" s="82"/>
      <c r="L18" s="83"/>
    </row>
    <row r="19" spans="1:12" ht="45" customHeight="1" thickBot="1" x14ac:dyDescent="0.35">
      <c r="A19" s="416"/>
      <c r="B19" s="416"/>
      <c r="C19" s="407"/>
      <c r="D19" s="55" t="s">
        <v>180</v>
      </c>
      <c r="E19" s="55">
        <v>10</v>
      </c>
      <c r="F19" s="56">
        <v>19.100000000000001</v>
      </c>
      <c r="G19" s="119"/>
      <c r="H19" s="119"/>
      <c r="K19" s="79"/>
      <c r="L19" s="80"/>
    </row>
    <row r="20" spans="1:12" ht="43.5" customHeight="1" thickTop="1" thickBot="1" x14ac:dyDescent="0.35">
      <c r="A20" s="408">
        <v>38048</v>
      </c>
      <c r="B20" s="394" t="s">
        <v>181</v>
      </c>
      <c r="C20" s="411" t="s">
        <v>182</v>
      </c>
      <c r="D20" s="51" t="s">
        <v>183</v>
      </c>
      <c r="E20" s="51">
        <v>0.8</v>
      </c>
      <c r="F20" s="52">
        <v>1.2</v>
      </c>
      <c r="G20" s="120"/>
      <c r="H20" s="120"/>
      <c r="K20" s="77">
        <f t="shared" ref="K20:L22" si="2">AVERAGE(E20:E21)/1000</f>
        <v>9.5000000000000011E-4</v>
      </c>
      <c r="L20" s="78">
        <f t="shared" si="2"/>
        <v>1.9E-3</v>
      </c>
    </row>
    <row r="21" spans="1:12" ht="48" customHeight="1" thickBot="1" x14ac:dyDescent="0.35">
      <c r="A21" s="409"/>
      <c r="B21" s="395"/>
      <c r="C21" s="412"/>
      <c r="D21" s="51" t="s">
        <v>184</v>
      </c>
      <c r="E21" s="51">
        <v>1.1000000000000001</v>
      </c>
      <c r="F21" s="52">
        <v>2.6</v>
      </c>
      <c r="G21" s="120"/>
      <c r="H21" s="120"/>
      <c r="K21" s="79"/>
      <c r="L21" s="80"/>
    </row>
    <row r="22" spans="1:12" ht="63.75" customHeight="1" thickBot="1" x14ac:dyDescent="0.35">
      <c r="A22" s="409"/>
      <c r="B22" s="395"/>
      <c r="C22" s="406" t="s">
        <v>185</v>
      </c>
      <c r="D22" s="49" t="s">
        <v>186</v>
      </c>
      <c r="E22" s="49">
        <v>0.8</v>
      </c>
      <c r="F22" s="50">
        <v>0.8</v>
      </c>
      <c r="G22" s="119"/>
      <c r="H22" s="119"/>
      <c r="K22" s="93">
        <f>AVERAGE(E22:E23)/1000</f>
        <v>8.9999999999999998E-4</v>
      </c>
      <c r="L22" s="94">
        <f t="shared" si="2"/>
        <v>1E-3</v>
      </c>
    </row>
    <row r="23" spans="1:12" ht="49.5" customHeight="1" thickBot="1" x14ac:dyDescent="0.35">
      <c r="A23" s="409"/>
      <c r="B23" s="395"/>
      <c r="C23" s="403"/>
      <c r="D23" s="49" t="s">
        <v>187</v>
      </c>
      <c r="E23" s="49">
        <v>1</v>
      </c>
      <c r="F23" s="50">
        <v>1.2</v>
      </c>
      <c r="G23" s="119"/>
      <c r="H23" s="119"/>
      <c r="K23" s="82"/>
      <c r="L23" s="83"/>
    </row>
    <row r="24" spans="1:12" ht="72" customHeight="1" thickBot="1" x14ac:dyDescent="0.35">
      <c r="A24" s="409"/>
      <c r="B24" s="395"/>
      <c r="C24" s="392" t="s">
        <v>176</v>
      </c>
      <c r="D24" s="51" t="s">
        <v>177</v>
      </c>
      <c r="E24" s="51">
        <v>8.6</v>
      </c>
      <c r="F24" s="52">
        <v>19.8</v>
      </c>
      <c r="G24" s="120"/>
      <c r="H24" s="120"/>
      <c r="K24" s="77">
        <f>AVERAGE(E24:E27)/1000</f>
        <v>9.8499999999999994E-3</v>
      </c>
      <c r="L24" s="84">
        <f>AVERAGE(F24:F27)/1000</f>
        <v>1.7024999999999998E-2</v>
      </c>
    </row>
    <row r="25" spans="1:12" ht="56.25" customHeight="1" thickBot="1" x14ac:dyDescent="0.35">
      <c r="A25" s="409"/>
      <c r="B25" s="395"/>
      <c r="C25" s="413"/>
      <c r="D25" s="51" t="s">
        <v>178</v>
      </c>
      <c r="E25" s="51">
        <v>9.1999999999999993</v>
      </c>
      <c r="F25" s="52">
        <v>15.4</v>
      </c>
      <c r="G25" s="120"/>
      <c r="H25" s="120"/>
      <c r="K25" s="82"/>
      <c r="L25" s="83"/>
    </row>
    <row r="26" spans="1:12" ht="44.25" customHeight="1" thickBot="1" x14ac:dyDescent="0.35">
      <c r="A26" s="409"/>
      <c r="B26" s="395"/>
      <c r="C26" s="413"/>
      <c r="D26" s="51" t="s">
        <v>179</v>
      </c>
      <c r="E26" s="51">
        <v>11.6</v>
      </c>
      <c r="F26" s="52">
        <v>13.8</v>
      </c>
      <c r="G26" s="120"/>
      <c r="H26" s="120"/>
      <c r="K26" s="82"/>
      <c r="L26" s="83"/>
    </row>
    <row r="27" spans="1:12" ht="42" customHeight="1" thickBot="1" x14ac:dyDescent="0.35">
      <c r="A27" s="410"/>
      <c r="B27" s="391"/>
      <c r="C27" s="393"/>
      <c r="D27" s="58" t="s">
        <v>180</v>
      </c>
      <c r="E27" s="58">
        <v>10</v>
      </c>
      <c r="F27" s="59">
        <v>19.100000000000001</v>
      </c>
      <c r="G27" s="120"/>
      <c r="H27" s="120"/>
      <c r="K27" s="79"/>
      <c r="L27" s="80"/>
    </row>
    <row r="28" spans="1:12" ht="51.75" customHeight="1" thickTop="1" thickBot="1" x14ac:dyDescent="0.35">
      <c r="A28" s="414">
        <v>5</v>
      </c>
      <c r="B28" s="414" t="s">
        <v>188</v>
      </c>
      <c r="C28" s="402" t="s">
        <v>189</v>
      </c>
      <c r="D28" s="49" t="s">
        <v>160</v>
      </c>
      <c r="E28" s="49">
        <v>6.2</v>
      </c>
      <c r="F28" s="50">
        <v>35.5</v>
      </c>
      <c r="G28" s="119"/>
      <c r="H28" s="119"/>
      <c r="K28" s="77">
        <f>AVERAGE(E28:E29)/1000</f>
        <v>7.0000000000000001E-3</v>
      </c>
      <c r="L28" s="84">
        <f>AVERAGE(F28:F29)/1000</f>
        <v>3.49E-2</v>
      </c>
    </row>
    <row r="29" spans="1:12" ht="49.5" customHeight="1" thickBot="1" x14ac:dyDescent="0.35">
      <c r="A29" s="415"/>
      <c r="B29" s="415"/>
      <c r="C29" s="407"/>
      <c r="D29" s="55" t="s">
        <v>161</v>
      </c>
      <c r="E29" s="55">
        <v>7.8</v>
      </c>
      <c r="F29" s="56">
        <v>34.299999999999997</v>
      </c>
      <c r="G29" s="119"/>
      <c r="H29" s="119"/>
      <c r="K29" s="79"/>
      <c r="L29" s="80"/>
    </row>
    <row r="30" spans="1:12" ht="55.5" customHeight="1" thickTop="1" thickBot="1" x14ac:dyDescent="0.35">
      <c r="A30" s="415"/>
      <c r="B30" s="415"/>
      <c r="C30" s="411" t="s">
        <v>190</v>
      </c>
      <c r="D30" s="58" t="s">
        <v>163</v>
      </c>
      <c r="E30" s="58">
        <v>1.8</v>
      </c>
      <c r="F30" s="59">
        <v>1.7</v>
      </c>
      <c r="G30" s="120"/>
      <c r="H30" s="120"/>
      <c r="K30" s="77">
        <f>AVERAGE(E30:E31)/1000</f>
        <v>2.1000000000000003E-3</v>
      </c>
      <c r="L30" s="78">
        <f>AVERAGE(F30:F31)/1000</f>
        <v>2.5999999999999999E-3</v>
      </c>
    </row>
    <row r="31" spans="1:12" ht="39" customHeight="1" thickTop="1" thickBot="1" x14ac:dyDescent="0.35">
      <c r="A31" s="416"/>
      <c r="B31" s="416"/>
      <c r="C31" s="393"/>
      <c r="D31" s="58" t="s">
        <v>164</v>
      </c>
      <c r="E31" s="58">
        <v>2.4</v>
      </c>
      <c r="F31" s="59">
        <v>3.5</v>
      </c>
      <c r="G31" s="120"/>
      <c r="H31" s="120"/>
      <c r="K31" s="79"/>
      <c r="L31" s="80"/>
    </row>
    <row r="32" spans="1:12" ht="45.75" customHeight="1" thickTop="1" thickBot="1" x14ac:dyDescent="0.35">
      <c r="A32" s="394">
        <v>6</v>
      </c>
      <c r="B32" s="394" t="s">
        <v>191</v>
      </c>
      <c r="C32" s="402" t="s">
        <v>192</v>
      </c>
      <c r="D32" s="49" t="s">
        <v>193</v>
      </c>
      <c r="E32" s="49">
        <v>4.8</v>
      </c>
      <c r="F32" s="50">
        <v>2.5000000000000001E-2</v>
      </c>
      <c r="G32" s="119"/>
      <c r="H32" s="119"/>
      <c r="K32" s="77">
        <f>AVERAGE(E32:E33)/1000</f>
        <v>5.0000000000000001E-3</v>
      </c>
      <c r="L32" s="78">
        <f>AVERAGE(F32:F33)/1000</f>
        <v>5.2000000000000004E-5</v>
      </c>
    </row>
    <row r="33" spans="1:12" ht="37.5" customHeight="1" thickBot="1" x14ac:dyDescent="0.35">
      <c r="A33" s="395"/>
      <c r="B33" s="395"/>
      <c r="C33" s="403"/>
      <c r="D33" s="49" t="s">
        <v>194</v>
      </c>
      <c r="E33" s="49">
        <v>5.2</v>
      </c>
      <c r="F33" s="50">
        <v>7.9000000000000001E-2</v>
      </c>
      <c r="G33" s="119"/>
      <c r="H33" s="119"/>
      <c r="K33" s="79"/>
      <c r="L33" s="80"/>
    </row>
    <row r="34" spans="1:12" ht="49.5" customHeight="1" thickBot="1" x14ac:dyDescent="0.35">
      <c r="A34" s="395"/>
      <c r="B34" s="395"/>
      <c r="C34" s="404" t="s">
        <v>231</v>
      </c>
      <c r="D34" s="60" t="s">
        <v>195</v>
      </c>
      <c r="E34" s="60">
        <v>1.2</v>
      </c>
      <c r="F34" s="61">
        <v>4.7E-2</v>
      </c>
      <c r="G34" s="123"/>
      <c r="H34" s="123"/>
      <c r="K34" s="77">
        <f>AVERAGE(E34:E35)/1000</f>
        <v>1.25E-3</v>
      </c>
      <c r="L34" s="78">
        <f>AVERAGE(F34:F35)/1000</f>
        <v>6.900000000000001E-5</v>
      </c>
    </row>
    <row r="35" spans="1:12" ht="43.5" customHeight="1" thickBot="1" x14ac:dyDescent="0.35">
      <c r="A35" s="391"/>
      <c r="B35" s="391"/>
      <c r="C35" s="400"/>
      <c r="D35" s="62" t="s">
        <v>196</v>
      </c>
      <c r="E35" s="62">
        <v>1.3</v>
      </c>
      <c r="F35" s="63">
        <v>9.0999999999999998E-2</v>
      </c>
      <c r="G35" s="123"/>
      <c r="H35" s="123"/>
      <c r="K35" s="79"/>
      <c r="L35" s="80"/>
    </row>
    <row r="36" spans="1:12" ht="57.75" customHeight="1" thickTop="1" thickBot="1" x14ac:dyDescent="0.35">
      <c r="A36" s="394">
        <v>7</v>
      </c>
      <c r="B36" s="394" t="s">
        <v>197</v>
      </c>
      <c r="C36" s="402" t="s">
        <v>198</v>
      </c>
      <c r="D36" s="49" t="s">
        <v>199</v>
      </c>
      <c r="E36" s="49">
        <v>12.4</v>
      </c>
      <c r="F36" s="53">
        <v>8.0000000000000004E-4</v>
      </c>
      <c r="G36" s="121"/>
      <c r="H36" s="121"/>
      <c r="K36" s="77">
        <f>AVERAGE(E36:E37)/1000</f>
        <v>1.3650000000000001E-2</v>
      </c>
      <c r="L36" s="81">
        <f>AVERAGE(F36:F37)/1000</f>
        <v>1.6999999999999998E-6</v>
      </c>
    </row>
    <row r="37" spans="1:12" ht="57.75" customHeight="1" thickBot="1" x14ac:dyDescent="0.35">
      <c r="A37" s="395"/>
      <c r="B37" s="395"/>
      <c r="C37" s="403"/>
      <c r="D37" s="49" t="s">
        <v>200</v>
      </c>
      <c r="E37" s="49">
        <v>14.9</v>
      </c>
      <c r="F37" s="53">
        <v>2.5999999999999999E-3</v>
      </c>
      <c r="G37" s="121"/>
      <c r="H37" s="121"/>
      <c r="K37" s="79"/>
      <c r="L37" s="80"/>
    </row>
    <row r="38" spans="1:12" ht="57" customHeight="1" thickBot="1" x14ac:dyDescent="0.35">
      <c r="A38" s="395"/>
      <c r="B38" s="395"/>
      <c r="C38" s="404" t="s">
        <v>201</v>
      </c>
      <c r="D38" s="60" t="s">
        <v>177</v>
      </c>
      <c r="E38" s="60">
        <v>8.6</v>
      </c>
      <c r="F38" s="61">
        <v>19.8</v>
      </c>
      <c r="G38" s="123"/>
      <c r="H38" s="123"/>
      <c r="K38" s="77">
        <f>AVERAGE(E38:E39)/1000</f>
        <v>1.01E-2</v>
      </c>
      <c r="L38" s="78">
        <f>AVERAGE(F38:F39)/1000</f>
        <v>1.6800000000000002E-2</v>
      </c>
    </row>
    <row r="39" spans="1:12" ht="63.75" customHeight="1" thickBot="1" x14ac:dyDescent="0.35">
      <c r="A39" s="395"/>
      <c r="B39" s="395"/>
      <c r="C39" s="405"/>
      <c r="D39" s="60" t="s">
        <v>179</v>
      </c>
      <c r="E39" s="60">
        <v>11.6</v>
      </c>
      <c r="F39" s="61">
        <v>13.8</v>
      </c>
      <c r="G39" s="123"/>
      <c r="H39" s="123"/>
      <c r="K39" s="79"/>
      <c r="L39" s="80"/>
    </row>
    <row r="40" spans="1:12" ht="54.75" customHeight="1" thickBot="1" x14ac:dyDescent="0.35">
      <c r="A40" s="395"/>
      <c r="B40" s="395"/>
      <c r="C40" s="406" t="s">
        <v>202</v>
      </c>
      <c r="D40" s="49" t="s">
        <v>203</v>
      </c>
      <c r="E40" s="49">
        <v>8.8000000000000007</v>
      </c>
      <c r="F40" s="50">
        <v>2.5000000000000001E-2</v>
      </c>
      <c r="G40" s="119"/>
      <c r="H40" s="119"/>
      <c r="K40" s="77">
        <f>AVERAGE(E40:E41)/1000</f>
        <v>1.1800000000000001E-2</v>
      </c>
      <c r="L40" s="78">
        <f>AVERAGE(F40:F41)/1000</f>
        <v>3.1000000000000001E-5</v>
      </c>
    </row>
    <row r="41" spans="1:12" ht="72" customHeight="1" thickBot="1" x14ac:dyDescent="0.35">
      <c r="A41" s="391"/>
      <c r="B41" s="391"/>
      <c r="C41" s="407"/>
      <c r="D41" s="55" t="s">
        <v>204</v>
      </c>
      <c r="E41" s="55">
        <v>14.8</v>
      </c>
      <c r="F41" s="56">
        <v>3.6999999999999998E-2</v>
      </c>
      <c r="G41" s="119"/>
      <c r="H41" s="119"/>
      <c r="K41" s="79"/>
      <c r="L41" s="80"/>
    </row>
    <row r="42" spans="1:12" ht="57" customHeight="1" thickTop="1" thickBot="1" x14ac:dyDescent="0.35">
      <c r="A42" s="46"/>
      <c r="B42" s="396" t="s">
        <v>205</v>
      </c>
      <c r="C42" s="397"/>
      <c r="D42" s="398"/>
      <c r="E42" s="47" t="s">
        <v>206</v>
      </c>
      <c r="F42" s="48" t="s">
        <v>207</v>
      </c>
      <c r="G42" s="118"/>
      <c r="H42" s="118"/>
      <c r="K42" s="67" t="s">
        <v>321</v>
      </c>
      <c r="L42" s="67" t="s">
        <v>322</v>
      </c>
    </row>
    <row r="43" spans="1:12" ht="35.5" customHeight="1" thickTop="1" thickBot="1" x14ac:dyDescent="0.35">
      <c r="A43" s="394">
        <v>8</v>
      </c>
      <c r="B43" s="394" t="s">
        <v>208</v>
      </c>
      <c r="C43" s="399" t="s">
        <v>209</v>
      </c>
      <c r="D43" s="60" t="s">
        <v>210</v>
      </c>
      <c r="E43" s="60">
        <v>4.13</v>
      </c>
      <c r="F43" s="61">
        <v>3.68</v>
      </c>
      <c r="G43" s="123"/>
      <c r="H43" s="123"/>
      <c r="K43" s="77">
        <f>AVERAGE(E43:E44)/1000</f>
        <v>4.3750000000000004E-3</v>
      </c>
      <c r="L43" s="78">
        <f>AVERAGE(F43:F44)/1000</f>
        <v>4.5200000000000006E-3</v>
      </c>
    </row>
    <row r="44" spans="1:12" ht="38.5" customHeight="1" thickBot="1" x14ac:dyDescent="0.35">
      <c r="A44" s="391"/>
      <c r="B44" s="391"/>
      <c r="C44" s="400"/>
      <c r="D44" s="62" t="s">
        <v>211</v>
      </c>
      <c r="E44" s="62">
        <v>4.62</v>
      </c>
      <c r="F44" s="63">
        <v>5.36</v>
      </c>
      <c r="G44" s="123"/>
      <c r="H44" s="123"/>
      <c r="K44" s="79"/>
      <c r="L44" s="80"/>
    </row>
    <row r="45" spans="1:12" ht="40" customHeight="1" thickTop="1" thickBot="1" x14ac:dyDescent="0.35">
      <c r="A45" s="394">
        <v>9</v>
      </c>
      <c r="B45" s="57" t="s">
        <v>208</v>
      </c>
      <c r="C45" s="402" t="s">
        <v>213</v>
      </c>
      <c r="D45" s="49" t="s">
        <v>210</v>
      </c>
      <c r="E45" s="49">
        <v>3.65</v>
      </c>
      <c r="F45" s="50">
        <v>2.14</v>
      </c>
      <c r="G45" s="119"/>
      <c r="H45" s="119"/>
      <c r="K45" s="77">
        <f>AVERAGE(E45:E46)/1000</f>
        <v>3.7099999999999998E-3</v>
      </c>
      <c r="L45" s="78">
        <f>AVERAGE(F45:F46)/1000</f>
        <v>2.5200000000000001E-3</v>
      </c>
    </row>
    <row r="46" spans="1:12" ht="25.5" customHeight="1" thickBot="1" x14ac:dyDescent="0.35">
      <c r="A46" s="401"/>
      <c r="B46" s="64" t="s">
        <v>212</v>
      </c>
      <c r="C46" s="403"/>
      <c r="D46" s="49" t="s">
        <v>211</v>
      </c>
      <c r="E46" s="49">
        <v>3.77</v>
      </c>
      <c r="F46" s="50">
        <v>2.9</v>
      </c>
      <c r="G46" s="119"/>
      <c r="H46" s="119"/>
      <c r="K46" s="79"/>
      <c r="L46" s="80"/>
    </row>
    <row r="47" spans="1:12" ht="25.5" customHeight="1" thickBot="1" x14ac:dyDescent="0.35">
      <c r="A47" s="390">
        <v>10</v>
      </c>
      <c r="B47" s="390" t="s">
        <v>214</v>
      </c>
      <c r="C47" s="392" t="s">
        <v>215</v>
      </c>
      <c r="D47" s="51" t="s">
        <v>216</v>
      </c>
      <c r="E47" s="104">
        <v>5.0999999999999996</v>
      </c>
      <c r="F47" s="105">
        <v>0.69</v>
      </c>
      <c r="G47" s="120"/>
      <c r="H47" s="120"/>
      <c r="K47" s="77">
        <f>AVERAGE(E47:E48)/1000</f>
        <v>5.2950000000000002E-3</v>
      </c>
      <c r="L47" s="81">
        <f>AVERAGE(F47:F48)/1000</f>
        <v>1.33E-3</v>
      </c>
    </row>
    <row r="48" spans="1:12" ht="25.5" customHeight="1" thickBot="1" x14ac:dyDescent="0.35">
      <c r="A48" s="391"/>
      <c r="B48" s="391"/>
      <c r="C48" s="393"/>
      <c r="D48" s="58" t="s">
        <v>217</v>
      </c>
      <c r="E48" s="106">
        <v>5.49</v>
      </c>
      <c r="F48" s="59">
        <v>1.97</v>
      </c>
      <c r="G48" s="120"/>
      <c r="H48" s="120"/>
      <c r="K48" s="79"/>
      <c r="L48" s="80"/>
    </row>
    <row r="49" spans="1:1" ht="14.5" thickTop="1" x14ac:dyDescent="0.3">
      <c r="A49" s="65" t="s">
        <v>218</v>
      </c>
    </row>
  </sheetData>
  <mergeCells count="38">
    <mergeCell ref="E1:F1"/>
    <mergeCell ref="B3:D3"/>
    <mergeCell ref="A4:A19"/>
    <mergeCell ref="B4:B19"/>
    <mergeCell ref="C4:C5"/>
    <mergeCell ref="C6:C7"/>
    <mergeCell ref="C8:C9"/>
    <mergeCell ref="C10:C11"/>
    <mergeCell ref="C12:C13"/>
    <mergeCell ref="C14:C15"/>
    <mergeCell ref="C16:C19"/>
    <mergeCell ref="C36:C37"/>
    <mergeCell ref="C38:C39"/>
    <mergeCell ref="C40:C41"/>
    <mergeCell ref="A20:A27"/>
    <mergeCell ref="C20:C21"/>
    <mergeCell ref="C22:C23"/>
    <mergeCell ref="C24:C27"/>
    <mergeCell ref="A28:A31"/>
    <mergeCell ref="B28:B31"/>
    <mergeCell ref="C28:C29"/>
    <mergeCell ref="C30:C31"/>
    <mergeCell ref="A47:A48"/>
    <mergeCell ref="B47:B48"/>
    <mergeCell ref="C47:C48"/>
    <mergeCell ref="B20:B27"/>
    <mergeCell ref="B42:D42"/>
    <mergeCell ref="A43:A44"/>
    <mergeCell ref="B43:B44"/>
    <mergeCell ref="C43:C44"/>
    <mergeCell ref="A45:A46"/>
    <mergeCell ref="C45:C46"/>
    <mergeCell ref="A32:A35"/>
    <mergeCell ref="B32:B35"/>
    <mergeCell ref="C32:C33"/>
    <mergeCell ref="C34:C35"/>
    <mergeCell ref="A36:A41"/>
    <mergeCell ref="B36:B41"/>
  </mergeCells>
  <pageMargins left="0.7" right="0.7" top="0.75" bottom="0.75" header="0.3" footer="0.3"/>
  <pageSetup orientation="portrait" horizontalDpi="200" verticalDpi="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Q43"/>
  <sheetViews>
    <sheetView workbookViewId="0">
      <selection activeCell="W19" sqref="W19"/>
    </sheetView>
  </sheetViews>
  <sheetFormatPr defaultRowHeight="14" x14ac:dyDescent="0.3"/>
  <cols>
    <col min="1" max="1" width="14.58203125" bestFit="1" customWidth="1"/>
    <col min="2" max="4" width="10.25" hidden="1" customWidth="1"/>
    <col min="5" max="6" width="9.25" hidden="1" customWidth="1"/>
    <col min="7" max="7" width="10.75" hidden="1" customWidth="1"/>
    <col min="8" max="10" width="9.25" hidden="1" customWidth="1"/>
    <col min="11" max="13" width="10.25" style="5" hidden="1" customWidth="1"/>
    <col min="14" max="19" width="9.25" style="5" hidden="1" customWidth="1"/>
    <col min="20" max="20" width="8.25" style="5" customWidth="1"/>
    <col min="21" max="21" width="12.33203125" bestFit="1" customWidth="1"/>
    <col min="22" max="29" width="12.08203125" customWidth="1"/>
    <col min="31" max="39" width="8.83203125" bestFit="1" customWidth="1"/>
    <col min="41" max="41" width="19.25" bestFit="1" customWidth="1"/>
    <col min="42" max="42" width="11.33203125" bestFit="1" customWidth="1"/>
    <col min="43" max="43" width="10.33203125" bestFit="1" customWidth="1"/>
    <col min="44" max="44" width="12.25" bestFit="1" customWidth="1"/>
  </cols>
  <sheetData>
    <row r="1" spans="1:43" ht="14.5" thickBot="1" x14ac:dyDescent="0.35">
      <c r="A1" s="427" t="s">
        <v>380</v>
      </c>
      <c r="B1" s="423" t="s">
        <v>386</v>
      </c>
      <c r="C1" s="423"/>
      <c r="D1" s="423"/>
      <c r="E1" s="423"/>
      <c r="F1" s="423"/>
      <c r="G1" s="423"/>
      <c r="H1" s="423"/>
      <c r="I1" s="423"/>
      <c r="J1" s="424"/>
      <c r="K1" s="423" t="s">
        <v>387</v>
      </c>
      <c r="L1" s="423"/>
      <c r="M1" s="423"/>
      <c r="N1" s="423"/>
      <c r="O1" s="423"/>
      <c r="P1" s="423"/>
      <c r="Q1" s="423"/>
      <c r="R1" s="423"/>
      <c r="S1" s="424"/>
      <c r="T1" s="117"/>
      <c r="U1" s="422" t="s">
        <v>388</v>
      </c>
      <c r="V1" s="423"/>
      <c r="W1" s="423"/>
      <c r="X1" s="423"/>
      <c r="Y1" s="423"/>
      <c r="Z1" s="423"/>
      <c r="AA1" s="423"/>
      <c r="AB1" s="423"/>
      <c r="AC1" s="424"/>
      <c r="AE1" s="428" t="s">
        <v>385</v>
      </c>
      <c r="AF1" s="429"/>
      <c r="AG1" s="429"/>
      <c r="AH1" s="429"/>
      <c r="AI1" s="429"/>
      <c r="AJ1" s="429"/>
      <c r="AK1" s="429"/>
      <c r="AL1" s="429"/>
      <c r="AM1" s="430"/>
      <c r="AO1" s="421" t="s">
        <v>389</v>
      </c>
      <c r="AP1" s="421"/>
      <c r="AQ1" s="421"/>
    </row>
    <row r="2" spans="1:43" x14ac:dyDescent="0.3">
      <c r="A2" s="427"/>
      <c r="B2" s="135">
        <v>700</v>
      </c>
      <c r="C2" s="128">
        <v>800</v>
      </c>
      <c r="D2" s="128">
        <v>900</v>
      </c>
      <c r="E2" s="128">
        <v>1800</v>
      </c>
      <c r="F2" s="128">
        <v>2100</v>
      </c>
      <c r="G2" s="128">
        <v>2600</v>
      </c>
      <c r="H2" s="134">
        <v>3500</v>
      </c>
      <c r="I2" s="136">
        <v>2450</v>
      </c>
      <c r="J2" s="137">
        <v>5000</v>
      </c>
      <c r="K2" s="135">
        <v>700</v>
      </c>
      <c r="L2" s="128">
        <v>800</v>
      </c>
      <c r="M2" s="128">
        <v>900</v>
      </c>
      <c r="N2" s="128">
        <v>1800</v>
      </c>
      <c r="O2" s="128">
        <v>2100</v>
      </c>
      <c r="P2" s="128">
        <v>2600</v>
      </c>
      <c r="Q2" s="134">
        <v>3500</v>
      </c>
      <c r="R2" s="136">
        <v>2450</v>
      </c>
      <c r="S2" s="137">
        <v>5000</v>
      </c>
      <c r="T2" s="125"/>
      <c r="U2" s="132">
        <v>700</v>
      </c>
      <c r="V2" s="138">
        <v>800</v>
      </c>
      <c r="W2" s="138">
        <v>900</v>
      </c>
      <c r="X2" s="138">
        <v>1800</v>
      </c>
      <c r="Y2" s="138">
        <v>2100</v>
      </c>
      <c r="Z2" s="138">
        <f>AVERAGE(G2,P2)</f>
        <v>2600</v>
      </c>
      <c r="AA2" s="133">
        <f>AVERAGE(H2,Q2)</f>
        <v>3500</v>
      </c>
      <c r="AB2" s="132">
        <v>2450</v>
      </c>
      <c r="AC2" s="133">
        <v>5000</v>
      </c>
      <c r="AE2" s="130">
        <v>700</v>
      </c>
      <c r="AF2" s="129">
        <v>800</v>
      </c>
      <c r="AG2" s="129">
        <v>900</v>
      </c>
      <c r="AH2" s="129">
        <v>1800</v>
      </c>
      <c r="AI2" s="129">
        <v>2600</v>
      </c>
      <c r="AJ2" s="129">
        <v>3500</v>
      </c>
      <c r="AK2" s="131">
        <v>2600</v>
      </c>
      <c r="AL2" s="130">
        <v>2450</v>
      </c>
      <c r="AM2" s="131">
        <v>5000</v>
      </c>
      <c r="AO2" s="139" t="s">
        <v>390</v>
      </c>
      <c r="AP2" s="139" t="s">
        <v>391</v>
      </c>
      <c r="AQ2" s="140" t="s">
        <v>331</v>
      </c>
    </row>
    <row r="3" spans="1:43" x14ac:dyDescent="0.3">
      <c r="A3" s="141" t="s">
        <v>381</v>
      </c>
      <c r="B3" s="142">
        <v>125.57</v>
      </c>
      <c r="C3" s="142">
        <v>115.46</v>
      </c>
      <c r="D3" s="142">
        <v>106.16</v>
      </c>
      <c r="E3" s="142">
        <v>35.503999999999998</v>
      </c>
      <c r="F3" s="142">
        <v>24.954999999999998</v>
      </c>
      <c r="G3" s="142">
        <v>14.832000000000001</v>
      </c>
      <c r="H3" s="142">
        <v>3.5038</v>
      </c>
      <c r="I3" s="142">
        <v>17.504000000000001</v>
      </c>
      <c r="J3" s="142">
        <v>0.51062269999999998</v>
      </c>
      <c r="K3" s="142">
        <v>132.08000000000001</v>
      </c>
      <c r="L3" s="142">
        <v>119.83</v>
      </c>
      <c r="M3" s="142">
        <v>109.53</v>
      </c>
      <c r="N3" s="142">
        <v>34.347999999999999</v>
      </c>
      <c r="O3" s="142">
        <v>23.471444101986499</v>
      </c>
      <c r="P3" s="142">
        <v>12.903089691889299</v>
      </c>
      <c r="Q3" s="142">
        <v>4.2173188733613802</v>
      </c>
      <c r="R3" s="142">
        <v>15.2511697859369</v>
      </c>
      <c r="S3" s="142">
        <v>0.702830855262493</v>
      </c>
      <c r="T3"/>
      <c r="U3" s="142">
        <f>AVERAGE(B3,K3)/1000</f>
        <v>0.128825</v>
      </c>
      <c r="V3" s="142">
        <f t="shared" ref="V3:AA3" si="0">AVERAGE(C3,L3)/1000</f>
        <v>0.117645</v>
      </c>
      <c r="W3" s="142">
        <f t="shared" si="0"/>
        <v>0.107845</v>
      </c>
      <c r="X3" s="142">
        <f t="shared" si="0"/>
        <v>3.4925999999999999E-2</v>
      </c>
      <c r="Y3" s="142">
        <f t="shared" si="0"/>
        <v>2.4213222050993247E-2</v>
      </c>
      <c r="Z3" s="142">
        <f t="shared" si="0"/>
        <v>1.386754484594465E-2</v>
      </c>
      <c r="AA3" s="142">
        <f t="shared" si="0"/>
        <v>3.8605594366806903E-3</v>
      </c>
      <c r="AB3" s="142">
        <f t="shared" ref="AB3:AC5" si="1">AVERAGE(I3,R3)/1000</f>
        <v>1.637758489296845E-2</v>
      </c>
      <c r="AC3" s="142">
        <f t="shared" si="1"/>
        <v>6.0672677763124654E-4</v>
      </c>
      <c r="AE3" s="144">
        <v>0.14285714285714299</v>
      </c>
      <c r="AF3" s="144">
        <v>0.14285714285714299</v>
      </c>
      <c r="AG3" s="144">
        <v>0.14285714285714299</v>
      </c>
      <c r="AH3" s="144">
        <v>0.14285714285714299</v>
      </c>
      <c r="AI3" s="144">
        <v>0.14285714285714299</v>
      </c>
      <c r="AJ3" s="144">
        <v>0.14285714285714299</v>
      </c>
      <c r="AK3" s="144">
        <v>0.14285714285714299</v>
      </c>
      <c r="AL3" s="144">
        <v>0.5</v>
      </c>
      <c r="AM3" s="144">
        <v>0.5</v>
      </c>
      <c r="AO3" s="142">
        <f>U3*AE3+V3*AF3+W3*AG3+X3*AH3+Y3*AI3+Z3*AJ3+AA3*AK3</f>
        <v>6.1597475190516997E-2</v>
      </c>
      <c r="AP3" s="142">
        <v>1.637758489296845E-2</v>
      </c>
      <c r="AQ3" s="142">
        <v>6.0672677763124654E-4</v>
      </c>
    </row>
    <row r="4" spans="1:43" x14ac:dyDescent="0.3">
      <c r="A4" s="141" t="s">
        <v>377</v>
      </c>
      <c r="B4" s="142">
        <v>9.0284507811658994</v>
      </c>
      <c r="C4" s="142">
        <v>8.9584778601532307</v>
      </c>
      <c r="D4" s="142">
        <v>7.9638690419683096</v>
      </c>
      <c r="E4" s="142">
        <v>1.7357738391947199</v>
      </c>
      <c r="F4" s="142">
        <v>1.21915854329205</v>
      </c>
      <c r="G4" s="142">
        <v>0.87618916936741698</v>
      </c>
      <c r="H4" s="142">
        <v>0.54772982758372002</v>
      </c>
      <c r="I4" s="142">
        <v>0.94762529718854904</v>
      </c>
      <c r="J4" s="142">
        <v>0.103485799029835</v>
      </c>
      <c r="K4" s="142">
        <v>10.203916999521001</v>
      </c>
      <c r="L4" s="142">
        <v>11.527995672627201</v>
      </c>
      <c r="M4" s="142">
        <v>11.947704345223601</v>
      </c>
      <c r="N4" s="142">
        <v>3.4719797551367</v>
      </c>
      <c r="O4" s="142">
        <v>2.6169512171032201</v>
      </c>
      <c r="P4" s="142">
        <v>1.45173649472948</v>
      </c>
      <c r="Q4" s="142">
        <v>0.80251656112703795</v>
      </c>
      <c r="R4" s="142">
        <v>1.59683063256234</v>
      </c>
      <c r="S4" s="142">
        <v>0.23645938743863201</v>
      </c>
      <c r="T4"/>
      <c r="U4" s="142">
        <f>AVERAGE(B4,K4)/1000</f>
        <v>9.6161838903434504E-3</v>
      </c>
      <c r="V4" s="142">
        <f t="shared" ref="V4:AA5" si="2">AVERAGE(C4,L4)/1000</f>
        <v>1.0243236766390214E-2</v>
      </c>
      <c r="W4" s="142">
        <f t="shared" si="2"/>
        <v>9.9557866935959562E-3</v>
      </c>
      <c r="X4" s="142">
        <f t="shared" si="2"/>
        <v>2.6038767971657099E-3</v>
      </c>
      <c r="Y4" s="142">
        <f t="shared" si="2"/>
        <v>1.918054880197635E-3</v>
      </c>
      <c r="Z4" s="142">
        <f t="shared" si="2"/>
        <v>1.1639628320484485E-3</v>
      </c>
      <c r="AA4" s="142">
        <f t="shared" si="2"/>
        <v>6.7512319435537903E-4</v>
      </c>
      <c r="AB4" s="142">
        <f t="shared" si="1"/>
        <v>1.2722279648754444E-3</v>
      </c>
      <c r="AC4" s="142">
        <f t="shared" si="1"/>
        <v>1.699725932342335E-4</v>
      </c>
      <c r="AE4" s="144">
        <v>0.14285714285714299</v>
      </c>
      <c r="AF4" s="144">
        <v>0.14285714285714299</v>
      </c>
      <c r="AG4" s="144">
        <v>0.14285714285714299</v>
      </c>
      <c r="AH4" s="144">
        <v>0.14285714285714299</v>
      </c>
      <c r="AI4" s="144">
        <v>0.14285714285714299</v>
      </c>
      <c r="AJ4" s="144">
        <v>0.14285714285714299</v>
      </c>
      <c r="AK4" s="144">
        <v>0.14285714285714299</v>
      </c>
      <c r="AL4" s="144">
        <v>0.5</v>
      </c>
      <c r="AM4" s="144">
        <v>0.5</v>
      </c>
      <c r="AO4" s="142">
        <f>U4*AE4+V4*AF4+W4*AG4+X4*AH4+Y4*AI4+Z4*AJ4+AA4*AK4</f>
        <v>5.1680321505852608E-3</v>
      </c>
      <c r="AP4" s="142">
        <v>1.2722279648754401E-3</v>
      </c>
      <c r="AQ4" s="142">
        <v>1.6997259323423301E-4</v>
      </c>
    </row>
    <row r="5" spans="1:43" x14ac:dyDescent="0.3">
      <c r="A5" s="141" t="s">
        <v>376</v>
      </c>
      <c r="B5" s="142">
        <v>3.65477497393401E-2</v>
      </c>
      <c r="C5" s="142">
        <v>2.3103991713833299E-2</v>
      </c>
      <c r="D5" s="142">
        <v>1.4282837677123799E-2</v>
      </c>
      <c r="E5" s="142">
        <v>1.3583529329779401E-3</v>
      </c>
      <c r="F5" s="142">
        <v>1.41172992390485E-3</v>
      </c>
      <c r="G5" s="142">
        <v>5.8455289051664004E-4</v>
      </c>
      <c r="H5" s="142">
        <v>1.92535471840089E-4</v>
      </c>
      <c r="I5" s="142">
        <v>5.2824626141930895E-4</v>
      </c>
      <c r="J5" s="142">
        <v>1.4228953813361301E-5</v>
      </c>
      <c r="K5" s="142">
        <v>3.01204606870547E-2</v>
      </c>
      <c r="L5" s="142">
        <v>2.54973259195845E-2</v>
      </c>
      <c r="M5" s="142">
        <v>1.82417451572141E-2</v>
      </c>
      <c r="N5" s="142">
        <v>2.5755413370526E-3</v>
      </c>
      <c r="O5" s="142">
        <v>1.34961765218134E-3</v>
      </c>
      <c r="P5" s="142">
        <v>2.4159703772769401E-4</v>
      </c>
      <c r="Q5" s="142">
        <v>1.41020654680433E-4</v>
      </c>
      <c r="R5" s="142">
        <v>4.2197332694888303E-4</v>
      </c>
      <c r="S5" s="142">
        <v>2.8576461919411201E-5</v>
      </c>
      <c r="T5"/>
      <c r="U5" s="142">
        <f>AVERAGE(B5,K5)/1000</f>
        <v>3.3334105213197397E-5</v>
      </c>
      <c r="V5" s="142">
        <f t="shared" si="2"/>
        <v>2.4300658816708898E-5</v>
      </c>
      <c r="W5" s="142">
        <f t="shared" si="2"/>
        <v>1.6262291417168952E-5</v>
      </c>
      <c r="X5" s="142">
        <f t="shared" si="2"/>
        <v>1.96694713501527E-6</v>
      </c>
      <c r="Y5" s="142">
        <f t="shared" si="2"/>
        <v>1.3806737880430949E-6</v>
      </c>
      <c r="Z5" s="142">
        <f t="shared" si="2"/>
        <v>4.1307496412216702E-7</v>
      </c>
      <c r="AA5" s="142">
        <f t="shared" si="2"/>
        <v>1.6677806326026099E-7</v>
      </c>
      <c r="AB5" s="143">
        <f t="shared" si="1"/>
        <v>4.7510979418409601E-7</v>
      </c>
      <c r="AC5" s="143">
        <f t="shared" si="1"/>
        <v>2.140270786638625E-8</v>
      </c>
      <c r="AE5" s="144">
        <v>0.14285714285714299</v>
      </c>
      <c r="AF5" s="144">
        <v>0.14285714285714299</v>
      </c>
      <c r="AG5" s="144">
        <v>0.14285714285714299</v>
      </c>
      <c r="AH5" s="144">
        <v>0.14285714285714299</v>
      </c>
      <c r="AI5" s="144">
        <v>0.14285714285714299</v>
      </c>
      <c r="AJ5" s="144">
        <v>0.14285714285714299</v>
      </c>
      <c r="AK5" s="144">
        <v>0.14285714285714299</v>
      </c>
      <c r="AL5" s="144">
        <v>0.5</v>
      </c>
      <c r="AM5" s="144">
        <v>0.5</v>
      </c>
      <c r="AO5" s="142">
        <f>U5*AE5+V5*AF5+W5*AG5+X5*AH5+Y5*AI5+Z5*AJ5+AA5*AK5</f>
        <v>1.1117789913930871E-5</v>
      </c>
      <c r="AP5" s="142">
        <v>4.7510979418409601E-7</v>
      </c>
      <c r="AQ5" s="142">
        <v>2.1402707866386251E-5</v>
      </c>
    </row>
    <row r="6" spans="1:43" x14ac:dyDescent="0.3">
      <c r="A6" s="141" t="s">
        <v>382</v>
      </c>
      <c r="B6" s="142"/>
      <c r="C6" s="142"/>
      <c r="D6" s="142"/>
      <c r="E6" s="142"/>
      <c r="F6" s="142"/>
      <c r="G6" s="142"/>
      <c r="H6" s="142"/>
      <c r="I6" s="142">
        <v>19.770544919020502</v>
      </c>
      <c r="J6" s="142"/>
      <c r="K6" s="142"/>
      <c r="L6" s="142"/>
      <c r="M6" s="142"/>
      <c r="N6" s="142"/>
      <c r="O6" s="142"/>
      <c r="P6" s="142"/>
      <c r="Q6" s="142"/>
      <c r="R6" s="142">
        <v>13.7781140545081</v>
      </c>
      <c r="S6" s="142"/>
      <c r="T6"/>
      <c r="U6" s="142"/>
      <c r="V6" s="142"/>
      <c r="W6" s="142"/>
      <c r="X6" s="142"/>
      <c r="Y6" s="142"/>
      <c r="Z6" s="142"/>
      <c r="AA6" s="142"/>
      <c r="AB6" s="420">
        <f>AVERAGE(I6:I7,R6:R7)/1000</f>
        <v>1.6990171023836875E-2</v>
      </c>
      <c r="AC6" s="142"/>
      <c r="AE6" s="142"/>
      <c r="AF6" s="142"/>
      <c r="AG6" s="142"/>
      <c r="AH6" s="142"/>
      <c r="AI6" s="142"/>
      <c r="AJ6" s="142"/>
      <c r="AK6" s="142"/>
      <c r="AL6" s="144">
        <v>1</v>
      </c>
      <c r="AM6" s="144"/>
      <c r="AO6" s="142"/>
      <c r="AP6" s="425">
        <f>16.9901710238369/1000</f>
        <v>1.69901710238369E-2</v>
      </c>
      <c r="AQ6" s="142"/>
    </row>
    <row r="7" spans="1:43" x14ac:dyDescent="0.3">
      <c r="A7" s="141" t="s">
        <v>383</v>
      </c>
      <c r="B7" s="142"/>
      <c r="C7" s="142"/>
      <c r="D7" s="142"/>
      <c r="E7" s="142"/>
      <c r="F7" s="142"/>
      <c r="G7" s="142"/>
      <c r="H7" s="142"/>
      <c r="I7" s="142">
        <v>15.361312235706301</v>
      </c>
      <c r="J7" s="142"/>
      <c r="K7" s="142"/>
      <c r="L7" s="142"/>
      <c r="M7" s="142"/>
      <c r="N7" s="142"/>
      <c r="O7" s="142"/>
      <c r="P7" s="142"/>
      <c r="Q7" s="142"/>
      <c r="R7" s="142">
        <v>19.050712886112599</v>
      </c>
      <c r="S7" s="142"/>
      <c r="T7"/>
      <c r="U7" s="142"/>
      <c r="V7" s="142"/>
      <c r="W7" s="142"/>
      <c r="X7" s="142"/>
      <c r="Y7" s="142"/>
      <c r="Z7" s="142"/>
      <c r="AA7" s="142"/>
      <c r="AB7" s="420"/>
      <c r="AC7" s="142"/>
      <c r="AE7" s="142"/>
      <c r="AF7" s="142"/>
      <c r="AG7" s="142"/>
      <c r="AH7" s="142"/>
      <c r="AI7" s="142"/>
      <c r="AJ7" s="142"/>
      <c r="AK7" s="142"/>
      <c r="AL7" s="144">
        <v>1</v>
      </c>
      <c r="AM7" s="144"/>
      <c r="AO7" s="142"/>
      <c r="AP7" s="426"/>
      <c r="AQ7" s="142"/>
    </row>
    <row r="8" spans="1:43" x14ac:dyDescent="0.3">
      <c r="A8" s="141" t="s">
        <v>394</v>
      </c>
      <c r="B8" s="142">
        <v>4.5689575782627996</v>
      </c>
      <c r="C8" s="142">
        <v>5.0215571152418299</v>
      </c>
      <c r="D8" s="142">
        <v>4.8862109989829303</v>
      </c>
      <c r="E8" s="142">
        <v>1.23861870872166</v>
      </c>
      <c r="F8" s="142">
        <v>0.93209300502912795</v>
      </c>
      <c r="G8" s="142">
        <v>0.71866354939426802</v>
      </c>
      <c r="H8" s="142">
        <v>0.38020928776183199</v>
      </c>
      <c r="I8" s="142">
        <v>0.82284467382081405</v>
      </c>
      <c r="J8" s="142">
        <v>9.3195268175263093E-2</v>
      </c>
      <c r="K8" s="142">
        <v>5.1301846959705601</v>
      </c>
      <c r="L8" s="142">
        <v>6.1852996424925699</v>
      </c>
      <c r="M8" s="142">
        <v>6.7987715936314599</v>
      </c>
      <c r="N8" s="142">
        <v>2.5790355227867598</v>
      </c>
      <c r="O8" s="142">
        <v>1.9007093830110899</v>
      </c>
      <c r="P8" s="142">
        <v>1.13312142542214</v>
      </c>
      <c r="Q8" s="142">
        <v>0.63068286403398899</v>
      </c>
      <c r="R8" s="142">
        <v>1.1760917879074899</v>
      </c>
      <c r="S8" s="142">
        <v>0.23298721850484799</v>
      </c>
      <c r="T8"/>
      <c r="U8" s="142">
        <f t="shared" ref="U8:AC8" si="3">AVERAGE(B8,K8)/1000</f>
        <v>4.8495711371166796E-3</v>
      </c>
      <c r="V8" s="142">
        <f t="shared" si="3"/>
        <v>5.6034283788672003E-3</v>
      </c>
      <c r="W8" s="142">
        <f t="shared" si="3"/>
        <v>5.8424912963071949E-3</v>
      </c>
      <c r="X8" s="142">
        <f t="shared" si="3"/>
        <v>1.9088271157542099E-3</v>
      </c>
      <c r="Y8" s="142">
        <f t="shared" si="3"/>
        <v>1.4164011940201089E-3</v>
      </c>
      <c r="Z8" s="142">
        <f t="shared" si="3"/>
        <v>9.2589248740820396E-4</v>
      </c>
      <c r="AA8" s="142">
        <f t="shared" si="3"/>
        <v>5.0544607589791046E-4</v>
      </c>
      <c r="AB8" s="147">
        <f t="shared" si="3"/>
        <v>9.9946823086415212E-4</v>
      </c>
      <c r="AC8" s="142">
        <f t="shared" si="3"/>
        <v>1.6309124334005554E-4</v>
      </c>
      <c r="AE8" s="144">
        <v>0.14285714285714299</v>
      </c>
      <c r="AF8" s="144">
        <v>0.14285714285714299</v>
      </c>
      <c r="AG8" s="144">
        <v>0.14285714285714299</v>
      </c>
      <c r="AH8" s="144">
        <v>0.14285714285714299</v>
      </c>
      <c r="AI8" s="144">
        <v>0.14285714285714299</v>
      </c>
      <c r="AJ8" s="144">
        <v>0.14285714285714299</v>
      </c>
      <c r="AK8" s="144">
        <v>0.14285714285714299</v>
      </c>
      <c r="AL8" s="144">
        <v>0.5</v>
      </c>
      <c r="AM8" s="144">
        <v>0.5</v>
      </c>
      <c r="AO8" s="142">
        <f>U8*AE8+V8*AF8+W8*AG8+X8*AH8+Y8*AI8+Z8*AJ8+AA8*AK8</f>
        <v>3.0074368121959325E-3</v>
      </c>
      <c r="AP8" s="142">
        <v>9.994682308641519E-4</v>
      </c>
      <c r="AQ8" s="142">
        <v>1.6309124334005601E-4</v>
      </c>
    </row>
    <row r="9" spans="1:43" x14ac:dyDescent="0.3">
      <c r="A9" s="141" t="s">
        <v>378</v>
      </c>
      <c r="B9" s="142"/>
      <c r="C9" s="142"/>
      <c r="D9" s="142"/>
      <c r="E9" s="142"/>
      <c r="F9" s="142"/>
      <c r="G9" s="142"/>
      <c r="H9" s="142"/>
      <c r="I9" s="142">
        <v>2.4794279532609199E-2</v>
      </c>
      <c r="J9" s="142">
        <v>2.7410972991307402E-3</v>
      </c>
      <c r="K9" s="142"/>
      <c r="L9" s="142"/>
      <c r="M9" s="142"/>
      <c r="N9" s="142"/>
      <c r="O9" s="142"/>
      <c r="P9" s="142"/>
      <c r="Q9" s="142"/>
      <c r="R9" s="142">
        <v>7.8994021766957204E-2</v>
      </c>
      <c r="S9" s="142">
        <v>1.07489963578014E-2</v>
      </c>
      <c r="T9"/>
      <c r="U9" s="142"/>
      <c r="V9" s="142"/>
      <c r="W9" s="142"/>
      <c r="X9" s="142"/>
      <c r="Y9" s="142"/>
      <c r="Z9" s="142"/>
      <c r="AA9" s="142"/>
      <c r="AB9" s="142">
        <f>AVERAGE(I9,R9)/1000</f>
        <v>5.1894150649783197E-5</v>
      </c>
      <c r="AC9" s="142">
        <f>AVERAGE(J9,S9)/1000</f>
        <v>6.7450468284660704E-6</v>
      </c>
      <c r="AE9" s="142"/>
      <c r="AF9" s="142"/>
      <c r="AG9" s="142"/>
      <c r="AH9" s="142"/>
      <c r="AI9" s="142"/>
      <c r="AJ9" s="142"/>
      <c r="AK9" s="142"/>
      <c r="AL9" s="144">
        <v>0.5</v>
      </c>
      <c r="AM9" s="144">
        <v>0.5</v>
      </c>
      <c r="AO9" s="142"/>
      <c r="AP9" s="142">
        <v>5.1894150649783197E-5</v>
      </c>
      <c r="AQ9" s="142">
        <v>6.7450468284660704E-6</v>
      </c>
    </row>
    <row r="10" spans="1:43" x14ac:dyDescent="0.3">
      <c r="A10" s="141" t="s">
        <v>20</v>
      </c>
      <c r="B10" s="142"/>
      <c r="C10" s="142"/>
      <c r="D10" s="142"/>
      <c r="E10" s="142"/>
      <c r="F10" s="142"/>
      <c r="G10" s="142"/>
      <c r="H10" s="142"/>
      <c r="I10" s="142">
        <v>4.7300870667261997E-2</v>
      </c>
      <c r="J10" s="142">
        <v>4.5824156175969296E-3</v>
      </c>
      <c r="K10" s="142"/>
      <c r="L10" s="142"/>
      <c r="M10" s="142"/>
      <c r="N10" s="142"/>
      <c r="O10" s="142"/>
      <c r="P10" s="142"/>
      <c r="Q10" s="142"/>
      <c r="R10" s="142">
        <v>9.0539325518139799E-2</v>
      </c>
      <c r="S10" s="142">
        <v>1.4408012156304301E-2</v>
      </c>
      <c r="T10"/>
      <c r="U10" s="142"/>
      <c r="V10" s="142"/>
      <c r="W10" s="142"/>
      <c r="X10" s="142"/>
      <c r="Y10" s="142"/>
      <c r="Z10" s="142"/>
      <c r="AA10" s="142"/>
      <c r="AB10" s="142">
        <f>AVERAGE(I10,R10)/1000</f>
        <v>6.8920098092700897E-5</v>
      </c>
      <c r="AC10" s="142">
        <f>AVERAGE(J10,S10)/1000</f>
        <v>9.4952138869506157E-6</v>
      </c>
      <c r="AE10" s="142"/>
      <c r="AF10" s="142"/>
      <c r="AG10" s="142"/>
      <c r="AH10" s="142"/>
      <c r="AI10" s="142"/>
      <c r="AJ10" s="142"/>
      <c r="AK10" s="142"/>
      <c r="AL10" s="144">
        <v>0.5</v>
      </c>
      <c r="AM10" s="144">
        <v>0.5</v>
      </c>
      <c r="AO10" s="142"/>
      <c r="AP10" s="142">
        <v>6.8920098092700897E-5</v>
      </c>
      <c r="AQ10" s="142">
        <v>9.4952138869506157E-6</v>
      </c>
    </row>
    <row r="11" spans="1:43" x14ac:dyDescent="0.3">
      <c r="A11" s="141" t="s">
        <v>379</v>
      </c>
      <c r="B11" s="142"/>
      <c r="C11" s="142"/>
      <c r="D11" s="142"/>
      <c r="E11" s="142"/>
      <c r="F11" s="142"/>
      <c r="G11" s="142"/>
      <c r="H11" s="142"/>
      <c r="I11" s="142">
        <v>8.0529920769491301E-4</v>
      </c>
      <c r="J11" s="142"/>
      <c r="K11" s="142"/>
      <c r="L11" s="142"/>
      <c r="M11" s="142"/>
      <c r="N11" s="142"/>
      <c r="O11" s="142"/>
      <c r="P11" s="142"/>
      <c r="Q11" s="142"/>
      <c r="R11" s="142">
        <v>2.6432151641653202E-3</v>
      </c>
      <c r="S11" s="142"/>
      <c r="T11"/>
      <c r="U11" s="142"/>
      <c r="V11" s="142"/>
      <c r="W11" s="142"/>
      <c r="X11" s="142"/>
      <c r="Y11" s="142"/>
      <c r="Z11" s="142"/>
      <c r="AA11" s="142"/>
      <c r="AB11" s="142">
        <f>AVERAGE(I11,R11)/1000</f>
        <v>1.7242571859301167E-6</v>
      </c>
      <c r="AC11" s="142"/>
      <c r="AE11" s="142"/>
      <c r="AF11" s="142"/>
      <c r="AG11" s="142"/>
      <c r="AH11" s="142"/>
      <c r="AI11" s="142"/>
      <c r="AJ11" s="142"/>
      <c r="AK11" s="142"/>
      <c r="AL11" s="144">
        <v>1</v>
      </c>
      <c r="AM11" s="144"/>
      <c r="AO11" s="142"/>
      <c r="AP11" s="146">
        <v>1.7242571859301167E-6</v>
      </c>
      <c r="AQ11" s="142"/>
    </row>
    <row r="12" spans="1:43" x14ac:dyDescent="0.3">
      <c r="A12" s="141" t="s">
        <v>384</v>
      </c>
      <c r="B12" s="142"/>
      <c r="C12" s="142"/>
      <c r="D12" s="142"/>
      <c r="E12" s="142"/>
      <c r="F12" s="142"/>
      <c r="G12" s="142"/>
      <c r="H12" s="142"/>
      <c r="I12" s="142">
        <v>2.4798978191580001E-2</v>
      </c>
      <c r="J12" s="142"/>
      <c r="K12" s="142"/>
      <c r="L12" s="142"/>
      <c r="M12" s="142"/>
      <c r="N12" s="142"/>
      <c r="O12" s="142"/>
      <c r="P12" s="142"/>
      <c r="Q12" s="142"/>
      <c r="R12" s="142">
        <v>3.7330554715088601E-2</v>
      </c>
      <c r="S12" s="142"/>
      <c r="T12"/>
      <c r="U12" s="142"/>
      <c r="V12" s="142"/>
      <c r="W12" s="142"/>
      <c r="X12" s="142"/>
      <c r="Y12" s="142"/>
      <c r="Z12" s="142"/>
      <c r="AA12" s="142"/>
      <c r="AB12" s="147">
        <f>AVERAGE(I12,R12)/1000</f>
        <v>3.1064766453334298E-5</v>
      </c>
      <c r="AC12" s="142"/>
      <c r="AE12" s="142"/>
      <c r="AF12" s="142"/>
      <c r="AG12" s="142"/>
      <c r="AH12" s="142"/>
      <c r="AI12" s="142"/>
      <c r="AJ12" s="142"/>
      <c r="AK12" s="142"/>
      <c r="AL12" s="144">
        <v>1</v>
      </c>
      <c r="AM12" s="144"/>
      <c r="AO12" s="142"/>
      <c r="AP12" s="142">
        <v>3.1064766453334298E-5</v>
      </c>
      <c r="AQ12" s="142"/>
    </row>
    <row r="13" spans="1:43" x14ac:dyDescent="0.3">
      <c r="B13" s="5"/>
      <c r="C13" s="5"/>
      <c r="D13" s="5"/>
      <c r="E13" s="5"/>
      <c r="F13" s="5"/>
      <c r="G13" s="5"/>
      <c r="H13" s="5"/>
      <c r="I13" s="5"/>
      <c r="J13" s="5"/>
      <c r="U13" s="124"/>
      <c r="V13" s="124"/>
      <c r="W13" s="124"/>
      <c r="X13" s="124"/>
      <c r="Y13" s="124"/>
      <c r="AA13" s="124"/>
      <c r="AC13" s="124"/>
    </row>
    <row r="14" spans="1:43" x14ac:dyDescent="0.3">
      <c r="B14" s="5"/>
      <c r="C14" s="5"/>
      <c r="D14" s="5"/>
      <c r="E14" s="5"/>
      <c r="F14" s="5"/>
      <c r="G14" s="5"/>
      <c r="H14" s="5"/>
      <c r="I14" s="5"/>
      <c r="J14" s="5"/>
    </row>
    <row r="15" spans="1:43" x14ac:dyDescent="0.3">
      <c r="B15" s="5"/>
      <c r="C15" s="5"/>
      <c r="D15" s="5"/>
      <c r="E15" s="5"/>
      <c r="F15" s="5"/>
      <c r="G15" s="5"/>
      <c r="H15" s="5"/>
      <c r="I15" s="5"/>
      <c r="J15" s="5"/>
    </row>
    <row r="16" spans="1:43" x14ac:dyDescent="0.3">
      <c r="AA16" s="124"/>
    </row>
    <row r="17" spans="7:27" x14ac:dyDescent="0.3">
      <c r="AA17" s="124"/>
    </row>
    <row r="18" spans="7:27" x14ac:dyDescent="0.3">
      <c r="AA18" s="124"/>
    </row>
    <row r="19" spans="7:27" x14ac:dyDescent="0.3">
      <c r="G19" s="124"/>
      <c r="P19" s="124"/>
      <c r="AA19" s="419"/>
    </row>
    <row r="20" spans="7:27" x14ac:dyDescent="0.3">
      <c r="G20" s="126"/>
      <c r="P20" s="126"/>
      <c r="AA20" s="419"/>
    </row>
    <row r="21" spans="7:27" x14ac:dyDescent="0.3">
      <c r="G21" s="127"/>
      <c r="P21" s="127"/>
      <c r="Z21" s="145"/>
      <c r="AA21" s="124"/>
    </row>
    <row r="22" spans="7:27" x14ac:dyDescent="0.3">
      <c r="G22" s="5"/>
      <c r="AA22" s="124"/>
    </row>
    <row r="23" spans="7:27" x14ac:dyDescent="0.3">
      <c r="G23" s="5"/>
      <c r="Z23" s="145"/>
      <c r="AA23" s="124"/>
    </row>
    <row r="24" spans="7:27" x14ac:dyDescent="0.3">
      <c r="K24"/>
      <c r="L24"/>
      <c r="M24"/>
      <c r="N24"/>
      <c r="O24"/>
      <c r="P24"/>
      <c r="Q24"/>
      <c r="R24"/>
      <c r="S24"/>
      <c r="T24"/>
    </row>
    <row r="25" spans="7:27" x14ac:dyDescent="0.3">
      <c r="K25"/>
      <c r="L25"/>
      <c r="M25"/>
      <c r="N25"/>
      <c r="O25"/>
      <c r="P25"/>
      <c r="Q25"/>
      <c r="R25"/>
      <c r="S25"/>
      <c r="T25"/>
    </row>
    <row r="26" spans="7:27" x14ac:dyDescent="0.3">
      <c r="K26"/>
      <c r="L26"/>
      <c r="M26"/>
      <c r="N26"/>
      <c r="O26"/>
      <c r="P26"/>
      <c r="Q26"/>
      <c r="R26"/>
      <c r="S26"/>
      <c r="T26"/>
    </row>
    <row r="27" spans="7:27" x14ac:dyDescent="0.3">
      <c r="K27"/>
      <c r="L27"/>
      <c r="M27"/>
      <c r="N27"/>
      <c r="O27"/>
      <c r="P27"/>
      <c r="Q27"/>
      <c r="R27"/>
      <c r="S27"/>
      <c r="T27"/>
    </row>
    <row r="28" spans="7:27" x14ac:dyDescent="0.3">
      <c r="K28"/>
      <c r="L28"/>
      <c r="M28"/>
      <c r="N28"/>
      <c r="O28"/>
      <c r="P28"/>
      <c r="Q28"/>
      <c r="R28"/>
      <c r="S28"/>
      <c r="T28"/>
    </row>
    <row r="29" spans="7:27" x14ac:dyDescent="0.3">
      <c r="K29"/>
      <c r="L29"/>
      <c r="M29"/>
      <c r="N29"/>
      <c r="O29"/>
      <c r="P29"/>
      <c r="Q29"/>
      <c r="R29"/>
      <c r="S29"/>
      <c r="T29"/>
    </row>
    <row r="33" spans="25:25" ht="14.5" x14ac:dyDescent="0.35">
      <c r="Y33" s="3" t="s">
        <v>366</v>
      </c>
    </row>
    <row r="34" spans="25:25" ht="14.5" x14ac:dyDescent="0.35">
      <c r="Y34" s="3"/>
    </row>
    <row r="35" spans="25:25" ht="14.5" x14ac:dyDescent="0.35">
      <c r="Y35" s="3" t="s">
        <v>367</v>
      </c>
    </row>
    <row r="36" spans="25:25" ht="14.5" x14ac:dyDescent="0.35">
      <c r="Y36" s="3" t="s">
        <v>368</v>
      </c>
    </row>
    <row r="37" spans="25:25" ht="14.5" x14ac:dyDescent="0.35">
      <c r="Y37" s="3" t="s">
        <v>369</v>
      </c>
    </row>
    <row r="38" spans="25:25" ht="14.5" x14ac:dyDescent="0.35">
      <c r="Y38" s="3" t="s">
        <v>370</v>
      </c>
    </row>
    <row r="39" spans="25:25" ht="14.5" x14ac:dyDescent="0.35">
      <c r="Y39" s="3" t="s">
        <v>371</v>
      </c>
    </row>
    <row r="40" spans="25:25" ht="14.5" x14ac:dyDescent="0.35">
      <c r="Y40" s="3" t="s">
        <v>372</v>
      </c>
    </row>
    <row r="41" spans="25:25" ht="14.5" x14ac:dyDescent="0.35">
      <c r="Y41" s="3" t="s">
        <v>373</v>
      </c>
    </row>
    <row r="42" spans="25:25" ht="14.5" x14ac:dyDescent="0.35">
      <c r="Y42" s="3" t="s">
        <v>374</v>
      </c>
    </row>
    <row r="43" spans="25:25" ht="14.5" x14ac:dyDescent="0.35">
      <c r="Y43" s="3" t="s">
        <v>375</v>
      </c>
    </row>
  </sheetData>
  <mergeCells count="9">
    <mergeCell ref="A1:A2"/>
    <mergeCell ref="B1:J1"/>
    <mergeCell ref="K1:S1"/>
    <mergeCell ref="AE1:AM1"/>
    <mergeCell ref="AA19:AA20"/>
    <mergeCell ref="AB6:AB7"/>
    <mergeCell ref="AO1:AQ1"/>
    <mergeCell ref="U1:AC1"/>
    <mergeCell ref="AP6:AP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MobileCall</vt:lpstr>
      <vt:lpstr>MobileData</vt:lpstr>
      <vt:lpstr>Cordless</vt:lpstr>
      <vt:lpstr>Laptop</vt:lpstr>
      <vt:lpstr>Tablet</vt:lpstr>
      <vt:lpstr>Farfield</vt:lpstr>
      <vt:lpstr>Wifi</vt:lpstr>
      <vt:lpstr>Other</vt:lpstr>
      <vt:lpstr>Total dose</vt:lpstr>
      <vt:lpstr>Comparing</vt:lpstr>
      <vt:lpstr>Sheet2</vt:lpstr>
      <vt:lpstr>SAR</vt:lpstr>
      <vt:lpstr>SAR_brain</vt:lpstr>
    </vt:vector>
  </TitlesOfParts>
  <Company>Swiss TPH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Röösli</dc:creator>
  <cp:lastModifiedBy>Nicolas Loizeau</cp:lastModifiedBy>
  <dcterms:created xsi:type="dcterms:W3CDTF">2023-11-08T15:00:07Z</dcterms:created>
  <dcterms:modified xsi:type="dcterms:W3CDTF">2026-08-10T12:45:27Z</dcterms:modified>
</cp:coreProperties>
</file>