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drawings/drawing3.xml" ContentType="application/vnd.openxmlformats-officedocument.drawing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drawings/drawing4.xml" ContentType="application/vnd.openxmlformats-officedocument.drawing+xml"/>
  <Override PartName="/xl/ink/ink39.xml" ContentType="application/inkml+xml"/>
  <Override PartName="/xl/ink/ink40.xml" ContentType="application/inkml+xml"/>
  <Override PartName="/xl/ink/ink41.xml" ContentType="application/inkml+xml"/>
  <Override PartName="/xl/drawings/drawing5.xml" ContentType="application/vnd.openxmlformats-officedocument.drawing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drawings/drawing6.xml" ContentType="application/vnd.openxmlformats-officedocument.drawing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drawings/drawing7.xml" ContentType="application/vnd.openxmlformats-officedocument.drawing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drawings/drawing8.xml" ContentType="application/vnd.openxmlformats-officedocument.drawing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drawings/drawing9.xml" ContentType="application/vnd.openxmlformats-officedocument.drawing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drawings/drawing10.xml" ContentType="application/vnd.openxmlformats-officedocument.drawing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wo20_ic_ac_uk/Documents/uni/FYP-DESKTOP-27I1PBE/FYP--WIsdom/Disha Redo/Watch Sensor/Serve_9_Tom/"/>
    </mc:Choice>
  </mc:AlternateContent>
  <xr:revisionPtr revIDLastSave="1761" documentId="13_ncr:1_{CFF72DD6-F288-464E-B0A0-D61FEFA4238D}" xr6:coauthVersionLast="47" xr6:coauthVersionMax="47" xr10:uidLastSave="{4CD5B7F2-90C5-B345-9BFF-ED4823BC21F9}"/>
  <bookViews>
    <workbookView xWindow="0" yWindow="760" windowWidth="34560" windowHeight="20340" xr2:uid="{80774220-5D80-9448-8675-650A85801FBE}"/>
  </bookViews>
  <sheets>
    <sheet name="Performance Map" sheetId="1" r:id="rId1"/>
    <sheet name="Gear Ratio and forces" sheetId="2" r:id="rId2"/>
    <sheet name="Prelim Gear Calcs. &amp; Bearings" sheetId="6" r:id="rId3"/>
    <sheet name="Graphs for prelim" sheetId="4" r:id="rId4"/>
    <sheet name="Gear Speed 1" sheetId="7" state="hidden" r:id="rId5"/>
    <sheet name="Gear Speed 2" sheetId="13" state="hidden" r:id="rId6"/>
    <sheet name="Gear Speed 3" sheetId="11" state="hidden" r:id="rId7"/>
    <sheet name="Gear Speed 4" sheetId="14" state="hidden" r:id="rId8"/>
    <sheet name="Gear Speed 5" sheetId="12" state="hidden" r:id="rId9"/>
    <sheet name="Reverse" sheetId="17" state="hidden" r:id="rId10"/>
    <sheet name="FDR" sheetId="15" r:id="rId11"/>
    <sheet name="Bearings" sheetId="16" r:id="rId12"/>
    <sheet name="Sheet3" sheetId="5" state="hidden" r:id="rId13"/>
    <sheet name="Prelim Calcs old" sheetId="3" state="hidden" r:id="rId14"/>
  </sheets>
  <externalReferences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16" l="1"/>
  <c r="G105" i="16"/>
  <c r="H105" i="16"/>
  <c r="I105" i="16"/>
  <c r="E105" i="16"/>
  <c r="F104" i="16"/>
  <c r="G104" i="16"/>
  <c r="H104" i="16"/>
  <c r="I104" i="16"/>
  <c r="E104" i="16"/>
  <c r="F103" i="16"/>
  <c r="G103" i="16"/>
  <c r="H103" i="16"/>
  <c r="I103" i="16"/>
  <c r="E103" i="16"/>
  <c r="F102" i="16"/>
  <c r="G102" i="16"/>
  <c r="H102" i="16"/>
  <c r="I102" i="16"/>
  <c r="E102" i="16"/>
  <c r="F101" i="16"/>
  <c r="G101" i="16"/>
  <c r="H101" i="16"/>
  <c r="I101" i="16"/>
  <c r="E101" i="16"/>
  <c r="R75" i="6"/>
  <c r="R76" i="6"/>
  <c r="R77" i="6"/>
  <c r="F100" i="16"/>
  <c r="G100" i="16"/>
  <c r="H100" i="16"/>
  <c r="I100" i="16"/>
  <c r="E100" i="16"/>
  <c r="R74" i="6"/>
  <c r="R73" i="6"/>
  <c r="R72" i="6"/>
  <c r="Q73" i="6"/>
  <c r="Q74" i="6"/>
  <c r="Q75" i="6"/>
  <c r="Q76" i="6"/>
  <c r="Q77" i="6"/>
  <c r="F95" i="16"/>
  <c r="G95" i="16"/>
  <c r="H95" i="16"/>
  <c r="I95" i="16"/>
  <c r="E95" i="16"/>
  <c r="Q72" i="6"/>
  <c r="F93" i="16"/>
  <c r="G93" i="16"/>
  <c r="H93" i="16"/>
  <c r="I93" i="16"/>
  <c r="E93" i="16"/>
  <c r="F91" i="16"/>
  <c r="G91" i="16"/>
  <c r="H91" i="16"/>
  <c r="I91" i="16"/>
  <c r="E91" i="16"/>
  <c r="F90" i="16"/>
  <c r="G90" i="16"/>
  <c r="H90" i="16"/>
  <c r="I90" i="16"/>
  <c r="E90" i="16"/>
  <c r="F92" i="16"/>
  <c r="G92" i="16"/>
  <c r="H92" i="16"/>
  <c r="I92" i="16"/>
  <c r="K77" i="6"/>
  <c r="L77" i="6"/>
  <c r="M77" i="6"/>
  <c r="N77" i="6"/>
  <c r="O77" i="6"/>
  <c r="J77" i="6"/>
  <c r="K76" i="6"/>
  <c r="L76" i="6"/>
  <c r="M76" i="6"/>
  <c r="N76" i="6"/>
  <c r="O76" i="6"/>
  <c r="J76" i="6"/>
  <c r="F89" i="16"/>
  <c r="G89" i="16"/>
  <c r="H89" i="16"/>
  <c r="I89" i="16"/>
  <c r="K75" i="6"/>
  <c r="L75" i="6"/>
  <c r="M75" i="6"/>
  <c r="N75" i="6"/>
  <c r="O75" i="6"/>
  <c r="E89" i="16"/>
  <c r="F12" i="6"/>
  <c r="J75" i="6"/>
  <c r="K74" i="6"/>
  <c r="L74" i="6"/>
  <c r="M74" i="6"/>
  <c r="N74" i="6"/>
  <c r="O74" i="6"/>
  <c r="J74" i="6"/>
  <c r="F87" i="16"/>
  <c r="G87" i="16"/>
  <c r="H87" i="16"/>
  <c r="I87" i="16"/>
  <c r="E87" i="16"/>
  <c r="R115" i="6"/>
  <c r="R114" i="6"/>
  <c r="AA115" i="6"/>
  <c r="Y115" i="6"/>
  <c r="S111" i="6"/>
  <c r="T111" i="6" s="1"/>
  <c r="U111" i="6" s="1"/>
  <c r="AF115" i="6" s="1"/>
  <c r="K111" i="6"/>
  <c r="J111" i="6"/>
  <c r="AA112" i="6"/>
  <c r="Y112" i="6"/>
  <c r="O108" i="6"/>
  <c r="K108" i="6"/>
  <c r="J108" i="6"/>
  <c r="L108" i="6" s="1"/>
  <c r="N73" i="6"/>
  <c r="O73" i="6"/>
  <c r="M73" i="6"/>
  <c r="L73" i="6"/>
  <c r="K73" i="6"/>
  <c r="J73" i="6"/>
  <c r="O72" i="6"/>
  <c r="N72" i="6"/>
  <c r="M72" i="6"/>
  <c r="L72" i="6"/>
  <c r="K72" i="6"/>
  <c r="T35" i="16"/>
  <c r="T34" i="16"/>
  <c r="AE31" i="16"/>
  <c r="AC31" i="16"/>
  <c r="U31" i="16"/>
  <c r="AH31" i="16" s="1"/>
  <c r="M31" i="16"/>
  <c r="L31" i="16"/>
  <c r="AE28" i="16"/>
  <c r="AC28" i="16"/>
  <c r="U28" i="16"/>
  <c r="AH28" i="16" s="1"/>
  <c r="Q28" i="16"/>
  <c r="N28" i="16"/>
  <c r="M28" i="16"/>
  <c r="L28" i="16"/>
  <c r="G18" i="16"/>
  <c r="G32" i="16"/>
  <c r="G25" i="16"/>
  <c r="K57" i="17"/>
  <c r="K53" i="17"/>
  <c r="E32" i="17"/>
  <c r="E31" i="17"/>
  <c r="K30" i="17"/>
  <c r="F30" i="17"/>
  <c r="E30" i="17"/>
  <c r="E29" i="17"/>
  <c r="F29" i="17" s="1"/>
  <c r="G28" i="17" a="1"/>
  <c r="G28" i="17" s="1"/>
  <c r="F28" i="17"/>
  <c r="E28" i="17"/>
  <c r="K27" i="17" a="1"/>
  <c r="K27" i="17" s="1"/>
  <c r="K25" i="17"/>
  <c r="E25" i="17"/>
  <c r="E24" i="17"/>
  <c r="K22" i="17"/>
  <c r="K15" i="17"/>
  <c r="E12" i="17"/>
  <c r="K42" i="17" s="1"/>
  <c r="B5" i="17"/>
  <c r="B12" i="17" s="1"/>
  <c r="B4" i="17"/>
  <c r="L55" i="14"/>
  <c r="L54" i="14"/>
  <c r="N9" i="7"/>
  <c r="N6" i="7"/>
  <c r="R5" i="15"/>
  <c r="R14" i="15" s="1"/>
  <c r="O6" i="14"/>
  <c r="O15" i="14" s="1"/>
  <c r="O6" i="13"/>
  <c r="O15" i="13" s="1"/>
  <c r="N15" i="7"/>
  <c r="N12" i="7"/>
  <c r="O29" i="15"/>
  <c r="O39" i="15" s="1"/>
  <c r="L29" i="15"/>
  <c r="L60" i="15"/>
  <c r="L61" i="15" s="1"/>
  <c r="L59" i="15"/>
  <c r="O58" i="15"/>
  <c r="L58" i="15"/>
  <c r="L56" i="15"/>
  <c r="L52" i="15"/>
  <c r="L42" i="15"/>
  <c r="L43" i="15" s="1"/>
  <c r="O41" i="15"/>
  <c r="L41" i="15"/>
  <c r="L10" i="15" s="1"/>
  <c r="O26" i="15" a="1"/>
  <c r="O26" i="15" s="1"/>
  <c r="O27" i="15" s="1"/>
  <c r="L26" i="15"/>
  <c r="L27" i="15" s="1"/>
  <c r="L26" i="15" a="1"/>
  <c r="O24" i="15"/>
  <c r="L24" i="15"/>
  <c r="O21" i="15"/>
  <c r="O31" i="15" s="1"/>
  <c r="L21" i="15"/>
  <c r="L31" i="15" s="1"/>
  <c r="L14" i="15"/>
  <c r="O10" i="15"/>
  <c r="O9" i="15"/>
  <c r="O14" i="15" s="1"/>
  <c r="O8" i="15"/>
  <c r="E32" i="15"/>
  <c r="E31" i="15"/>
  <c r="E30" i="15"/>
  <c r="F30" i="15" s="1"/>
  <c r="E29" i="15"/>
  <c r="F29" i="15" s="1"/>
  <c r="E28" i="15"/>
  <c r="G28" i="15" s="1" a="1"/>
  <c r="G28" i="15" s="1"/>
  <c r="E25" i="15"/>
  <c r="E24" i="15"/>
  <c r="E12" i="15"/>
  <c r="B5" i="15"/>
  <c r="B12" i="15" s="1"/>
  <c r="B4" i="15"/>
  <c r="K30" i="12"/>
  <c r="K60" i="12"/>
  <c r="K61" i="12" s="1"/>
  <c r="K62" i="12" s="1"/>
  <c r="K59" i="12"/>
  <c r="K53" i="12"/>
  <c r="K57" i="12" s="1"/>
  <c r="K43" i="12"/>
  <c r="K12" i="12" s="1"/>
  <c r="K42" i="12"/>
  <c r="K55" i="12" s="1"/>
  <c r="K27" i="12"/>
  <c r="K28" i="12" s="1"/>
  <c r="K27" i="12" a="1"/>
  <c r="K25" i="12"/>
  <c r="K22" i="12"/>
  <c r="K15" i="12"/>
  <c r="K11" i="12"/>
  <c r="L59" i="14"/>
  <c r="L42" i="14"/>
  <c r="L30" i="14"/>
  <c r="L40" i="14" s="1"/>
  <c r="L27" i="14"/>
  <c r="L28" i="14" s="1"/>
  <c r="L27" i="14" a="1"/>
  <c r="L25" i="14"/>
  <c r="L22" i="14"/>
  <c r="L15" i="14"/>
  <c r="L11" i="14"/>
  <c r="B4" i="14"/>
  <c r="B5" i="14"/>
  <c r="B12" i="14"/>
  <c r="E12" i="14"/>
  <c r="E24" i="14"/>
  <c r="E25" i="14"/>
  <c r="E28" i="14"/>
  <c r="F28" i="14"/>
  <c r="G28" i="14" a="1"/>
  <c r="G28" i="14" s="1"/>
  <c r="E29" i="14"/>
  <c r="F29" i="14"/>
  <c r="E30" i="14"/>
  <c r="F30" i="14"/>
  <c r="E31" i="14"/>
  <c r="E32" i="14"/>
  <c r="L60" i="11"/>
  <c r="L61" i="11" s="1"/>
  <c r="L62" i="11" s="1"/>
  <c r="L59" i="11"/>
  <c r="L53" i="11"/>
  <c r="L57" i="11" s="1"/>
  <c r="L42" i="11"/>
  <c r="L55" i="11" s="1"/>
  <c r="L40" i="11"/>
  <c r="L43" i="11" s="1"/>
  <c r="L44" i="11" s="1"/>
  <c r="L27" i="11" a="1"/>
  <c r="L27" i="11" s="1"/>
  <c r="L25" i="11"/>
  <c r="L22" i="11"/>
  <c r="L15" i="11"/>
  <c r="L60" i="13"/>
  <c r="L61" i="13" s="1"/>
  <c r="L62" i="13" s="1"/>
  <c r="L59" i="13"/>
  <c r="L53" i="13"/>
  <c r="L57" i="13" s="1"/>
  <c r="L43" i="13"/>
  <c r="L12" i="13" s="1"/>
  <c r="L42" i="13"/>
  <c r="L40" i="13"/>
  <c r="L27" i="13" a="1"/>
  <c r="L27" i="13" s="1"/>
  <c r="L28" i="13" s="1"/>
  <c r="L26" i="13"/>
  <c r="L25" i="13"/>
  <c r="L22" i="13"/>
  <c r="L32" i="13" s="1"/>
  <c r="L15" i="13"/>
  <c r="E32" i="12"/>
  <c r="E31" i="12"/>
  <c r="E30" i="12"/>
  <c r="F30" i="12" s="1"/>
  <c r="E29" i="12"/>
  <c r="F29" i="12" s="1"/>
  <c r="G28" i="12" a="1"/>
  <c r="G28" i="12" s="1"/>
  <c r="E28" i="12"/>
  <c r="F28" i="12" s="1"/>
  <c r="E25" i="12"/>
  <c r="E24" i="12"/>
  <c r="E12" i="12"/>
  <c r="B5" i="12"/>
  <c r="B12" i="12" s="1"/>
  <c r="B4" i="12"/>
  <c r="E32" i="13"/>
  <c r="E31" i="13"/>
  <c r="E30" i="13"/>
  <c r="F30" i="13" s="1"/>
  <c r="E29" i="13"/>
  <c r="F29" i="13" s="1"/>
  <c r="G28" i="13" a="1"/>
  <c r="G28" i="13" s="1"/>
  <c r="F28" i="13"/>
  <c r="E28" i="13"/>
  <c r="E25" i="13"/>
  <c r="E24" i="13"/>
  <c r="E12" i="13"/>
  <c r="B5" i="13"/>
  <c r="B12" i="13" s="1"/>
  <c r="B4" i="13"/>
  <c r="E32" i="11"/>
  <c r="E31" i="11"/>
  <c r="F30" i="11"/>
  <c r="E30" i="11"/>
  <c r="E29" i="11"/>
  <c r="F29" i="11" s="1"/>
  <c r="G28" i="11" a="1"/>
  <c r="G28" i="11" s="1"/>
  <c r="E28" i="11"/>
  <c r="F28" i="11" s="1"/>
  <c r="E25" i="11"/>
  <c r="E24" i="11"/>
  <c r="E12" i="11"/>
  <c r="B5" i="11"/>
  <c r="B12" i="11" s="1"/>
  <c r="B4" i="11"/>
  <c r="K60" i="7"/>
  <c r="K61" i="7" s="1"/>
  <c r="K62" i="7" s="1"/>
  <c r="K59" i="7"/>
  <c r="K53" i="7"/>
  <c r="K57" i="7" s="1"/>
  <c r="K43" i="7"/>
  <c r="K12" i="7" s="1"/>
  <c r="K42" i="7"/>
  <c r="K26" i="7"/>
  <c r="K27" i="7" s="1" a="1"/>
  <c r="K27" i="7" s="1"/>
  <c r="K28" i="7" s="1"/>
  <c r="K25" i="7"/>
  <c r="K15" i="7"/>
  <c r="K11" i="7"/>
  <c r="K9" i="7"/>
  <c r="K22" i="7" s="1"/>
  <c r="E32" i="7"/>
  <c r="E31" i="7"/>
  <c r="E30" i="7"/>
  <c r="F30" i="7" s="1"/>
  <c r="E29" i="7"/>
  <c r="F29" i="7" s="1"/>
  <c r="G28" i="7" a="1"/>
  <c r="G28" i="7" s="1"/>
  <c r="E28" i="7"/>
  <c r="F28" i="7" s="1"/>
  <c r="E25" i="7"/>
  <c r="E24" i="7"/>
  <c r="E12" i="7"/>
  <c r="B5" i="7"/>
  <c r="B12" i="7" s="1"/>
  <c r="B4" i="7"/>
  <c r="N40" i="6"/>
  <c r="N53" i="6" s="1"/>
  <c r="N57" i="6" s="1"/>
  <c r="Q40" i="6"/>
  <c r="Q53" i="6" s="1"/>
  <c r="Q57" i="6" s="1"/>
  <c r="Z30" i="6"/>
  <c r="Z40" i="6" s="1"/>
  <c r="Z60" i="6" s="1"/>
  <c r="Z27" i="6" a="1"/>
  <c r="Z27" i="6" s="1"/>
  <c r="Z25" i="6"/>
  <c r="W53" i="6"/>
  <c r="W57" i="6" s="1"/>
  <c r="T27" i="6" a="1"/>
  <c r="T27" i="6" s="1"/>
  <c r="E12" i="6"/>
  <c r="K60" i="6" s="1"/>
  <c r="E92" i="16" l="1"/>
  <c r="AD115" i="6"/>
  <c r="S108" i="6"/>
  <c r="W60" i="6"/>
  <c r="Z53" i="6"/>
  <c r="Q59" i="6"/>
  <c r="Z42" i="6"/>
  <c r="Z43" i="6"/>
  <c r="Z59" i="6"/>
  <c r="Z61" i="6" s="1"/>
  <c r="Z62" i="6" s="1"/>
  <c r="T59" i="6"/>
  <c r="W59" i="6"/>
  <c r="Q60" i="6"/>
  <c r="V31" i="16"/>
  <c r="W31" i="16" s="1"/>
  <c r="AJ31" i="16" s="1"/>
  <c r="V28" i="16"/>
  <c r="W28" i="16" s="1"/>
  <c r="AJ28" i="16" s="1"/>
  <c r="K11" i="17"/>
  <c r="K28" i="17"/>
  <c r="K59" i="17"/>
  <c r="K60" i="17"/>
  <c r="K61" i="17" s="1"/>
  <c r="K62" i="17" s="1"/>
  <c r="K43" i="17"/>
  <c r="K12" i="17" s="1"/>
  <c r="K32" i="17"/>
  <c r="L53" i="15"/>
  <c r="L11" i="15"/>
  <c r="L54" i="15"/>
  <c r="K44" i="12"/>
  <c r="N6" i="12"/>
  <c r="N15" i="12" s="1"/>
  <c r="K54" i="12"/>
  <c r="O6" i="11"/>
  <c r="O15" i="11" s="1"/>
  <c r="L11" i="11"/>
  <c r="L54" i="11"/>
  <c r="R11" i="15"/>
  <c r="R8" i="15"/>
  <c r="N12" i="12"/>
  <c r="N9" i="12"/>
  <c r="O9" i="14"/>
  <c r="O12" i="14"/>
  <c r="O9" i="11"/>
  <c r="O12" i="11"/>
  <c r="O9" i="13"/>
  <c r="O12" i="13"/>
  <c r="O32" i="15"/>
  <c r="O52" i="15"/>
  <c r="O56" i="15" s="1"/>
  <c r="O59" i="15"/>
  <c r="O60" i="15" s="1"/>
  <c r="O61" i="15" s="1"/>
  <c r="O42" i="15"/>
  <c r="O54" i="15"/>
  <c r="L32" i="15"/>
  <c r="L33" i="15"/>
  <c r="L35" i="15" s="1"/>
  <c r="L36" i="15" s="1"/>
  <c r="O33" i="15"/>
  <c r="O35" i="15" s="1"/>
  <c r="O36" i="15" s="1"/>
  <c r="O53" i="15"/>
  <c r="F28" i="15"/>
  <c r="K32" i="12"/>
  <c r="L60" i="14"/>
  <c r="L61" i="14" s="1"/>
  <c r="L62" i="14" s="1"/>
  <c r="L53" i="14"/>
  <c r="L43" i="14"/>
  <c r="L32" i="14"/>
  <c r="L32" i="11"/>
  <c r="L28" i="11"/>
  <c r="L12" i="11"/>
  <c r="L33" i="13"/>
  <c r="L55" i="13"/>
  <c r="L34" i="13"/>
  <c r="L36" i="13" s="1"/>
  <c r="L37" i="13" s="1"/>
  <c r="L54" i="13"/>
  <c r="L11" i="13"/>
  <c r="L44" i="13"/>
  <c r="K32" i="7"/>
  <c r="K54" i="7"/>
  <c r="K44" i="7"/>
  <c r="K55" i="7"/>
  <c r="Z9" i="6"/>
  <c r="Z22" i="6" s="1"/>
  <c r="Z10" i="6"/>
  <c r="Z15" i="6" s="1"/>
  <c r="Z28" i="6"/>
  <c r="N59" i="6"/>
  <c r="Q42" i="6"/>
  <c r="Q43" i="6"/>
  <c r="T42" i="6"/>
  <c r="N60" i="6"/>
  <c r="K42" i="6"/>
  <c r="W42" i="6"/>
  <c r="K43" i="6"/>
  <c r="K12" i="6" s="1"/>
  <c r="W43" i="6"/>
  <c r="N42" i="6"/>
  <c r="N43" i="6"/>
  <c r="N12" i="6" s="1"/>
  <c r="K59" i="6"/>
  <c r="K61" i="6" s="1"/>
  <c r="K62" i="6" s="1"/>
  <c r="AD112" i="6" l="1"/>
  <c r="T108" i="6"/>
  <c r="U108" i="6" s="1"/>
  <c r="AF112" i="6" s="1"/>
  <c r="Q61" i="6"/>
  <c r="Q62" i="6" s="1"/>
  <c r="W61" i="6"/>
  <c r="W62" i="6" s="1"/>
  <c r="Z44" i="6"/>
  <c r="W12" i="6"/>
  <c r="K55" i="17"/>
  <c r="K54" i="17"/>
  <c r="K34" i="17"/>
  <c r="K44" i="17"/>
  <c r="K36" i="17"/>
  <c r="K37" i="17" s="1"/>
  <c r="K33" i="17"/>
  <c r="O43" i="15"/>
  <c r="O11" i="15"/>
  <c r="K33" i="12"/>
  <c r="K34" i="12"/>
  <c r="K36" i="12" s="1"/>
  <c r="K37" i="12" s="1"/>
  <c r="L57" i="14"/>
  <c r="L33" i="14"/>
  <c r="L12" i="14"/>
  <c r="L44" i="14"/>
  <c r="L34" i="14"/>
  <c r="L36" i="14" s="1"/>
  <c r="L37" i="14" s="1"/>
  <c r="L34" i="11"/>
  <c r="L36" i="11"/>
  <c r="L37" i="11" s="1"/>
  <c r="L33" i="11"/>
  <c r="K33" i="7"/>
  <c r="K34" i="7"/>
  <c r="K36" i="7" s="1"/>
  <c r="K37" i="7" s="1"/>
  <c r="Z12" i="6"/>
  <c r="Z11" i="6"/>
  <c r="N61" i="6"/>
  <c r="N62" i="6" s="1"/>
  <c r="Q11" i="6"/>
  <c r="N44" i="6"/>
  <c r="K11" i="6"/>
  <c r="K44" i="6"/>
  <c r="L44" i="6" s="1"/>
  <c r="Q12" i="6"/>
  <c r="Q44" i="6"/>
  <c r="T11" i="6"/>
  <c r="W44" i="6"/>
  <c r="W11" i="6"/>
  <c r="N11" i="6"/>
  <c r="W27" i="6" l="1" a="1"/>
  <c r="W27" i="6" s="1"/>
  <c r="W25" i="6"/>
  <c r="W22" i="6"/>
  <c r="W15" i="6"/>
  <c r="T28" i="6"/>
  <c r="T25" i="6"/>
  <c r="T22" i="6"/>
  <c r="T15" i="6"/>
  <c r="Q27" i="6" a="1"/>
  <c r="Q27" i="6" s="1"/>
  <c r="Q25" i="6"/>
  <c r="Q55" i="6" s="1"/>
  <c r="Q22" i="6"/>
  <c r="Q15" i="6"/>
  <c r="N26" i="6"/>
  <c r="N27" i="6" s="1" a="1"/>
  <c r="N27" i="6" s="1"/>
  <c r="N28" i="6" s="1"/>
  <c r="N25" i="6"/>
  <c r="N15" i="6"/>
  <c r="N22" i="6"/>
  <c r="K53" i="6"/>
  <c r="E32" i="6"/>
  <c r="E31" i="6"/>
  <c r="T30" i="6" s="1"/>
  <c r="T40" i="6" s="1"/>
  <c r="E30" i="6"/>
  <c r="F30" i="6" s="1"/>
  <c r="E29" i="6"/>
  <c r="F29" i="6" s="1"/>
  <c r="E28" i="6"/>
  <c r="F28" i="6" s="1"/>
  <c r="K26" i="6"/>
  <c r="K27" i="6" s="1" a="1"/>
  <c r="K27" i="6" s="1"/>
  <c r="K28" i="6" s="1"/>
  <c r="K25" i="6"/>
  <c r="E25" i="6"/>
  <c r="E24" i="6"/>
  <c r="K15" i="6"/>
  <c r="B5" i="6"/>
  <c r="B12" i="6" s="1"/>
  <c r="B4" i="6"/>
  <c r="U42" i="3"/>
  <c r="U40" i="3"/>
  <c r="U39" i="3"/>
  <c r="U23" i="3"/>
  <c r="U24" i="3" s="1" a="1"/>
  <c r="U24" i="3" s="1"/>
  <c r="U25" i="3" s="1"/>
  <c r="U22" i="3"/>
  <c r="U13" i="3"/>
  <c r="U20" i="3"/>
  <c r="M41" i="3"/>
  <c r="M40" i="3"/>
  <c r="M43" i="3"/>
  <c r="M24" i="3"/>
  <c r="M23" i="3"/>
  <c r="M25" i="3" a="1"/>
  <c r="M25" i="3" s="1"/>
  <c r="M26" i="3" s="1"/>
  <c r="E30" i="3"/>
  <c r="E29" i="3"/>
  <c r="E28" i="3"/>
  <c r="E27" i="3"/>
  <c r="E26" i="3"/>
  <c r="AK22" i="1"/>
  <c r="J8" i="3" a="1"/>
  <c r="J8" i="3" s="1"/>
  <c r="F28" i="3"/>
  <c r="J7" i="3"/>
  <c r="B17" i="5"/>
  <c r="B18" i="5" s="1"/>
  <c r="B5" i="5"/>
  <c r="E8" i="5" s="1"/>
  <c r="E11" i="5" s="1"/>
  <c r="E3" i="5"/>
  <c r="E2" i="5"/>
  <c r="E1" i="5"/>
  <c r="E4" i="5" s="1"/>
  <c r="B17" i="2"/>
  <c r="B18" i="2" s="1"/>
  <c r="B19" i="2" s="1"/>
  <c r="F27" i="3"/>
  <c r="E23" i="3"/>
  <c r="E22" i="3"/>
  <c r="B5" i="3"/>
  <c r="B11" i="3" s="1"/>
  <c r="B4" i="3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2" i="1"/>
  <c r="V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3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C6" i="1"/>
  <c r="AY68" i="1" s="1"/>
  <c r="AZ68" i="1" s="1"/>
  <c r="B5" i="2"/>
  <c r="E1" i="2"/>
  <c r="E3" i="2"/>
  <c r="E2" i="2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M68" i="1"/>
  <c r="M56" i="1"/>
  <c r="M57" i="1"/>
  <c r="M58" i="1"/>
  <c r="M59" i="1"/>
  <c r="M60" i="1"/>
  <c r="M61" i="1"/>
  <c r="M62" i="1"/>
  <c r="M63" i="1"/>
  <c r="M64" i="1"/>
  <c r="M65" i="1"/>
  <c r="M66" i="1"/>
  <c r="M67" i="1"/>
  <c r="K2" i="1"/>
  <c r="K3" i="1"/>
  <c r="K4" i="1"/>
  <c r="K5" i="1"/>
  <c r="K6" i="1"/>
  <c r="K7" i="1"/>
  <c r="L7" i="1"/>
  <c r="R64" i="1"/>
  <c r="R65" i="1"/>
  <c r="R66" i="1"/>
  <c r="R67" i="1"/>
  <c r="R68" i="1"/>
  <c r="Q64" i="1"/>
  <c r="Q65" i="1"/>
  <c r="Q66" i="1"/>
  <c r="Q67" i="1"/>
  <c r="Q68" i="1"/>
  <c r="P64" i="1"/>
  <c r="P65" i="1"/>
  <c r="P66" i="1"/>
  <c r="P67" i="1"/>
  <c r="P68" i="1"/>
  <c r="O64" i="1"/>
  <c r="O65" i="1"/>
  <c r="O66" i="1"/>
  <c r="O67" i="1"/>
  <c r="O68" i="1"/>
  <c r="N68" i="1"/>
  <c r="N67" i="1"/>
  <c r="N65" i="1"/>
  <c r="N66" i="1"/>
  <c r="N64" i="1"/>
  <c r="M12" i="1"/>
  <c r="R36" i="1"/>
  <c r="Q31" i="1"/>
  <c r="P26" i="1"/>
  <c r="O21" i="1"/>
  <c r="O22" i="1"/>
  <c r="N17" i="1"/>
  <c r="K9" i="1"/>
  <c r="K10" i="1"/>
  <c r="K11" i="1"/>
  <c r="K12" i="1"/>
  <c r="K13" i="1"/>
  <c r="K14" i="1"/>
  <c r="K15" i="1"/>
  <c r="K16" i="1"/>
  <c r="K17" i="1"/>
  <c r="K8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N56" i="1"/>
  <c r="N57" i="1"/>
  <c r="N58" i="1"/>
  <c r="N59" i="1"/>
  <c r="N60" i="1"/>
  <c r="N61" i="1"/>
  <c r="N62" i="1"/>
  <c r="N63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M52" i="1"/>
  <c r="M53" i="1"/>
  <c r="M54" i="1"/>
  <c r="M55" i="1"/>
  <c r="M49" i="1"/>
  <c r="M50" i="1"/>
  <c r="M51" i="1"/>
  <c r="M45" i="1"/>
  <c r="M46" i="1"/>
  <c r="M47" i="1"/>
  <c r="M48" i="1"/>
  <c r="M41" i="1"/>
  <c r="M42" i="1"/>
  <c r="M43" i="1"/>
  <c r="M44" i="1"/>
  <c r="M37" i="1"/>
  <c r="M38" i="1"/>
  <c r="M39" i="1"/>
  <c r="M40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8" i="1"/>
  <c r="T60" i="6" l="1"/>
  <c r="T61" i="6" s="1"/>
  <c r="T62" i="6" s="1"/>
  <c r="T53" i="6"/>
  <c r="T57" i="6" s="1"/>
  <c r="T43" i="6"/>
  <c r="Z54" i="6"/>
  <c r="Z32" i="6"/>
  <c r="Z33" i="6" s="1"/>
  <c r="Z55" i="6"/>
  <c r="W30" i="6"/>
  <c r="Z57" i="6"/>
  <c r="W55" i="6"/>
  <c r="Q28" i="6"/>
  <c r="Q54" i="6" s="1"/>
  <c r="W28" i="6"/>
  <c r="W54" i="6" s="1"/>
  <c r="K57" i="6"/>
  <c r="N54" i="6"/>
  <c r="N55" i="6"/>
  <c r="Q32" i="6"/>
  <c r="Q33" i="6" s="1"/>
  <c r="E4" i="2"/>
  <c r="E5" i="2" s="1"/>
  <c r="W32" i="6"/>
  <c r="T32" i="6"/>
  <c r="G28" i="6" a="1"/>
  <c r="G28" i="6" s="1"/>
  <c r="N32" i="6"/>
  <c r="U29" i="3"/>
  <c r="U43" i="3"/>
  <c r="J9" i="3"/>
  <c r="G26" i="3" a="1"/>
  <c r="G26" i="3" s="1"/>
  <c r="F26" i="3"/>
  <c r="E7" i="5"/>
  <c r="E10" i="5" s="1"/>
  <c r="E5" i="5"/>
  <c r="B19" i="5"/>
  <c r="BA38" i="1"/>
  <c r="BA37" i="1"/>
  <c r="BA36" i="1"/>
  <c r="BA35" i="1"/>
  <c r="BA34" i="1"/>
  <c r="BA33" i="1"/>
  <c r="AV49" i="1"/>
  <c r="AG8" i="1"/>
  <c r="BA39" i="1"/>
  <c r="AV48" i="1"/>
  <c r="AV28" i="1"/>
  <c r="AV36" i="1"/>
  <c r="AV44" i="1"/>
  <c r="AQ20" i="1"/>
  <c r="BA10" i="1"/>
  <c r="AQ28" i="1"/>
  <c r="AQ36" i="1"/>
  <c r="AQ44" i="1"/>
  <c r="BA18" i="1"/>
  <c r="AQ52" i="1"/>
  <c r="AQ60" i="1"/>
  <c r="BA19" i="1"/>
  <c r="AV12" i="1"/>
  <c r="BA26" i="1"/>
  <c r="AQ12" i="1"/>
  <c r="AV20" i="1"/>
  <c r="AQ21" i="1"/>
  <c r="AQ37" i="1"/>
  <c r="AQ53" i="1"/>
  <c r="AQ61" i="1"/>
  <c r="AV13" i="1"/>
  <c r="AV21" i="1"/>
  <c r="AV29" i="1"/>
  <c r="AV37" i="1"/>
  <c r="BA27" i="1"/>
  <c r="AJ54" i="1"/>
  <c r="AK54" i="1" s="1"/>
  <c r="AQ14" i="1"/>
  <c r="AQ22" i="1"/>
  <c r="AQ30" i="1"/>
  <c r="AQ38" i="1"/>
  <c r="AQ46" i="1"/>
  <c r="AQ54" i="1"/>
  <c r="AQ62" i="1"/>
  <c r="AV14" i="1"/>
  <c r="AV22" i="1"/>
  <c r="AV30" i="1"/>
  <c r="AV38" i="1"/>
  <c r="AV46" i="1"/>
  <c r="BA12" i="1"/>
  <c r="BA20" i="1"/>
  <c r="BA28" i="1"/>
  <c r="AQ13" i="1"/>
  <c r="AQ29" i="1"/>
  <c r="AQ45" i="1"/>
  <c r="BA11" i="1"/>
  <c r="AQ15" i="1"/>
  <c r="AQ31" i="1"/>
  <c r="AQ39" i="1"/>
  <c r="AQ47" i="1"/>
  <c r="AQ55" i="1"/>
  <c r="AQ63" i="1"/>
  <c r="AV15" i="1"/>
  <c r="AV23" i="1"/>
  <c r="AV31" i="1"/>
  <c r="AV39" i="1"/>
  <c r="AV47" i="1"/>
  <c r="BA29" i="1"/>
  <c r="AG27" i="1"/>
  <c r="AQ16" i="1"/>
  <c r="AQ24" i="1"/>
  <c r="AQ32" i="1"/>
  <c r="AQ40" i="1"/>
  <c r="AQ48" i="1"/>
  <c r="AQ56" i="1"/>
  <c r="AV8" i="1"/>
  <c r="AV16" i="1"/>
  <c r="AV24" i="1"/>
  <c r="AV32" i="1"/>
  <c r="AV40" i="1"/>
  <c r="BA14" i="1"/>
  <c r="BA22" i="1"/>
  <c r="BA30" i="1"/>
  <c r="AQ9" i="1"/>
  <c r="AQ17" i="1"/>
  <c r="AQ25" i="1"/>
  <c r="AQ33" i="1"/>
  <c r="AQ41" i="1"/>
  <c r="AQ49" i="1"/>
  <c r="AQ57" i="1"/>
  <c r="AV9" i="1"/>
  <c r="AV17" i="1"/>
  <c r="AV25" i="1"/>
  <c r="AV33" i="1"/>
  <c r="AV41" i="1"/>
  <c r="BA15" i="1"/>
  <c r="BA23" i="1"/>
  <c r="BA31" i="1"/>
  <c r="AV45" i="1"/>
  <c r="AQ23" i="1"/>
  <c r="BA13" i="1"/>
  <c r="AQ10" i="1"/>
  <c r="AQ18" i="1"/>
  <c r="AQ26" i="1"/>
  <c r="AQ34" i="1"/>
  <c r="AQ42" i="1"/>
  <c r="AQ50" i="1"/>
  <c r="AQ58" i="1"/>
  <c r="AV10" i="1"/>
  <c r="AV18" i="1"/>
  <c r="AV26" i="1"/>
  <c r="AV34" i="1"/>
  <c r="AV42" i="1"/>
  <c r="BA8" i="1"/>
  <c r="BA16" i="1"/>
  <c r="BA24" i="1"/>
  <c r="BA32" i="1"/>
  <c r="AQ8" i="1"/>
  <c r="AT46" i="1"/>
  <c r="AU46" i="1" s="1"/>
  <c r="BA21" i="1"/>
  <c r="AQ11" i="1"/>
  <c r="AQ19" i="1"/>
  <c r="AQ27" i="1"/>
  <c r="AQ35" i="1"/>
  <c r="AQ43" i="1"/>
  <c r="AQ51" i="1"/>
  <c r="AQ59" i="1"/>
  <c r="AV11" i="1"/>
  <c r="AV19" i="1"/>
  <c r="AV27" i="1"/>
  <c r="AV35" i="1"/>
  <c r="AV43" i="1"/>
  <c r="BA9" i="1"/>
  <c r="BA17" i="1"/>
  <c r="BA25" i="1"/>
  <c r="AO8" i="1"/>
  <c r="AP8" i="1" s="1"/>
  <c r="AY24" i="1"/>
  <c r="AE55" i="1"/>
  <c r="AL16" i="1"/>
  <c r="AE51" i="1"/>
  <c r="AO43" i="1"/>
  <c r="AP43" i="1" s="1"/>
  <c r="AY38" i="1"/>
  <c r="AL21" i="1"/>
  <c r="AE43" i="1"/>
  <c r="AO51" i="1"/>
  <c r="AP51" i="1" s="1"/>
  <c r="AL24" i="1"/>
  <c r="AL48" i="1"/>
  <c r="AG24" i="1"/>
  <c r="AY32" i="1"/>
  <c r="AE12" i="1"/>
  <c r="AG59" i="1"/>
  <c r="AJ12" i="1"/>
  <c r="AK12" i="1" s="1"/>
  <c r="AT35" i="1"/>
  <c r="AU35" i="1" s="1"/>
  <c r="AG56" i="1"/>
  <c r="AL53" i="1"/>
  <c r="AJ62" i="1"/>
  <c r="AK62" i="1" s="1"/>
  <c r="AJ68" i="1"/>
  <c r="AK68" i="1" s="1"/>
  <c r="AO57" i="1"/>
  <c r="AP57" i="1" s="1"/>
  <c r="AJ15" i="1"/>
  <c r="AK15" i="1" s="1"/>
  <c r="AT43" i="1"/>
  <c r="AU43" i="1" s="1"/>
  <c r="AG32" i="1"/>
  <c r="AL56" i="1"/>
  <c r="AJ23" i="1"/>
  <c r="AK23" i="1" s="1"/>
  <c r="AG51" i="1"/>
  <c r="AE56" i="1"/>
  <c r="AE18" i="1"/>
  <c r="AJ48" i="1"/>
  <c r="AK48" i="1" s="1"/>
  <c r="AO40" i="1"/>
  <c r="AP40" i="1" s="1"/>
  <c r="AT29" i="1"/>
  <c r="AU29" i="1" s="1"/>
  <c r="AY21" i="1"/>
  <c r="AG35" i="1"/>
  <c r="AL13" i="1"/>
  <c r="AL45" i="1"/>
  <c r="AO15" i="1"/>
  <c r="AP15" i="1" s="1"/>
  <c r="AO65" i="1"/>
  <c r="AP65" i="1" s="1"/>
  <c r="AT54" i="1"/>
  <c r="AU54" i="1" s="1"/>
  <c r="AY46" i="1"/>
  <c r="AL61" i="1"/>
  <c r="AE66" i="1"/>
  <c r="AE40" i="1"/>
  <c r="AJ29" i="1"/>
  <c r="AK29" i="1" s="1"/>
  <c r="AO18" i="1"/>
  <c r="AP18" i="1" s="1"/>
  <c r="AT10" i="1"/>
  <c r="AU10" i="1" s="1"/>
  <c r="AT60" i="1"/>
  <c r="AU60" i="1" s="1"/>
  <c r="AY49" i="1"/>
  <c r="AG48" i="1"/>
  <c r="AG16" i="1"/>
  <c r="AL32" i="1"/>
  <c r="AL62" i="1"/>
  <c r="AE42" i="1"/>
  <c r="AG19" i="1"/>
  <c r="AE65" i="1"/>
  <c r="AE32" i="1"/>
  <c r="AJ37" i="1"/>
  <c r="AK37" i="1" s="1"/>
  <c r="AO26" i="1"/>
  <c r="AP26" i="1" s="1"/>
  <c r="AT18" i="1"/>
  <c r="AU18" i="1" s="1"/>
  <c r="AT68" i="1"/>
  <c r="AU68" i="1" s="1"/>
  <c r="AY57" i="1"/>
  <c r="AG43" i="1"/>
  <c r="AG11" i="1"/>
  <c r="AL37" i="1"/>
  <c r="AL29" i="1"/>
  <c r="AE63" i="1"/>
  <c r="AE26" i="1"/>
  <c r="AJ40" i="1"/>
  <c r="AK40" i="1" s="1"/>
  <c r="AO32" i="1"/>
  <c r="AP32" i="1" s="1"/>
  <c r="AT21" i="1"/>
  <c r="AU21" i="1" s="1"/>
  <c r="AY13" i="1"/>
  <c r="AY63" i="1"/>
  <c r="AG40" i="1"/>
  <c r="AL8" i="1"/>
  <c r="AL40" i="1"/>
  <c r="AE28" i="1"/>
  <c r="AE17" i="1"/>
  <c r="AJ13" i="1"/>
  <c r="AK13" i="1" s="1"/>
  <c r="AJ24" i="1"/>
  <c r="AK24" i="1" s="1"/>
  <c r="AJ38" i="1"/>
  <c r="AK38" i="1" s="1"/>
  <c r="AJ52" i="1"/>
  <c r="AK52" i="1" s="1"/>
  <c r="AJ63" i="1"/>
  <c r="AK63" i="1" s="1"/>
  <c r="AO16" i="1"/>
  <c r="AP16" i="1" s="1"/>
  <c r="AO27" i="1"/>
  <c r="AP27" i="1" s="1"/>
  <c r="AO41" i="1"/>
  <c r="AP41" i="1" s="1"/>
  <c r="AO55" i="1"/>
  <c r="AP55" i="1" s="1"/>
  <c r="AO66" i="1"/>
  <c r="AP66" i="1" s="1"/>
  <c r="AT19" i="1"/>
  <c r="AU19" i="1" s="1"/>
  <c r="AT30" i="1"/>
  <c r="AU30" i="1" s="1"/>
  <c r="AT44" i="1"/>
  <c r="AU44" i="1" s="1"/>
  <c r="AT58" i="1"/>
  <c r="AU58" i="1" s="1"/>
  <c r="AY8" i="1"/>
  <c r="AY22" i="1"/>
  <c r="AY33" i="1"/>
  <c r="AY47" i="1"/>
  <c r="AY61" i="1"/>
  <c r="AG58" i="1"/>
  <c r="AG50" i="1"/>
  <c r="AG42" i="1"/>
  <c r="AG34" i="1"/>
  <c r="AG26" i="1"/>
  <c r="AG18" i="1"/>
  <c r="AG10" i="1"/>
  <c r="AL14" i="1"/>
  <c r="AL22" i="1"/>
  <c r="AL30" i="1"/>
  <c r="AL38" i="1"/>
  <c r="AL46" i="1"/>
  <c r="AL54" i="1"/>
  <c r="AE64" i="1"/>
  <c r="AE52" i="1"/>
  <c r="AE41" i="1"/>
  <c r="AE27" i="1"/>
  <c r="AE16" i="1"/>
  <c r="AJ14" i="1"/>
  <c r="AK14" i="1" s="1"/>
  <c r="AJ28" i="1"/>
  <c r="AK28" i="1" s="1"/>
  <c r="AJ39" i="1"/>
  <c r="AK39" i="1" s="1"/>
  <c r="AJ53" i="1"/>
  <c r="AK53" i="1" s="1"/>
  <c r="AJ64" i="1"/>
  <c r="AK64" i="1" s="1"/>
  <c r="AO17" i="1"/>
  <c r="AP17" i="1" s="1"/>
  <c r="AO31" i="1"/>
  <c r="AP31" i="1" s="1"/>
  <c r="AO42" i="1"/>
  <c r="AP42" i="1" s="1"/>
  <c r="AO56" i="1"/>
  <c r="AP56" i="1" s="1"/>
  <c r="AO67" i="1"/>
  <c r="AP67" i="1" s="1"/>
  <c r="AT20" i="1"/>
  <c r="AU20" i="1" s="1"/>
  <c r="AT34" i="1"/>
  <c r="AU34" i="1" s="1"/>
  <c r="AT45" i="1"/>
  <c r="AU45" i="1" s="1"/>
  <c r="AT59" i="1"/>
  <c r="AU59" i="1" s="1"/>
  <c r="AY9" i="1"/>
  <c r="AY23" i="1"/>
  <c r="AY37" i="1"/>
  <c r="AY48" i="1"/>
  <c r="AY62" i="1"/>
  <c r="AG57" i="1"/>
  <c r="AG49" i="1"/>
  <c r="AG41" i="1"/>
  <c r="AG33" i="1"/>
  <c r="AG25" i="1"/>
  <c r="AG17" i="1"/>
  <c r="AG9" i="1"/>
  <c r="AL15" i="1"/>
  <c r="AL23" i="1"/>
  <c r="AL31" i="1"/>
  <c r="AL39" i="1"/>
  <c r="AL47" i="1"/>
  <c r="AL55" i="1"/>
  <c r="AL63" i="1"/>
  <c r="AE36" i="1"/>
  <c r="AE11" i="1"/>
  <c r="AJ16" i="1"/>
  <c r="AK16" i="1" s="1"/>
  <c r="AJ44" i="1"/>
  <c r="AK44" i="1" s="1"/>
  <c r="AO58" i="1"/>
  <c r="AP58" i="1" s="1"/>
  <c r="AT22" i="1"/>
  <c r="AU22" i="1" s="1"/>
  <c r="AT50" i="1"/>
  <c r="AU50" i="1" s="1"/>
  <c r="AY14" i="1"/>
  <c r="AY39" i="1"/>
  <c r="AY64" i="1"/>
  <c r="AG55" i="1"/>
  <c r="AG39" i="1"/>
  <c r="AG23" i="1"/>
  <c r="AL9" i="1"/>
  <c r="AL25" i="1"/>
  <c r="AL41" i="1"/>
  <c r="AL49" i="1"/>
  <c r="AE8" i="1"/>
  <c r="AE59" i="1"/>
  <c r="AE49" i="1"/>
  <c r="AE35" i="1"/>
  <c r="AE24" i="1"/>
  <c r="AE10" i="1"/>
  <c r="AJ20" i="1"/>
  <c r="AK20" i="1" s="1"/>
  <c r="AJ31" i="1"/>
  <c r="AK31" i="1" s="1"/>
  <c r="AJ45" i="1"/>
  <c r="AK45" i="1" s="1"/>
  <c r="AJ56" i="1"/>
  <c r="AK56" i="1" s="1"/>
  <c r="AO9" i="1"/>
  <c r="AP9" i="1" s="1"/>
  <c r="AO23" i="1"/>
  <c r="AP23" i="1" s="1"/>
  <c r="AO34" i="1"/>
  <c r="AP34" i="1" s="1"/>
  <c r="AO48" i="1"/>
  <c r="AP48" i="1" s="1"/>
  <c r="AO59" i="1"/>
  <c r="AP59" i="1" s="1"/>
  <c r="AT12" i="1"/>
  <c r="AU12" i="1" s="1"/>
  <c r="AT26" i="1"/>
  <c r="AU26" i="1" s="1"/>
  <c r="AT37" i="1"/>
  <c r="AU37" i="1" s="1"/>
  <c r="AT51" i="1"/>
  <c r="AU51" i="1" s="1"/>
  <c r="AT62" i="1"/>
  <c r="AU62" i="1" s="1"/>
  <c r="AY15" i="1"/>
  <c r="AY29" i="1"/>
  <c r="AY40" i="1"/>
  <c r="AY54" i="1"/>
  <c r="AY65" i="1"/>
  <c r="AG62" i="1"/>
  <c r="AG54" i="1"/>
  <c r="AG46" i="1"/>
  <c r="AG38" i="1"/>
  <c r="AG30" i="1"/>
  <c r="AG22" i="1"/>
  <c r="AG14" i="1"/>
  <c r="AL10" i="1"/>
  <c r="AL18" i="1"/>
  <c r="AL26" i="1"/>
  <c r="AL34" i="1"/>
  <c r="AL42" i="1"/>
  <c r="AL50" i="1"/>
  <c r="AL58" i="1"/>
  <c r="AE60" i="1"/>
  <c r="AE25" i="1"/>
  <c r="AJ30" i="1"/>
  <c r="AK30" i="1" s="1"/>
  <c r="AJ55" i="1"/>
  <c r="AK55" i="1" s="1"/>
  <c r="AO19" i="1"/>
  <c r="AP19" i="1" s="1"/>
  <c r="AO47" i="1"/>
  <c r="AP47" i="1" s="1"/>
  <c r="AT11" i="1"/>
  <c r="AU11" i="1" s="1"/>
  <c r="AT36" i="1"/>
  <c r="AU36" i="1" s="1"/>
  <c r="AT61" i="1"/>
  <c r="AU61" i="1" s="1"/>
  <c r="AY25" i="1"/>
  <c r="AY53" i="1"/>
  <c r="AG63" i="1"/>
  <c r="AG47" i="1"/>
  <c r="AG31" i="1"/>
  <c r="AG15" i="1"/>
  <c r="AL17" i="1"/>
  <c r="AL33" i="1"/>
  <c r="AL57" i="1"/>
  <c r="AE68" i="1"/>
  <c r="AE58" i="1"/>
  <c r="AE48" i="1"/>
  <c r="AE34" i="1"/>
  <c r="AE20" i="1"/>
  <c r="AE9" i="1"/>
  <c r="AJ21" i="1"/>
  <c r="AK21" i="1" s="1"/>
  <c r="AJ32" i="1"/>
  <c r="AK32" i="1" s="1"/>
  <c r="AJ46" i="1"/>
  <c r="AK46" i="1" s="1"/>
  <c r="AJ60" i="1"/>
  <c r="AK60" i="1" s="1"/>
  <c r="AO10" i="1"/>
  <c r="AP10" i="1" s="1"/>
  <c r="AO24" i="1"/>
  <c r="AP24" i="1" s="1"/>
  <c r="AO35" i="1"/>
  <c r="AP35" i="1" s="1"/>
  <c r="AO49" i="1"/>
  <c r="AP49" i="1" s="1"/>
  <c r="AO63" i="1"/>
  <c r="AP63" i="1" s="1"/>
  <c r="AT13" i="1"/>
  <c r="AU13" i="1" s="1"/>
  <c r="AT27" i="1"/>
  <c r="AU27" i="1" s="1"/>
  <c r="AT38" i="1"/>
  <c r="AU38" i="1" s="1"/>
  <c r="AT52" i="1"/>
  <c r="AU52" i="1" s="1"/>
  <c r="AT66" i="1"/>
  <c r="AU66" i="1" s="1"/>
  <c r="AY16" i="1"/>
  <c r="AY30" i="1"/>
  <c r="AY41" i="1"/>
  <c r="AY55" i="1"/>
  <c r="AG61" i="1"/>
  <c r="AG53" i="1"/>
  <c r="AG45" i="1"/>
  <c r="AG37" i="1"/>
  <c r="AG29" i="1"/>
  <c r="AG21" i="1"/>
  <c r="AG13" i="1"/>
  <c r="AL11" i="1"/>
  <c r="AL19" i="1"/>
  <c r="AL27" i="1"/>
  <c r="AL35" i="1"/>
  <c r="AL43" i="1"/>
  <c r="AL51" i="1"/>
  <c r="AL59" i="1"/>
  <c r="AE50" i="1"/>
  <c r="AO33" i="1"/>
  <c r="AP33" i="1" s="1"/>
  <c r="AE67" i="1"/>
  <c r="AE57" i="1"/>
  <c r="AE44" i="1"/>
  <c r="AE33" i="1"/>
  <c r="AE19" i="1"/>
  <c r="AJ8" i="1"/>
  <c r="AK8" i="1" s="1"/>
  <c r="AJ22" i="1"/>
  <c r="AJ36" i="1"/>
  <c r="AK36" i="1" s="1"/>
  <c r="AJ47" i="1"/>
  <c r="AK47" i="1" s="1"/>
  <c r="AJ61" i="1"/>
  <c r="AK61" i="1" s="1"/>
  <c r="AO11" i="1"/>
  <c r="AP11" i="1" s="1"/>
  <c r="AO25" i="1"/>
  <c r="AP25" i="1" s="1"/>
  <c r="AO39" i="1"/>
  <c r="AP39" i="1" s="1"/>
  <c r="AO50" i="1"/>
  <c r="AP50" i="1" s="1"/>
  <c r="AO64" i="1"/>
  <c r="AP64" i="1" s="1"/>
  <c r="AT14" i="1"/>
  <c r="AU14" i="1" s="1"/>
  <c r="AT28" i="1"/>
  <c r="AU28" i="1" s="1"/>
  <c r="AT42" i="1"/>
  <c r="AU42" i="1" s="1"/>
  <c r="AT53" i="1"/>
  <c r="AU53" i="1" s="1"/>
  <c r="AT67" i="1"/>
  <c r="AU67" i="1" s="1"/>
  <c r="AY17" i="1"/>
  <c r="AY31" i="1"/>
  <c r="AY45" i="1"/>
  <c r="AY56" i="1"/>
  <c r="AG60" i="1"/>
  <c r="AG52" i="1"/>
  <c r="AG44" i="1"/>
  <c r="AG36" i="1"/>
  <c r="AG28" i="1"/>
  <c r="AG20" i="1"/>
  <c r="AG12" i="1"/>
  <c r="AL12" i="1"/>
  <c r="AL20" i="1"/>
  <c r="AL28" i="1"/>
  <c r="AL36" i="1"/>
  <c r="AL44" i="1"/>
  <c r="AL52" i="1"/>
  <c r="AL60" i="1"/>
  <c r="AE47" i="1"/>
  <c r="AE39" i="1"/>
  <c r="AE31" i="1"/>
  <c r="AE23" i="1"/>
  <c r="AE15" i="1"/>
  <c r="AJ9" i="1"/>
  <c r="AK9" i="1" s="1"/>
  <c r="AJ17" i="1"/>
  <c r="AK17" i="1" s="1"/>
  <c r="AJ25" i="1"/>
  <c r="AK25" i="1" s="1"/>
  <c r="AJ33" i="1"/>
  <c r="AK33" i="1" s="1"/>
  <c r="AJ41" i="1"/>
  <c r="AK41" i="1" s="1"/>
  <c r="AJ49" i="1"/>
  <c r="AK49" i="1" s="1"/>
  <c r="AJ57" i="1"/>
  <c r="AK57" i="1" s="1"/>
  <c r="AJ65" i="1"/>
  <c r="AK65" i="1" s="1"/>
  <c r="AO12" i="1"/>
  <c r="AP12" i="1" s="1"/>
  <c r="AO20" i="1"/>
  <c r="AP20" i="1" s="1"/>
  <c r="AO28" i="1"/>
  <c r="AP28" i="1" s="1"/>
  <c r="AO36" i="1"/>
  <c r="AP36" i="1" s="1"/>
  <c r="AO44" i="1"/>
  <c r="AP44" i="1" s="1"/>
  <c r="AO52" i="1"/>
  <c r="AP52" i="1" s="1"/>
  <c r="AO60" i="1"/>
  <c r="AP60" i="1" s="1"/>
  <c r="AO68" i="1"/>
  <c r="AP68" i="1" s="1"/>
  <c r="AT15" i="1"/>
  <c r="AU15" i="1" s="1"/>
  <c r="AT23" i="1"/>
  <c r="AU23" i="1" s="1"/>
  <c r="AT31" i="1"/>
  <c r="AU31" i="1" s="1"/>
  <c r="AT39" i="1"/>
  <c r="AU39" i="1" s="1"/>
  <c r="AT47" i="1"/>
  <c r="AU47" i="1" s="1"/>
  <c r="AT55" i="1"/>
  <c r="AU55" i="1" s="1"/>
  <c r="AT63" i="1"/>
  <c r="AU63" i="1" s="1"/>
  <c r="AY10" i="1"/>
  <c r="AY18" i="1"/>
  <c r="AY26" i="1"/>
  <c r="AY34" i="1"/>
  <c r="AY42" i="1"/>
  <c r="AY50" i="1"/>
  <c r="AY58" i="1"/>
  <c r="AY66" i="1"/>
  <c r="AE62" i="1"/>
  <c r="AE54" i="1"/>
  <c r="AE46" i="1"/>
  <c r="AE38" i="1"/>
  <c r="AE30" i="1"/>
  <c r="AE22" i="1"/>
  <c r="AE14" i="1"/>
  <c r="AJ10" i="1"/>
  <c r="AK10" i="1" s="1"/>
  <c r="AJ18" i="1"/>
  <c r="AK18" i="1" s="1"/>
  <c r="AJ26" i="1"/>
  <c r="AK26" i="1" s="1"/>
  <c r="AJ34" i="1"/>
  <c r="AK34" i="1" s="1"/>
  <c r="AJ42" i="1"/>
  <c r="AK42" i="1" s="1"/>
  <c r="AJ50" i="1"/>
  <c r="AK50" i="1" s="1"/>
  <c r="AJ58" i="1"/>
  <c r="AK58" i="1" s="1"/>
  <c r="AJ66" i="1"/>
  <c r="AK66" i="1" s="1"/>
  <c r="AO13" i="1"/>
  <c r="AP13" i="1" s="1"/>
  <c r="AO21" i="1"/>
  <c r="AP21" i="1" s="1"/>
  <c r="AO29" i="1"/>
  <c r="AP29" i="1" s="1"/>
  <c r="AO37" i="1"/>
  <c r="AP37" i="1" s="1"/>
  <c r="AO45" i="1"/>
  <c r="AP45" i="1" s="1"/>
  <c r="AO53" i="1"/>
  <c r="AP53" i="1" s="1"/>
  <c r="AO61" i="1"/>
  <c r="AP61" i="1" s="1"/>
  <c r="AT8" i="1"/>
  <c r="AU8" i="1" s="1"/>
  <c r="AT16" i="1"/>
  <c r="AU16" i="1" s="1"/>
  <c r="AT24" i="1"/>
  <c r="AU24" i="1" s="1"/>
  <c r="AT32" i="1"/>
  <c r="AU32" i="1" s="1"/>
  <c r="AT40" i="1"/>
  <c r="AU40" i="1" s="1"/>
  <c r="AT48" i="1"/>
  <c r="AU48" i="1" s="1"/>
  <c r="AT56" i="1"/>
  <c r="AU56" i="1" s="1"/>
  <c r="AT64" i="1"/>
  <c r="AU64" i="1" s="1"/>
  <c r="AY11" i="1"/>
  <c r="AY19" i="1"/>
  <c r="AY27" i="1"/>
  <c r="AY35" i="1"/>
  <c r="AY43" i="1"/>
  <c r="AY51" i="1"/>
  <c r="AY59" i="1"/>
  <c r="AY67" i="1"/>
  <c r="AE61" i="1"/>
  <c r="AE53" i="1"/>
  <c r="AE45" i="1"/>
  <c r="AE37" i="1"/>
  <c r="AE29" i="1"/>
  <c r="AE21" i="1"/>
  <c r="AE13" i="1"/>
  <c r="AJ11" i="1"/>
  <c r="AK11" i="1" s="1"/>
  <c r="AJ19" i="1"/>
  <c r="AK19" i="1" s="1"/>
  <c r="AJ27" i="1"/>
  <c r="AK27" i="1" s="1"/>
  <c r="AJ35" i="1"/>
  <c r="AK35" i="1" s="1"/>
  <c r="AJ43" i="1"/>
  <c r="AK43" i="1" s="1"/>
  <c r="AJ51" i="1"/>
  <c r="AK51" i="1" s="1"/>
  <c r="AJ59" i="1"/>
  <c r="AK59" i="1" s="1"/>
  <c r="AJ67" i="1"/>
  <c r="AK67" i="1" s="1"/>
  <c r="AO14" i="1"/>
  <c r="AP14" i="1" s="1"/>
  <c r="AO22" i="1"/>
  <c r="AP22" i="1" s="1"/>
  <c r="AO30" i="1"/>
  <c r="AP30" i="1" s="1"/>
  <c r="AO38" i="1"/>
  <c r="AP38" i="1" s="1"/>
  <c r="AO46" i="1"/>
  <c r="AP46" i="1" s="1"/>
  <c r="AO54" i="1"/>
  <c r="AP54" i="1" s="1"/>
  <c r="AO62" i="1"/>
  <c r="AP62" i="1" s="1"/>
  <c r="AT9" i="1"/>
  <c r="AU9" i="1" s="1"/>
  <c r="AT17" i="1"/>
  <c r="AU17" i="1" s="1"/>
  <c r="AT25" i="1"/>
  <c r="AU25" i="1" s="1"/>
  <c r="AT33" i="1"/>
  <c r="AU33" i="1" s="1"/>
  <c r="AT41" i="1"/>
  <c r="AU41" i="1" s="1"/>
  <c r="AT49" i="1"/>
  <c r="AU49" i="1" s="1"/>
  <c r="AT57" i="1"/>
  <c r="AU57" i="1" s="1"/>
  <c r="AT65" i="1"/>
  <c r="AU65" i="1" s="1"/>
  <c r="AY12" i="1"/>
  <c r="AY20" i="1"/>
  <c r="AY28" i="1"/>
  <c r="AY36" i="1"/>
  <c r="AY44" i="1"/>
  <c r="AY52" i="1"/>
  <c r="AY60" i="1"/>
  <c r="E8" i="2"/>
  <c r="E11" i="2" s="1"/>
  <c r="Z34" i="6" l="1"/>
  <c r="Z36" i="6" s="1"/>
  <c r="Z37" i="6" s="1"/>
  <c r="T12" i="6"/>
  <c r="T55" i="6"/>
  <c r="T44" i="6"/>
  <c r="T54" i="6"/>
  <c r="E7" i="2"/>
  <c r="E10" i="2" s="1"/>
  <c r="N33" i="6"/>
  <c r="Q34" i="6"/>
  <c r="W33" i="6"/>
  <c r="W34" i="6"/>
  <c r="AZ54" i="1"/>
  <c r="AZ61" i="1"/>
  <c r="AZ10" i="1"/>
  <c r="AZ40" i="1"/>
  <c r="AZ36" i="1"/>
  <c r="AZ15" i="1"/>
  <c r="AZ44" i="1"/>
  <c r="AZ49" i="1"/>
  <c r="AZ45" i="1"/>
  <c r="AZ19" i="1"/>
  <c r="AZ64" i="1"/>
  <c r="AZ66" i="1"/>
  <c r="AZ47" i="1"/>
  <c r="AZ58" i="1"/>
  <c r="AZ25" i="1"/>
  <c r="AZ22" i="1"/>
  <c r="AZ42" i="1"/>
  <c r="AZ16" i="1"/>
  <c r="AZ37" i="1"/>
  <c r="AZ57" i="1"/>
  <c r="AZ11" i="1"/>
  <c r="AZ39" i="1"/>
  <c r="AZ56" i="1"/>
  <c r="AZ14" i="1"/>
  <c r="AZ12" i="1"/>
  <c r="AZ53" i="1"/>
  <c r="AZ33" i="1"/>
  <c r="AZ50" i="1"/>
  <c r="AZ30" i="1"/>
  <c r="AZ62" i="1"/>
  <c r="AZ59" i="1"/>
  <c r="AZ17" i="1"/>
  <c r="AZ8" i="1"/>
  <c r="AZ32" i="1"/>
  <c r="AZ23" i="1"/>
  <c r="AZ27" i="1"/>
  <c r="AZ28" i="1"/>
  <c r="AZ29" i="1"/>
  <c r="AZ20" i="1"/>
  <c r="AZ55" i="1"/>
  <c r="AZ38" i="1"/>
  <c r="AZ41" i="1"/>
  <c r="AZ67" i="1"/>
  <c r="AZ31" i="1"/>
  <c r="AZ21" i="1"/>
  <c r="AZ48" i="1"/>
  <c r="AZ63" i="1"/>
  <c r="AZ51" i="1"/>
  <c r="AZ34" i="1"/>
  <c r="AZ13" i="1"/>
  <c r="AZ60" i="1"/>
  <c r="AZ43" i="1"/>
  <c r="AZ26" i="1"/>
  <c r="AZ46" i="1"/>
  <c r="AZ24" i="1"/>
  <c r="AZ52" i="1"/>
  <c r="AZ35" i="1"/>
  <c r="AZ18" i="1"/>
  <c r="AZ65" i="1"/>
  <c r="AZ9" i="1"/>
  <c r="AF66" i="1"/>
  <c r="AF55" i="1"/>
  <c r="AF39" i="1"/>
  <c r="AF52" i="1"/>
  <c r="AF13" i="1"/>
  <c r="AF30" i="1"/>
  <c r="AF47" i="1"/>
  <c r="AF50" i="1"/>
  <c r="AF10" i="1"/>
  <c r="AF64" i="1"/>
  <c r="AF18" i="1"/>
  <c r="AF57" i="1"/>
  <c r="AF56" i="1"/>
  <c r="AF43" i="1"/>
  <c r="AF15" i="1"/>
  <c r="AF60" i="1"/>
  <c r="AF58" i="1"/>
  <c r="AF27" i="1"/>
  <c r="AF14" i="1"/>
  <c r="AF41" i="1"/>
  <c r="AF21" i="1"/>
  <c r="AF11" i="1"/>
  <c r="AF29" i="1"/>
  <c r="AF35" i="1"/>
  <c r="AF36" i="1"/>
  <c r="AF37" i="1"/>
  <c r="AF9" i="1"/>
  <c r="AF49" i="1"/>
  <c r="AF26" i="1"/>
  <c r="AF59" i="1"/>
  <c r="AF28" i="1"/>
  <c r="AF63" i="1"/>
  <c r="AF32" i="1"/>
  <c r="AF61" i="1"/>
  <c r="AF44" i="1"/>
  <c r="AF23" i="1"/>
  <c r="AF42" i="1"/>
  <c r="AF31" i="1"/>
  <c r="AF67" i="1"/>
  <c r="AF68" i="1"/>
  <c r="AF22" i="1"/>
  <c r="AF38" i="1"/>
  <c r="AF24" i="1"/>
  <c r="AF46" i="1"/>
  <c r="AF54" i="1"/>
  <c r="AF17" i="1"/>
  <c r="AF45" i="1"/>
  <c r="AF62" i="1"/>
  <c r="AF19" i="1"/>
  <c r="AF20" i="1"/>
  <c r="AF53" i="1"/>
  <c r="AF33" i="1"/>
  <c r="AF34" i="1"/>
  <c r="AF25" i="1"/>
  <c r="AF8" i="1"/>
  <c r="AF65" i="1"/>
  <c r="AF16" i="1"/>
  <c r="AF48" i="1"/>
  <c r="AF40" i="1"/>
  <c r="AF12" i="1"/>
  <c r="AF51" i="1"/>
  <c r="T33" i="6"/>
  <c r="T34" i="6"/>
  <c r="N34" i="6"/>
  <c r="N36" i="6" s="1"/>
  <c r="U30" i="3"/>
  <c r="U31" i="3"/>
  <c r="U33" i="3" s="1"/>
  <c r="U34" i="3" s="1"/>
  <c r="W36" i="6" l="1"/>
  <c r="W37" i="6" s="1"/>
  <c r="N37" i="6"/>
  <c r="Q36" i="6"/>
  <c r="Q37" i="6" s="1"/>
  <c r="T36" i="6"/>
  <c r="T37" i="6" s="1"/>
  <c r="M10" i="3"/>
  <c r="M14" i="3" s="1"/>
  <c r="J13" i="3"/>
  <c r="J19" i="3" s="1"/>
  <c r="K9" i="6"/>
  <c r="K22" i="6" s="1"/>
  <c r="M9" i="3"/>
  <c r="M21" i="3" s="1"/>
  <c r="J12" i="3"/>
  <c r="J26" i="3" s="1"/>
  <c r="K55" i="6" l="1"/>
  <c r="J72" i="6"/>
  <c r="K32" i="6"/>
  <c r="K54" i="6"/>
  <c r="M44" i="3"/>
  <c r="M30" i="3"/>
  <c r="J28" i="3"/>
  <c r="J29" i="3" s="1"/>
  <c r="K33" i="6" l="1"/>
  <c r="J30" i="3"/>
  <c r="J32" i="3" s="1"/>
  <c r="J33" i="3" s="1"/>
  <c r="M32" i="3"/>
  <c r="M34" i="3" s="1"/>
  <c r="M35" i="3" s="1"/>
  <c r="M31" i="3"/>
  <c r="K34" i="6"/>
  <c r="K36" i="6" l="1"/>
  <c r="K37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<sst xmlns="http://schemas.openxmlformats.org/spreadsheetml/2006/main" count="1520" uniqueCount="244">
  <si>
    <t>RPM</t>
  </si>
  <si>
    <t>Torque (Nm)</t>
  </si>
  <si>
    <t>Torque (Nm) @10kW</t>
  </si>
  <si>
    <t>Torque (Nm) @20kW</t>
  </si>
  <si>
    <t>Torque (Nm) @30kW</t>
  </si>
  <si>
    <t>Torque (Nm) @40kW</t>
  </si>
  <si>
    <t>Torque (Nm) @50kW</t>
  </si>
  <si>
    <t>Torque (Nm) @60kW</t>
  </si>
  <si>
    <t>Torque (Nm) @70kW</t>
  </si>
  <si>
    <t>Torque (Nm) @80kW</t>
  </si>
  <si>
    <t>Velocity (mph)</t>
  </si>
  <si>
    <t>Available Tractive F (N) @70kW</t>
  </si>
  <si>
    <t>Resistive F (N) @0°</t>
  </si>
  <si>
    <t>Resistive F (N) @5°</t>
  </si>
  <si>
    <t>Resistive F (N) @10°</t>
  </si>
  <si>
    <t>Resistive F (N) @15°</t>
  </si>
  <si>
    <t>Resistive F (N) @20°</t>
  </si>
  <si>
    <t>Resistive F (N) @25°</t>
  </si>
  <si>
    <t>Resistive F (N) @30°</t>
  </si>
  <si>
    <t>G1</t>
  </si>
  <si>
    <t>Input Torque (Nm)</t>
  </si>
  <si>
    <t>Available Tractive F (N)</t>
  </si>
  <si>
    <t>G2</t>
  </si>
  <si>
    <t>G3</t>
  </si>
  <si>
    <t>G4</t>
  </si>
  <si>
    <t>G5</t>
  </si>
  <si>
    <t>Cr</t>
  </si>
  <si>
    <t>Cd</t>
  </si>
  <si>
    <t>Mass (kg)</t>
  </si>
  <si>
    <r>
      <t>Area (m</t>
    </r>
    <r>
      <rPr>
        <b/>
        <vertAlign val="superscript"/>
        <sz val="12"/>
        <color theme="1"/>
        <rFont val="Calibri (Body)"/>
      </rPr>
      <t>2</t>
    </r>
    <r>
      <rPr>
        <b/>
        <sz val="12"/>
        <color theme="1"/>
        <rFont val="Calibri"/>
        <family val="2"/>
        <scheme val="minor"/>
      </rPr>
      <t>)</t>
    </r>
  </si>
  <si>
    <t>Wheel Radius (m)</t>
  </si>
  <si>
    <t>Gradient (°)</t>
  </si>
  <si>
    <t>x</t>
  </si>
  <si>
    <t xml:space="preserve"> </t>
  </si>
  <si>
    <t>Drag (N)</t>
  </si>
  <si>
    <t>Gear</t>
  </si>
  <si>
    <t>Min. G</t>
  </si>
  <si>
    <t>RR (N)</t>
  </si>
  <si>
    <t>Can do 28° slope</t>
  </si>
  <si>
    <t>Weight (N)</t>
  </si>
  <si>
    <t>Total F (N)</t>
  </si>
  <si>
    <t>Power (kW)</t>
  </si>
  <si>
    <t>Max. power (4150 rpm, 162 Nm)</t>
  </si>
  <si>
    <t>Output Torque (Nm)</t>
  </si>
  <si>
    <t>Output RPM</t>
  </si>
  <si>
    <t>G</t>
  </si>
  <si>
    <t>Input RPM</t>
  </si>
  <si>
    <t>Max speed</t>
  </si>
  <si>
    <t>Velocity (kmph)</t>
  </si>
  <si>
    <t>Velocity(m/s)</t>
  </si>
  <si>
    <t>Wheel rpm</t>
  </si>
  <si>
    <t>FDR</t>
  </si>
  <si>
    <t xml:space="preserve">                </t>
  </si>
  <si>
    <t>Stress Calcs Kn and Mpa</t>
  </si>
  <si>
    <t>Ft1</t>
  </si>
  <si>
    <t>Fr1</t>
  </si>
  <si>
    <t>Fn1</t>
  </si>
  <si>
    <t>Fx1</t>
  </si>
  <si>
    <t>1. Gear Pair Specification</t>
  </si>
  <si>
    <t>G, TD, reliability and material (stress hlim and stress fe)</t>
  </si>
  <si>
    <t>Tnominal</t>
  </si>
  <si>
    <t>Gear Speed 1</t>
  </si>
  <si>
    <t>Gear Speed 2</t>
  </si>
  <si>
    <t>Gear Speed 3</t>
  </si>
  <si>
    <t>Gear Speed 4</t>
  </si>
  <si>
    <t>Gear Speed 5</t>
  </si>
  <si>
    <t>Input Speed</t>
  </si>
  <si>
    <t>First Stage</t>
  </si>
  <si>
    <t>Speed reduction gears therefore goes from small gear to big gear</t>
  </si>
  <si>
    <t>Application Factor Ka (for moderate shock multicylinder engines)</t>
  </si>
  <si>
    <t>Lifetime</t>
  </si>
  <si>
    <t>picked based on avg mileage</t>
  </si>
  <si>
    <t>w 1.25 safety factor</t>
  </si>
  <si>
    <t xml:space="preserve">Chosen total contact ratio </t>
  </si>
  <si>
    <t>helix Angle</t>
  </si>
  <si>
    <t>pINION Peripheral speed m/s</t>
  </si>
  <si>
    <t>NL (number of tooth load cycles</t>
  </si>
  <si>
    <t>Wheel Peripehral speed</t>
  </si>
  <si>
    <t>Yn</t>
  </si>
  <si>
    <t>Zn</t>
  </si>
  <si>
    <t>10^9 power</t>
  </si>
  <si>
    <t>Yx</t>
  </si>
  <si>
    <t>Mq</t>
  </si>
  <si>
    <t>Material</t>
  </si>
  <si>
    <t>EN39</t>
  </si>
  <si>
    <t>Y</t>
  </si>
  <si>
    <t>Material Stresses and safety facctors</t>
  </si>
  <si>
    <t>Permissible stresses</t>
  </si>
  <si>
    <t>Bending Fatige limit* Strength life factor* Size factor * material quality factor</t>
  </si>
  <si>
    <t xml:space="preserve">  </t>
  </si>
  <si>
    <t>TD</t>
  </si>
  <si>
    <t>Gear Quality</t>
  </si>
  <si>
    <t>Hlim</t>
  </si>
  <si>
    <t xml:space="preserve">Bending FP </t>
  </si>
  <si>
    <t>Kv</t>
  </si>
  <si>
    <t>Fe</t>
  </si>
  <si>
    <t>Surface stress HP</t>
  </si>
  <si>
    <t>Kv- helical</t>
  </si>
  <si>
    <t>Sh</t>
  </si>
  <si>
    <t>Khb</t>
  </si>
  <si>
    <t>Sf</t>
  </si>
  <si>
    <t>Gear Shifts</t>
  </si>
  <si>
    <t>Total Gear Ratio</t>
  </si>
  <si>
    <t>khb(crowned)</t>
  </si>
  <si>
    <t>Youngs Modulus</t>
  </si>
  <si>
    <t>KFB</t>
  </si>
  <si>
    <t>c</t>
  </si>
  <si>
    <t>Hardness</t>
  </si>
  <si>
    <t>Gear ratio</t>
  </si>
  <si>
    <t>Surface</t>
  </si>
  <si>
    <t>Kha</t>
  </si>
  <si>
    <t>Core</t>
  </si>
  <si>
    <t>d1, min</t>
  </si>
  <si>
    <t>d1</t>
  </si>
  <si>
    <t>d2, min</t>
  </si>
  <si>
    <t>d2</t>
  </si>
  <si>
    <t>Module, min (mm)</t>
  </si>
  <si>
    <t>Z1</t>
  </si>
  <si>
    <t>Failure probability</t>
  </si>
  <si>
    <t>Z2</t>
  </si>
  <si>
    <t>b/d (standard for automotiver applications)</t>
  </si>
  <si>
    <t>Do final drie gear pair</t>
  </si>
  <si>
    <t xml:space="preserve">Chosen Z1 </t>
  </si>
  <si>
    <t>Also account nfor final drive ratio -take from ford car design</t>
  </si>
  <si>
    <t>Chosen Z2</t>
  </si>
  <si>
    <t>Chosen Module</t>
  </si>
  <si>
    <t>Make 4th gear 1:1</t>
  </si>
  <si>
    <t>Chosen D1</t>
  </si>
  <si>
    <t>Chosen D2</t>
  </si>
  <si>
    <t>b</t>
  </si>
  <si>
    <t>Zh</t>
  </si>
  <si>
    <t>ZE</t>
  </si>
  <si>
    <t>Aim for between</t>
  </si>
  <si>
    <t>Ze</t>
  </si>
  <si>
    <t>Zb</t>
  </si>
  <si>
    <t>Actual Gear ratio</t>
  </si>
  <si>
    <t>Actual SF</t>
  </si>
  <si>
    <t>Actual SH Safety factor</t>
  </si>
  <si>
    <t>Safety factor too high-  can lower Gear Quality</t>
  </si>
  <si>
    <t>Total transmission ratio</t>
  </si>
  <si>
    <t>Zv1</t>
  </si>
  <si>
    <t>Zv2</t>
  </si>
  <si>
    <t>Zv sum</t>
  </si>
  <si>
    <t>Half Zv</t>
  </si>
  <si>
    <t>x1</t>
  </si>
  <si>
    <t>x2</t>
  </si>
  <si>
    <t>Step 1 Gear Material, ka factor and safety factors</t>
  </si>
  <si>
    <t xml:space="preserve">Step 2 Calculate Yn, Zn Mq and NL based on lifetime (avg mileage before gearbox breaks *1.25 for safety - will have to refine later after calculating l10 of bearings etc) </t>
  </si>
  <si>
    <t>Speed decreasing so pinion speed is lower</t>
  </si>
  <si>
    <t>For Gear speed 1</t>
  </si>
  <si>
    <t>Kfb=0.9khb</t>
  </si>
  <si>
    <t>alphan</t>
  </si>
  <si>
    <t>Forces on wheel are equal and opposite</t>
  </si>
  <si>
    <t>bearing calcs</t>
  </si>
  <si>
    <t>Gear Shift 1</t>
  </si>
  <si>
    <t>10^8 power</t>
  </si>
  <si>
    <t>Force calculations for each gear speed is in it's respective excel sheet</t>
  </si>
  <si>
    <t>Forces</t>
  </si>
  <si>
    <t>Reverse</t>
  </si>
  <si>
    <t>Force</t>
  </si>
  <si>
    <t>At each point, radial tangential and axial forces exist</t>
  </si>
  <si>
    <t xml:space="preserve">RH axes </t>
  </si>
  <si>
    <t>Ft is x direction</t>
  </si>
  <si>
    <t>Fr is y</t>
  </si>
  <si>
    <t>Fx is z</t>
  </si>
  <si>
    <t>X</t>
  </si>
  <si>
    <t>Z</t>
  </si>
  <si>
    <t>Value (KN)</t>
  </si>
  <si>
    <t>dk yet</t>
  </si>
  <si>
    <t>Shaft 1 Input shaft</t>
  </si>
  <si>
    <t>Reverse gear</t>
  </si>
  <si>
    <t>Shaft speed ω (rpm)</t>
  </si>
  <si>
    <t>Shaft diameter d (mm)</t>
  </si>
  <si>
    <t>Bearing 1</t>
  </si>
  <si>
    <t>TYPE: RS PRO</t>
  </si>
  <si>
    <t>DGBB 6804-2RS</t>
  </si>
  <si>
    <t>n=</t>
  </si>
  <si>
    <t>Fa (kN)</t>
  </si>
  <si>
    <t>Fr (kN)</t>
  </si>
  <si>
    <t>Fa/Fr</t>
  </si>
  <si>
    <t>C (kN)</t>
  </si>
  <si>
    <t>C0 (kN)</t>
  </si>
  <si>
    <t>Fa/C0</t>
  </si>
  <si>
    <t>e</t>
  </si>
  <si>
    <t>P (kN)</t>
  </si>
  <si>
    <t>L10 (million revs)</t>
  </si>
  <si>
    <t>L10h (hrs)</t>
  </si>
  <si>
    <r>
      <t>a</t>
    </r>
    <r>
      <rPr>
        <b/>
        <sz val="7"/>
        <color theme="1"/>
        <rFont val="Calibri"/>
        <family val="2"/>
        <scheme val="minor"/>
      </rPr>
      <t>1</t>
    </r>
  </si>
  <si>
    <t>ν (mm2/s)</t>
  </si>
  <si>
    <t>dm (mm)</t>
  </si>
  <si>
    <r>
      <t>ν</t>
    </r>
    <r>
      <rPr>
        <b/>
        <sz val="7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(mm2/s)</t>
    </r>
  </si>
  <si>
    <t>κ</t>
  </si>
  <si>
    <r>
      <t>η</t>
    </r>
    <r>
      <rPr>
        <b/>
        <sz val="7"/>
        <color theme="1"/>
        <rFont val="Calibri"/>
        <family val="2"/>
        <scheme val="minor"/>
      </rPr>
      <t>c</t>
    </r>
  </si>
  <si>
    <r>
      <t>P</t>
    </r>
    <r>
      <rPr>
        <b/>
        <sz val="7"/>
        <color theme="1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 xml:space="preserve"> (kN)</t>
    </r>
  </si>
  <si>
    <r>
      <t>η</t>
    </r>
    <r>
      <rPr>
        <b/>
        <sz val="7"/>
        <color theme="1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>P</t>
    </r>
    <r>
      <rPr>
        <b/>
        <sz val="7"/>
        <color theme="1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>/P</t>
    </r>
  </si>
  <si>
    <r>
      <t>a</t>
    </r>
    <r>
      <rPr>
        <b/>
        <sz val="7"/>
        <color theme="1"/>
        <rFont val="Calibri"/>
        <family val="2"/>
        <scheme val="minor"/>
      </rPr>
      <t>mod</t>
    </r>
  </si>
  <si>
    <r>
      <t>L</t>
    </r>
    <r>
      <rPr>
        <b/>
        <sz val="7"/>
        <color theme="1"/>
        <rFont val="Calibri"/>
        <family val="2"/>
        <scheme val="minor"/>
      </rPr>
      <t>10hmod</t>
    </r>
    <r>
      <rPr>
        <b/>
        <sz val="11"/>
        <color theme="1"/>
        <rFont val="Calibri"/>
        <family val="2"/>
        <scheme val="minor"/>
      </rPr>
      <t xml:space="preserve"> (hrs)</t>
    </r>
  </si>
  <si>
    <t>Bearing 2</t>
  </si>
  <si>
    <t>(floating)</t>
  </si>
  <si>
    <t>-</t>
  </si>
  <si>
    <t>ID (mm)</t>
  </si>
  <si>
    <t>OD (mm)</t>
  </si>
  <si>
    <t>B (mm)</t>
  </si>
  <si>
    <t>m (kg)</t>
  </si>
  <si>
    <t>Total Frictional Moment (Nmm)</t>
  </si>
  <si>
    <t>Power Loss (W)</t>
  </si>
  <si>
    <t>Bearing 1 RS part no.:</t>
  </si>
  <si>
    <t>619-0323</t>
  </si>
  <si>
    <t>Bearing 2 RS part no.:</t>
  </si>
  <si>
    <t xml:space="preserve">Shaft 1 </t>
  </si>
  <si>
    <t>Forces on Gears</t>
  </si>
  <si>
    <t>Gear Speed/stage</t>
  </si>
  <si>
    <t>Torque</t>
  </si>
  <si>
    <t>Td</t>
  </si>
  <si>
    <t>Dref(min)</t>
  </si>
  <si>
    <t>Helix angle</t>
  </si>
  <si>
    <t>Ftx</t>
  </si>
  <si>
    <t>Gear Diameter (mm)</t>
  </si>
  <si>
    <t>Gear Radius (m)</t>
  </si>
  <si>
    <t>Fx z axis</t>
  </si>
  <si>
    <t>Fr y aixs</t>
  </si>
  <si>
    <t>Ft x axis</t>
  </si>
  <si>
    <t>Fn</t>
  </si>
  <si>
    <t>AN</t>
  </si>
  <si>
    <t>Ftz</t>
  </si>
  <si>
    <t>alpha n</t>
  </si>
  <si>
    <t>Fty = Ft</t>
  </si>
  <si>
    <t>Bearing cALCULATIONS</t>
  </si>
  <si>
    <t>Sum Shaft 1</t>
  </si>
  <si>
    <t>Sum Shaft 2</t>
  </si>
  <si>
    <t>R1x</t>
  </si>
  <si>
    <t>a</t>
  </si>
  <si>
    <t>R2y</t>
  </si>
  <si>
    <t>R2z</t>
  </si>
  <si>
    <t>1</t>
  </si>
  <si>
    <t>2</t>
  </si>
  <si>
    <t>3</t>
  </si>
  <si>
    <t>4</t>
  </si>
  <si>
    <t>5</t>
  </si>
  <si>
    <t>R1y</t>
  </si>
  <si>
    <t>R1z</t>
  </si>
  <si>
    <t>Fr2</t>
  </si>
  <si>
    <t>Design based on largest forces</t>
  </si>
  <si>
    <t>At bearing location moments about x and y exis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</si>
</sst>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&quot;£&quot;#,##0.00;[Red]\-&quot;£&quot;#,##0.00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 (Body)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2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/>
    <xf numFmtId="0" fontId="0" fillId="0" borderId="2" xfId="0" applyBorder="1" applyAlignment="1">
      <alignment horizontal="center"/>
    </xf>
    <xf numFmtId="0" fontId="1" fillId="0" borderId="3" xfId="0" applyFont="1" applyBorder="1"/>
    <xf numFmtId="165" fontId="0" fillId="0" borderId="4" xfId="0" applyNumberFormat="1" applyBorder="1" applyAlignment="1">
      <alignment horizontal="center"/>
    </xf>
    <xf numFmtId="0" fontId="1" fillId="0" borderId="5" xfId="0" applyFont="1" applyBorder="1"/>
    <xf numFmtId="0" fontId="0" fillId="0" borderId="6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19" xfId="0" applyFont="1" applyBorder="1"/>
    <xf numFmtId="2" fontId="0" fillId="0" borderId="12" xfId="0" applyNumberFormat="1" applyBorder="1" applyAlignment="1">
      <alignment horizontal="center"/>
    </xf>
    <xf numFmtId="1" fontId="0" fillId="0" borderId="0" xfId="0" applyNumberFormat="1"/>
    <xf numFmtId="0" fontId="3" fillId="0" borderId="0" xfId="0" applyFont="1"/>
    <xf numFmtId="10" fontId="0" fillId="0" borderId="0" xfId="0" applyNumberFormat="1"/>
    <xf numFmtId="0" fontId="4" fillId="0" borderId="0" xfId="0" applyFont="1"/>
    <xf numFmtId="0" fontId="3" fillId="0" borderId="20" xfId="0" applyFont="1" applyBorder="1"/>
    <xf numFmtId="0" fontId="4" fillId="0" borderId="7" xfId="0" applyFont="1" applyBorder="1"/>
    <xf numFmtId="0" fontId="3" fillId="0" borderId="7" xfId="0" applyFont="1" applyBorder="1"/>
    <xf numFmtId="0" fontId="0" fillId="0" borderId="7" xfId="0" applyBorder="1"/>
    <xf numFmtId="1" fontId="0" fillId="0" borderId="7" xfId="0" applyNumberFormat="1" applyBorder="1"/>
    <xf numFmtId="0" fontId="0" fillId="0" borderId="11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22" xfId="0" applyFont="1" applyBorder="1"/>
    <xf numFmtId="0" fontId="4" fillId="0" borderId="21" xfId="0" applyFont="1" applyBorder="1"/>
    <xf numFmtId="1" fontId="0" fillId="0" borderId="21" xfId="0" applyNumberFormat="1" applyBorder="1"/>
    <xf numFmtId="0" fontId="4" fillId="0" borderId="20" xfId="0" applyFont="1" applyBorder="1"/>
    <xf numFmtId="0" fontId="6" fillId="0" borderId="0" xfId="1"/>
    <xf numFmtId="0" fontId="3" fillId="0" borderId="24" xfId="0" applyFont="1" applyBorder="1"/>
    <xf numFmtId="0" fontId="0" fillId="0" borderId="24" xfId="0" applyBorder="1"/>
    <xf numFmtId="0" fontId="5" fillId="0" borderId="0" xfId="0" applyFont="1"/>
    <xf numFmtId="0" fontId="7" fillId="0" borderId="0" xfId="0" applyFont="1"/>
    <xf numFmtId="0" fontId="7" fillId="0" borderId="24" xfId="0" applyFont="1" applyBorder="1"/>
    <xf numFmtId="0" fontId="0" fillId="2" borderId="0" xfId="0" applyFill="1"/>
    <xf numFmtId="0" fontId="7" fillId="3" borderId="0" xfId="0" applyFont="1" applyFill="1"/>
    <xf numFmtId="0" fontId="8" fillId="0" borderId="0" xfId="0" applyFont="1"/>
    <xf numFmtId="0" fontId="10" fillId="0" borderId="0" xfId="0" applyFont="1"/>
    <xf numFmtId="0" fontId="9" fillId="0" borderId="19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0" fontId="10" fillId="0" borderId="16" xfId="0" applyFont="1" applyBorder="1"/>
    <xf numFmtId="0" fontId="10" fillId="0" borderId="28" xfId="0" applyFont="1" applyBorder="1"/>
    <xf numFmtId="2" fontId="10" fillId="0" borderId="27" xfId="0" applyNumberFormat="1" applyFont="1" applyBorder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/>
    </xf>
    <xf numFmtId="0" fontId="8" fillId="5" borderId="7" xfId="0" applyFont="1" applyFill="1" applyBorder="1" applyAlignment="1">
      <alignment horizontal="left"/>
    </xf>
    <xf numFmtId="165" fontId="0" fillId="5" borderId="7" xfId="0" applyNumberFormat="1" applyFill="1" applyBorder="1" applyAlignment="1">
      <alignment horizontal="left"/>
    </xf>
    <xf numFmtId="165" fontId="0" fillId="0" borderId="0" xfId="0" applyNumberFormat="1" applyAlignment="1">
      <alignment horizontal="left"/>
    </xf>
    <xf numFmtId="2" fontId="0" fillId="5" borderId="7" xfId="0" applyNumberFormat="1" applyFill="1" applyBorder="1" applyAlignment="1">
      <alignment horizontal="left"/>
    </xf>
    <xf numFmtId="1" fontId="8" fillId="5" borderId="7" xfId="0" applyNumberFormat="1" applyFont="1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5" borderId="7" xfId="0" applyFill="1" applyBorder="1" applyAlignment="1">
      <alignment horizontal="left"/>
    </xf>
    <xf numFmtId="0" fontId="8" fillId="0" borderId="0" xfId="0" applyFont="1" applyAlignment="1">
      <alignment horizontal="center"/>
    </xf>
    <xf numFmtId="166" fontId="0" fillId="0" borderId="0" xfId="0" applyNumberFormat="1" applyAlignment="1">
      <alignment horizontal="left"/>
    </xf>
    <xf numFmtId="0" fontId="8" fillId="5" borderId="7" xfId="0" applyFont="1" applyFill="1" applyBorder="1" applyAlignment="1">
      <alignment horizontal="center" vertical="center"/>
    </xf>
    <xf numFmtId="0" fontId="0" fillId="5" borderId="7" xfId="0" applyFill="1" applyBorder="1"/>
    <xf numFmtId="0" fontId="8" fillId="5" borderId="7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167" fontId="0" fillId="0" borderId="0" xfId="0" applyNumberFormat="1"/>
    <xf numFmtId="0" fontId="0" fillId="6" borderId="0" xfId="0" applyFill="1"/>
    <xf numFmtId="0" fontId="0" fillId="4" borderId="0" xfId="0" applyFill="1" applyAlignment="1">
      <alignment horizontal="center" vertical="center" wrapText="1"/>
    </xf>
    <xf numFmtId="0" fontId="13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5" borderId="7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Ford EcoBoost 1.0L Petrol Engine Performance Map</a:t>
            </a:r>
          </a:p>
        </c:rich>
      </c:tx>
      <c:layout>
        <c:manualLayout>
          <c:xMode val="edge"/>
          <c:yMode val="edge"/>
          <c:x val="0.17801389076979629"/>
          <c:y val="4.41717791411042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60833059258256"/>
          <c:y val="0.13844181440510117"/>
          <c:w val="0.79271888925432232"/>
          <c:h val="0.72694034104632621"/>
        </c:manualLayout>
      </c:layout>
      <c:scatterChart>
        <c:scatterStyle val="smoothMarker"/>
        <c:varyColors val="0"/>
        <c:ser>
          <c:idx val="8"/>
          <c:order val="0"/>
          <c:tx>
            <c:v>T @10kW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Map'!$K$2:$K$68</c:f>
              <c:numCache>
                <c:formatCode>0.0</c:formatCode>
                <c:ptCount val="67"/>
                <c:pt idx="0">
                  <c:v>238.73241463784299</c:v>
                </c:pt>
                <c:pt idx="1">
                  <c:v>190.98593171027443</c:v>
                </c:pt>
                <c:pt idx="2">
                  <c:v>159.15494309189535</c:v>
                </c:pt>
                <c:pt idx="3">
                  <c:v>136.41852265019602</c:v>
                </c:pt>
                <c:pt idx="4">
                  <c:v>119.3662073189215</c:v>
                </c:pt>
                <c:pt idx="5">
                  <c:v>106.1032953945969</c:v>
                </c:pt>
                <c:pt idx="6">
                  <c:v>95.492965855137214</c:v>
                </c:pt>
                <c:pt idx="7">
                  <c:v>86.811787141033818</c:v>
                </c:pt>
                <c:pt idx="8">
                  <c:v>79.577471545947674</c:v>
                </c:pt>
                <c:pt idx="9">
                  <c:v>73.456127580874778</c:v>
                </c:pt>
                <c:pt idx="10">
                  <c:v>68.209261325098012</c:v>
                </c:pt>
                <c:pt idx="11">
                  <c:v>63.661977236758133</c:v>
                </c:pt>
                <c:pt idx="12">
                  <c:v>59.683103659460748</c:v>
                </c:pt>
                <c:pt idx="13">
                  <c:v>56.17233285596307</c:v>
                </c:pt>
                <c:pt idx="14">
                  <c:v>53.051647697298449</c:v>
                </c:pt>
                <c:pt idx="15">
                  <c:v>50.259455713230103</c:v>
                </c:pt>
                <c:pt idx="16">
                  <c:v>47.746482927568607</c:v>
                </c:pt>
                <c:pt idx="17">
                  <c:v>45.472840883398668</c:v>
                </c:pt>
                <c:pt idx="18">
                  <c:v>43.405893570516909</c:v>
                </c:pt>
                <c:pt idx="19">
                  <c:v>41.518680806581393</c:v>
                </c:pt>
                <c:pt idx="20">
                  <c:v>39.788735772973837</c:v>
                </c:pt>
                <c:pt idx="21">
                  <c:v>38.197186342054884</c:v>
                </c:pt>
                <c:pt idx="22">
                  <c:v>36.728063790437389</c:v>
                </c:pt>
                <c:pt idx="23">
                  <c:v>35.367765131532295</c:v>
                </c:pt>
                <c:pt idx="24">
                  <c:v>34.104630662549006</c:v>
                </c:pt>
                <c:pt idx="25">
                  <c:v>32.928608915564553</c:v>
                </c:pt>
                <c:pt idx="26">
                  <c:v>31.830988618379067</c:v>
                </c:pt>
                <c:pt idx="27">
                  <c:v>30.804182533915228</c:v>
                </c:pt>
                <c:pt idx="28">
                  <c:v>29.841551829730374</c:v>
                </c:pt>
                <c:pt idx="29">
                  <c:v>28.937262380344606</c:v>
                </c:pt>
                <c:pt idx="30">
                  <c:v>28.086166427981535</c:v>
                </c:pt>
                <c:pt idx="31">
                  <c:v>27.283704530039202</c:v>
                </c:pt>
                <c:pt idx="32">
                  <c:v>26.525823848649225</c:v>
                </c:pt>
                <c:pt idx="33">
                  <c:v>25.808909690577622</c:v>
                </c:pt>
                <c:pt idx="34">
                  <c:v>25.129727856615052</c:v>
                </c:pt>
                <c:pt idx="35">
                  <c:v>24.48537586029159</c:v>
                </c:pt>
                <c:pt idx="36">
                  <c:v>23.873241463784304</c:v>
                </c:pt>
                <c:pt idx="37">
                  <c:v>23.290967281740784</c:v>
                </c:pt>
                <c:pt idx="38">
                  <c:v>22.736420441699334</c:v>
                </c:pt>
                <c:pt idx="39">
                  <c:v>22.207666477938886</c:v>
                </c:pt>
                <c:pt idx="40">
                  <c:v>21.702946785258455</c:v>
                </c:pt>
                <c:pt idx="41">
                  <c:v>21.220659078919375</c:v>
                </c:pt>
                <c:pt idx="42">
                  <c:v>20.759340403290697</c:v>
                </c:pt>
                <c:pt idx="43">
                  <c:v>20.317652309603663</c:v>
                </c:pt>
                <c:pt idx="44">
                  <c:v>19.894367886486918</c:v>
                </c:pt>
                <c:pt idx="45">
                  <c:v>19.488360378599431</c:v>
                </c:pt>
                <c:pt idx="46">
                  <c:v>19.098593171027442</c:v>
                </c:pt>
                <c:pt idx="47">
                  <c:v>18.724110951987686</c:v>
                </c:pt>
                <c:pt idx="48">
                  <c:v>18.364031895218695</c:v>
                </c:pt>
                <c:pt idx="49">
                  <c:v>18.017540727384379</c:v>
                </c:pt>
                <c:pt idx="50">
                  <c:v>17.683882565766147</c:v>
                </c:pt>
                <c:pt idx="51">
                  <c:v>17.362357428206767</c:v>
                </c:pt>
                <c:pt idx="52">
                  <c:v>17.052315331274503</c:v>
                </c:pt>
                <c:pt idx="53">
                  <c:v>16.753151904410039</c:v>
                </c:pt>
                <c:pt idx="54">
                  <c:v>16.464304457782276</c:v>
                </c:pt>
                <c:pt idx="55">
                  <c:v>16.185248450023256</c:v>
                </c:pt>
                <c:pt idx="56">
                  <c:v>15.915494309189533</c:v>
                </c:pt>
                <c:pt idx="57">
                  <c:v>15.654584566415934</c:v>
                </c:pt>
                <c:pt idx="58">
                  <c:v>15.402091266957614</c:v>
                </c:pt>
                <c:pt idx="59">
                  <c:v>15.157613627799556</c:v>
                </c:pt>
                <c:pt idx="60">
                  <c:v>14.920775914865187</c:v>
                </c:pt>
                <c:pt idx="61">
                  <c:v>14.691225516174955</c:v>
                </c:pt>
                <c:pt idx="62">
                  <c:v>14.468631190172303</c:v>
                </c:pt>
                <c:pt idx="63">
                  <c:v>14.252681470916</c:v>
                </c:pt>
                <c:pt idx="64">
                  <c:v>14.043083213990768</c:v>
                </c:pt>
                <c:pt idx="65">
                  <c:v>13.839560268860465</c:v>
                </c:pt>
                <c:pt idx="66">
                  <c:v>13.641852265019601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77C-DA4B-A1AF-63330C937D69}"/>
            </c:ext>
          </c:extLst>
        </c:ser>
        <c:ser>
          <c:idx val="1"/>
          <c:order val="1"/>
          <c:tx>
            <c:v>T @20kW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Map'!$L$2:$L$68</c:f>
              <c:numCache>
                <c:formatCode>General</c:formatCode>
                <c:ptCount val="67"/>
                <c:pt idx="5" formatCode="0.0">
                  <c:v>212.2065907891938</c:v>
                </c:pt>
                <c:pt idx="6" formatCode="0.0">
                  <c:v>190.98593171027443</c:v>
                </c:pt>
                <c:pt idx="7" formatCode="0.0">
                  <c:v>173.62357428206764</c:v>
                </c:pt>
                <c:pt idx="8" formatCode="0.0">
                  <c:v>159.15494309189535</c:v>
                </c:pt>
                <c:pt idx="9" formatCode="0.0">
                  <c:v>146.91225516174956</c:v>
                </c:pt>
                <c:pt idx="10" formatCode="0.0">
                  <c:v>136.41852265019602</c:v>
                </c:pt>
                <c:pt idx="11" formatCode="0.0">
                  <c:v>127.32395447351627</c:v>
                </c:pt>
                <c:pt idx="12" formatCode="0.0">
                  <c:v>119.3662073189215</c:v>
                </c:pt>
                <c:pt idx="13" formatCode="0.0">
                  <c:v>112.34466571192614</c:v>
                </c:pt>
                <c:pt idx="14" formatCode="0.0">
                  <c:v>106.1032953945969</c:v>
                </c:pt>
                <c:pt idx="15" formatCode="0.0">
                  <c:v>100.51891142646021</c:v>
                </c:pt>
                <c:pt idx="16" formatCode="0.0">
                  <c:v>95.492965855137214</c:v>
                </c:pt>
                <c:pt idx="17" formatCode="0.0">
                  <c:v>90.945681766797335</c:v>
                </c:pt>
                <c:pt idx="18" formatCode="0.0">
                  <c:v>86.811787141033818</c:v>
                </c:pt>
                <c:pt idx="19" formatCode="0.0">
                  <c:v>83.037361613162787</c:v>
                </c:pt>
                <c:pt idx="20" formatCode="0.0">
                  <c:v>79.577471545947674</c:v>
                </c:pt>
                <c:pt idx="21" formatCode="0.0">
                  <c:v>76.394372684109769</c:v>
                </c:pt>
                <c:pt idx="22" formatCode="0.0">
                  <c:v>73.456127580874778</c:v>
                </c:pt>
                <c:pt idx="23" formatCode="0.0">
                  <c:v>70.735530263064589</c:v>
                </c:pt>
                <c:pt idx="24" formatCode="0.0">
                  <c:v>68.209261325098012</c:v>
                </c:pt>
                <c:pt idx="25" formatCode="0.0">
                  <c:v>65.857217831129105</c:v>
                </c:pt>
                <c:pt idx="26" formatCode="0.0">
                  <c:v>63.661977236758133</c:v>
                </c:pt>
                <c:pt idx="27" formatCode="0.0">
                  <c:v>61.608365067830455</c:v>
                </c:pt>
                <c:pt idx="28" formatCode="0.0">
                  <c:v>59.683103659460748</c:v>
                </c:pt>
                <c:pt idx="29" formatCode="0.0">
                  <c:v>57.874524760689212</c:v>
                </c:pt>
                <c:pt idx="30" formatCode="0.0">
                  <c:v>56.17233285596307</c:v>
                </c:pt>
                <c:pt idx="31" formatCode="0.0">
                  <c:v>54.567409060078404</c:v>
                </c:pt>
                <c:pt idx="32" formatCode="0.0">
                  <c:v>53.051647697298449</c:v>
                </c:pt>
                <c:pt idx="33" formatCode="0.0">
                  <c:v>51.617819381155243</c:v>
                </c:pt>
                <c:pt idx="34" formatCode="0.0">
                  <c:v>50.259455713230103</c:v>
                </c:pt>
                <c:pt idx="35" formatCode="0.0">
                  <c:v>48.970751720583181</c:v>
                </c:pt>
                <c:pt idx="36" formatCode="0.0">
                  <c:v>47.746482927568607</c:v>
                </c:pt>
                <c:pt idx="37" formatCode="0.0">
                  <c:v>46.581934563481568</c:v>
                </c:pt>
                <c:pt idx="38" formatCode="0.0">
                  <c:v>45.472840883398668</c:v>
                </c:pt>
                <c:pt idx="39" formatCode="0.0">
                  <c:v>44.415332955877773</c:v>
                </c:pt>
                <c:pt idx="40" formatCode="0.0">
                  <c:v>43.405893570516909</c:v>
                </c:pt>
                <c:pt idx="41" formatCode="0.0">
                  <c:v>42.441318157838751</c:v>
                </c:pt>
                <c:pt idx="42" formatCode="0.0">
                  <c:v>41.518680806581393</c:v>
                </c:pt>
                <c:pt idx="43" formatCode="0.0">
                  <c:v>40.635304619207325</c:v>
                </c:pt>
                <c:pt idx="44" formatCode="0.0">
                  <c:v>39.788735772973837</c:v>
                </c:pt>
                <c:pt idx="45" formatCode="0.0">
                  <c:v>38.976720757198862</c:v>
                </c:pt>
                <c:pt idx="46" formatCode="0.0">
                  <c:v>38.197186342054884</c:v>
                </c:pt>
                <c:pt idx="47" formatCode="0.0">
                  <c:v>37.448221903975373</c:v>
                </c:pt>
                <c:pt idx="48" formatCode="0.0">
                  <c:v>36.728063790437389</c:v>
                </c:pt>
                <c:pt idx="49" formatCode="0.0">
                  <c:v>36.035081454768758</c:v>
                </c:pt>
                <c:pt idx="50" formatCode="0.0">
                  <c:v>35.367765131532295</c:v>
                </c:pt>
                <c:pt idx="51" formatCode="0.0">
                  <c:v>34.724714856413534</c:v>
                </c:pt>
                <c:pt idx="52" formatCode="0.0">
                  <c:v>34.104630662549006</c:v>
                </c:pt>
                <c:pt idx="53" formatCode="0.0">
                  <c:v>33.506303808820078</c:v>
                </c:pt>
                <c:pt idx="54" formatCode="0.0">
                  <c:v>32.928608915564553</c:v>
                </c:pt>
                <c:pt idx="55" formatCode="0.0">
                  <c:v>32.370496900046511</c:v>
                </c:pt>
                <c:pt idx="56" formatCode="0.0">
                  <c:v>31.830988618379067</c:v>
                </c:pt>
                <c:pt idx="57" formatCode="0.0">
                  <c:v>31.309169132831869</c:v>
                </c:pt>
                <c:pt idx="58" formatCode="0.0">
                  <c:v>30.804182533915228</c:v>
                </c:pt>
                <c:pt idx="59" formatCode="0.0">
                  <c:v>30.315227255599112</c:v>
                </c:pt>
                <c:pt idx="60" formatCode="0.0">
                  <c:v>29.841551829730374</c:v>
                </c:pt>
                <c:pt idx="61" formatCode="0.0">
                  <c:v>29.382451032349909</c:v>
                </c:pt>
                <c:pt idx="62" formatCode="0.0">
                  <c:v>28.937262380344606</c:v>
                </c:pt>
                <c:pt idx="63" formatCode="0.0">
                  <c:v>28.505362941832001</c:v>
                </c:pt>
                <c:pt idx="64" formatCode="0.0">
                  <c:v>28.086166427981535</c:v>
                </c:pt>
                <c:pt idx="65" formatCode="0.0">
                  <c:v>27.67912053772093</c:v>
                </c:pt>
                <c:pt idx="66" formatCode="0.0">
                  <c:v>27.283704530039202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7C-DA4B-A1AF-63330C937D69}"/>
            </c:ext>
          </c:extLst>
        </c:ser>
        <c:ser>
          <c:idx val="3"/>
          <c:order val="2"/>
          <c:tx>
            <c:v>T @30kW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Map'!$M$2:$M$68</c:f>
              <c:numCache>
                <c:formatCode>General</c:formatCode>
                <c:ptCount val="67"/>
                <c:pt idx="10" formatCode="0.0">
                  <c:v>204.62778397529405</c:v>
                </c:pt>
                <c:pt idx="11" formatCode="0.0">
                  <c:v>190.9859317102744</c:v>
                </c:pt>
                <c:pt idx="12" formatCode="0.0">
                  <c:v>179.04931097838224</c:v>
                </c:pt>
                <c:pt idx="13" formatCode="0.0">
                  <c:v>168.5169985678892</c:v>
                </c:pt>
                <c:pt idx="14" formatCode="0.0">
                  <c:v>159.15494309189535</c:v>
                </c:pt>
                <c:pt idx="15" formatCode="0.0">
                  <c:v>150.77836713969032</c:v>
                </c:pt>
                <c:pt idx="16" formatCode="0.0">
                  <c:v>143.23944878270581</c:v>
                </c:pt>
                <c:pt idx="17" formatCode="0.0">
                  <c:v>136.41852265019602</c:v>
                </c:pt>
                <c:pt idx="18" formatCode="0.0">
                  <c:v>130.21768071155074</c:v>
                </c:pt>
                <c:pt idx="19" formatCode="0.0">
                  <c:v>124.55604241974419</c:v>
                </c:pt>
                <c:pt idx="20" formatCode="0.0">
                  <c:v>119.36620731892151</c:v>
                </c:pt>
                <c:pt idx="21" formatCode="0.0">
                  <c:v>114.59155902616465</c:v>
                </c:pt>
                <c:pt idx="22" formatCode="0.0">
                  <c:v>110.18419137131215</c:v>
                </c:pt>
                <c:pt idx="23" formatCode="0.0">
                  <c:v>106.1032953945969</c:v>
                </c:pt>
                <c:pt idx="24" formatCode="0.0">
                  <c:v>102.31389198764703</c:v>
                </c:pt>
                <c:pt idx="25" formatCode="0.0">
                  <c:v>98.785826746693658</c:v>
                </c:pt>
                <c:pt idx="26" formatCode="0.0">
                  <c:v>95.4929658551372</c:v>
                </c:pt>
                <c:pt idx="27" formatCode="0.0">
                  <c:v>92.412547601745672</c:v>
                </c:pt>
                <c:pt idx="28" formatCode="0.0">
                  <c:v>89.524655489191119</c:v>
                </c:pt>
                <c:pt idx="29" formatCode="0.0">
                  <c:v>86.811787141033818</c:v>
                </c:pt>
                <c:pt idx="30" formatCode="0.0">
                  <c:v>84.258499283944602</c:v>
                </c:pt>
                <c:pt idx="31" formatCode="0.0">
                  <c:v>81.851113590117606</c:v>
                </c:pt>
                <c:pt idx="32" formatCode="0.0">
                  <c:v>79.577471545947674</c:v>
                </c:pt>
                <c:pt idx="33" formatCode="0.0">
                  <c:v>77.426729071732865</c:v>
                </c:pt>
                <c:pt idx="34" formatCode="0.0">
                  <c:v>75.389183569845159</c:v>
                </c:pt>
                <c:pt idx="35" formatCode="0.0">
                  <c:v>73.456127580874764</c:v>
                </c:pt>
                <c:pt idx="36" formatCode="0.0">
                  <c:v>71.619724391352904</c:v>
                </c:pt>
                <c:pt idx="37" formatCode="0.0">
                  <c:v>69.872901845222344</c:v>
                </c:pt>
                <c:pt idx="38" formatCode="0.0">
                  <c:v>68.209261325098012</c:v>
                </c:pt>
                <c:pt idx="39" formatCode="0.0">
                  <c:v>66.622999433816659</c:v>
                </c:pt>
                <c:pt idx="40" formatCode="0.0">
                  <c:v>65.108840355775371</c:v>
                </c:pt>
                <c:pt idx="41" formatCode="0.0">
                  <c:v>63.661977236758133</c:v>
                </c:pt>
                <c:pt idx="42" formatCode="0.0">
                  <c:v>62.278021209872094</c:v>
                </c:pt>
                <c:pt idx="43" formatCode="0.0">
                  <c:v>60.952956928810984</c:v>
                </c:pt>
                <c:pt idx="44" formatCode="0.0">
                  <c:v>59.683103659460755</c:v>
                </c:pt>
                <c:pt idx="45" formatCode="0.0">
                  <c:v>58.465081135798286</c:v>
                </c:pt>
                <c:pt idx="46" formatCode="0.0">
                  <c:v>57.295779513082323</c:v>
                </c:pt>
                <c:pt idx="47" formatCode="0.0">
                  <c:v>56.172332855963063</c:v>
                </c:pt>
                <c:pt idx="48" formatCode="0.0">
                  <c:v>55.092095685656076</c:v>
                </c:pt>
                <c:pt idx="49" formatCode="0.0">
                  <c:v>54.052622182153137</c:v>
                </c:pt>
                <c:pt idx="50" formatCode="0.0">
                  <c:v>53.051647697298449</c:v>
                </c:pt>
                <c:pt idx="51" formatCode="0.0">
                  <c:v>52.087072284620305</c:v>
                </c:pt>
                <c:pt idx="52" formatCode="0.0">
                  <c:v>51.156945993823513</c:v>
                </c:pt>
                <c:pt idx="53" formatCode="0.0">
                  <c:v>50.259455713230118</c:v>
                </c:pt>
                <c:pt idx="54" formatCode="0.0">
                  <c:v>49.392913373346829</c:v>
                </c:pt>
                <c:pt idx="55" formatCode="0.0">
                  <c:v>48.555745350069763</c:v>
                </c:pt>
                <c:pt idx="56" formatCode="0.0">
                  <c:v>47.7464829275686</c:v>
                </c:pt>
                <c:pt idx="57" formatCode="0.0">
                  <c:v>46.963753699247803</c:v>
                </c:pt>
                <c:pt idx="58" formatCode="0.0">
                  <c:v>46.206273800872836</c:v>
                </c:pt>
                <c:pt idx="59" formatCode="0.0">
                  <c:v>45.472840883398668</c:v>
                </c:pt>
                <c:pt idx="60" formatCode="0.0">
                  <c:v>44.762327744595559</c:v>
                </c:pt>
                <c:pt idx="61" formatCode="0.0">
                  <c:v>44.073676548524858</c:v>
                </c:pt>
                <c:pt idx="62" formatCode="0.0">
                  <c:v>43.405893570516909</c:v>
                </c:pt>
                <c:pt idx="63" formatCode="0.0">
                  <c:v>42.758044412747999</c:v>
                </c:pt>
                <c:pt idx="64" formatCode="0.0">
                  <c:v>42.129249641972301</c:v>
                </c:pt>
                <c:pt idx="65" formatCode="0.0">
                  <c:v>41.518680806581401</c:v>
                </c:pt>
                <c:pt idx="66" formatCode="0.0">
                  <c:v>40.925556795058803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7C-DA4B-A1AF-63330C937D69}"/>
            </c:ext>
          </c:extLst>
        </c:ser>
        <c:ser>
          <c:idx val="4"/>
          <c:order val="3"/>
          <c:tx>
            <c:v>T @40kW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Map'!$N$2:$N$68</c:f>
              <c:numCache>
                <c:formatCode>General</c:formatCode>
                <c:ptCount val="67"/>
                <c:pt idx="15" formatCode="0.0">
                  <c:v>201.03782285292041</c:v>
                </c:pt>
                <c:pt idx="16" formatCode="0.0">
                  <c:v>190.98593171027443</c:v>
                </c:pt>
                <c:pt idx="17" formatCode="0.0">
                  <c:v>181.89136353359467</c:v>
                </c:pt>
                <c:pt idx="18" formatCode="0.0">
                  <c:v>173.62357428206764</c:v>
                </c:pt>
                <c:pt idx="19" formatCode="0.0">
                  <c:v>166.07472322632557</c:v>
                </c:pt>
                <c:pt idx="20" formatCode="0.0">
                  <c:v>159.15494309189535</c:v>
                </c:pt>
                <c:pt idx="21" formatCode="0.0">
                  <c:v>152.78874536821954</c:v>
                </c:pt>
                <c:pt idx="22" formatCode="0.0">
                  <c:v>146.91225516174956</c:v>
                </c:pt>
                <c:pt idx="23" formatCode="0.0">
                  <c:v>141.47106052612918</c:v>
                </c:pt>
                <c:pt idx="24" formatCode="0.0">
                  <c:v>136.41852265019602</c:v>
                </c:pt>
                <c:pt idx="25" formatCode="0.0">
                  <c:v>131.71443566225821</c:v>
                </c:pt>
                <c:pt idx="26" formatCode="0.0">
                  <c:v>127.32395447351627</c:v>
                </c:pt>
                <c:pt idx="27" formatCode="0.0">
                  <c:v>123.21673013566091</c:v>
                </c:pt>
                <c:pt idx="28" formatCode="0.0">
                  <c:v>119.3662073189215</c:v>
                </c:pt>
                <c:pt idx="29" formatCode="0.0">
                  <c:v>115.74904952137842</c:v>
                </c:pt>
                <c:pt idx="30" formatCode="0.0">
                  <c:v>112.34466571192614</c:v>
                </c:pt>
                <c:pt idx="31" formatCode="0.0">
                  <c:v>109.13481812015681</c:v>
                </c:pt>
                <c:pt idx="32" formatCode="0.0">
                  <c:v>106.1032953945969</c:v>
                </c:pt>
                <c:pt idx="33" formatCode="0.0">
                  <c:v>103.23563876231049</c:v>
                </c:pt>
                <c:pt idx="34" formatCode="0.0">
                  <c:v>100.51891142646021</c:v>
                </c:pt>
                <c:pt idx="35" formatCode="0.0">
                  <c:v>97.941503441166361</c:v>
                </c:pt>
                <c:pt idx="36" formatCode="0.0">
                  <c:v>95.492965855137214</c:v>
                </c:pt>
                <c:pt idx="37" formatCode="0.0">
                  <c:v>93.163869126963135</c:v>
                </c:pt>
                <c:pt idx="38" formatCode="0.0">
                  <c:v>90.945681766797335</c:v>
                </c:pt>
                <c:pt idx="39" formatCode="0.0">
                  <c:v>88.830665911755545</c:v>
                </c:pt>
                <c:pt idx="40" formatCode="0.0">
                  <c:v>86.811787141033818</c:v>
                </c:pt>
                <c:pt idx="41" formatCode="0.0">
                  <c:v>84.882636315677502</c:v>
                </c:pt>
                <c:pt idx="42" formatCode="0.0">
                  <c:v>83.037361613162787</c:v>
                </c:pt>
                <c:pt idx="43" formatCode="0.0">
                  <c:v>81.27060923841465</c:v>
                </c:pt>
                <c:pt idx="44" formatCode="0.0">
                  <c:v>79.577471545947674</c:v>
                </c:pt>
                <c:pt idx="45" formatCode="0.0">
                  <c:v>77.953441514397724</c:v>
                </c:pt>
                <c:pt idx="46" formatCode="0.0">
                  <c:v>76.394372684109769</c:v>
                </c:pt>
                <c:pt idx="47" formatCode="0.0">
                  <c:v>74.896443807950746</c:v>
                </c:pt>
                <c:pt idx="48" formatCode="0.0">
                  <c:v>73.456127580874778</c:v>
                </c:pt>
                <c:pt idx="49" formatCode="0.0">
                  <c:v>72.070162909537515</c:v>
                </c:pt>
                <c:pt idx="50" formatCode="0.0">
                  <c:v>70.735530263064589</c:v>
                </c:pt>
                <c:pt idx="51" formatCode="0.0">
                  <c:v>69.449429712827069</c:v>
                </c:pt>
                <c:pt idx="52" formatCode="0.0">
                  <c:v>68.209261325098012</c:v>
                </c:pt>
                <c:pt idx="53" formatCode="0.0">
                  <c:v>67.012607617640157</c:v>
                </c:pt>
                <c:pt idx="54" formatCode="0.0">
                  <c:v>65.857217831129105</c:v>
                </c:pt>
                <c:pt idx="55" formatCode="0.0">
                  <c:v>64.740993800093023</c:v>
                </c:pt>
                <c:pt idx="56" formatCode="0.0">
                  <c:v>63.661977236758133</c:v>
                </c:pt>
                <c:pt idx="57" formatCode="0.0">
                  <c:v>62.618338265663738</c:v>
                </c:pt>
                <c:pt idx="58" formatCode="0.0">
                  <c:v>61.608365067830455</c:v>
                </c:pt>
                <c:pt idx="59" formatCode="0.0">
                  <c:v>60.630454511198224</c:v>
                </c:pt>
                <c:pt idx="60" formatCode="0.0">
                  <c:v>59.683103659460748</c:v>
                </c:pt>
                <c:pt idx="61" formatCode="0.0">
                  <c:v>58.764902064699818</c:v>
                </c:pt>
                <c:pt idx="62" formatCode="0.0">
                  <c:v>57.874524760689212</c:v>
                </c:pt>
                <c:pt idx="63" formatCode="0.0">
                  <c:v>57.010725883664001</c:v>
                </c:pt>
                <c:pt idx="64" formatCode="0.0">
                  <c:v>56.17233285596307</c:v>
                </c:pt>
                <c:pt idx="65" formatCode="0.0">
                  <c:v>55.35824107544186</c:v>
                </c:pt>
                <c:pt idx="66" formatCode="0.0">
                  <c:v>54.567409060078404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77C-DA4B-A1AF-63330C937D69}"/>
            </c:ext>
          </c:extLst>
        </c:ser>
        <c:ser>
          <c:idx val="5"/>
          <c:order val="4"/>
          <c:tx>
            <c:v>T @50kW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Map'!$O$2:$O$68</c:f>
              <c:numCache>
                <c:formatCode>General</c:formatCode>
                <c:ptCount val="67"/>
                <c:pt idx="19" formatCode="0.0">
                  <c:v>207.59340403290696</c:v>
                </c:pt>
                <c:pt idx="20" formatCode="0.0">
                  <c:v>198.94367886486918</c:v>
                </c:pt>
                <c:pt idx="21" formatCode="0.0">
                  <c:v>190.9859317102744</c:v>
                </c:pt>
                <c:pt idx="22" formatCode="0.0">
                  <c:v>183.64031895218693</c:v>
                </c:pt>
                <c:pt idx="23" formatCode="0.0">
                  <c:v>176.83882565766149</c:v>
                </c:pt>
                <c:pt idx="24" formatCode="0.0">
                  <c:v>170.52315331274502</c:v>
                </c:pt>
                <c:pt idx="25" formatCode="0.0">
                  <c:v>164.64304457782276</c:v>
                </c:pt>
                <c:pt idx="26" formatCode="0.0">
                  <c:v>159.15494309189535</c:v>
                </c:pt>
                <c:pt idx="27" formatCode="0.0">
                  <c:v>154.02091266957612</c:v>
                </c:pt>
                <c:pt idx="28" formatCode="0.0">
                  <c:v>149.20775914865189</c:v>
                </c:pt>
                <c:pt idx="29" formatCode="0.0">
                  <c:v>144.68631190172303</c:v>
                </c:pt>
                <c:pt idx="30" formatCode="0.0">
                  <c:v>140.43083213990766</c:v>
                </c:pt>
                <c:pt idx="31" formatCode="0.0">
                  <c:v>136.41852265019602</c:v>
                </c:pt>
                <c:pt idx="32" formatCode="0.0">
                  <c:v>132.62911924324612</c:v>
                </c:pt>
                <c:pt idx="33" formatCode="0.0">
                  <c:v>129.04454845288811</c:v>
                </c:pt>
                <c:pt idx="34" formatCode="0.0">
                  <c:v>125.64863928307525</c:v>
                </c:pt>
                <c:pt idx="35" formatCode="0.0">
                  <c:v>122.42687930145794</c:v>
                </c:pt>
                <c:pt idx="36" formatCode="0.0">
                  <c:v>119.36620731892151</c:v>
                </c:pt>
                <c:pt idx="37" formatCode="0.0">
                  <c:v>116.45483640870391</c:v>
                </c:pt>
                <c:pt idx="38" formatCode="0.0">
                  <c:v>113.68210220849667</c:v>
                </c:pt>
                <c:pt idx="39" formatCode="0.0">
                  <c:v>111.03833238969443</c:v>
                </c:pt>
                <c:pt idx="40" formatCode="0.0">
                  <c:v>108.51473392629228</c:v>
                </c:pt>
                <c:pt idx="41" formatCode="0.0">
                  <c:v>106.10329539459688</c:v>
                </c:pt>
                <c:pt idx="42" formatCode="0.0">
                  <c:v>103.79670201645348</c:v>
                </c:pt>
                <c:pt idx="43" formatCode="0.0">
                  <c:v>101.58826154801831</c:v>
                </c:pt>
                <c:pt idx="44" formatCode="0.0">
                  <c:v>99.471839432434592</c:v>
                </c:pt>
                <c:pt idx="45" formatCode="0.0">
                  <c:v>97.441801892997148</c:v>
                </c:pt>
                <c:pt idx="46" formatCode="0.0">
                  <c:v>95.4929658551372</c:v>
                </c:pt>
                <c:pt idx="47" formatCode="0.0">
                  <c:v>93.620554759938429</c:v>
                </c:pt>
                <c:pt idx="48" formatCode="0.0">
                  <c:v>91.820159476093465</c:v>
                </c:pt>
                <c:pt idx="49" formatCode="0.0">
                  <c:v>90.087703636921887</c:v>
                </c:pt>
                <c:pt idx="50" formatCode="0.0">
                  <c:v>88.419412828830744</c:v>
                </c:pt>
                <c:pt idx="51" formatCode="0.0">
                  <c:v>86.811787141033832</c:v>
                </c:pt>
                <c:pt idx="52" formatCode="0.0">
                  <c:v>85.261576656372512</c:v>
                </c:pt>
                <c:pt idx="53" formatCode="0.0">
                  <c:v>83.765759522050189</c:v>
                </c:pt>
                <c:pt idx="54" formatCode="0.0">
                  <c:v>82.321522288911382</c:v>
                </c:pt>
                <c:pt idx="55" formatCode="0.0">
                  <c:v>80.926242250116275</c:v>
                </c:pt>
                <c:pt idx="56" formatCode="0.0">
                  <c:v>79.577471545947674</c:v>
                </c:pt>
                <c:pt idx="57" formatCode="0.0">
                  <c:v>78.272922832079672</c:v>
                </c:pt>
                <c:pt idx="58" formatCode="0.0">
                  <c:v>77.01045633478806</c:v>
                </c:pt>
                <c:pt idx="59" formatCode="0.0">
                  <c:v>75.788068138997772</c:v>
                </c:pt>
                <c:pt idx="60" formatCode="0.0">
                  <c:v>74.603879574325944</c:v>
                </c:pt>
                <c:pt idx="61" formatCode="0.0">
                  <c:v>73.456127580874764</c:v>
                </c:pt>
                <c:pt idx="62" formatCode="0.0">
                  <c:v>72.343155950861515</c:v>
                </c:pt>
                <c:pt idx="63" formatCode="0.0">
                  <c:v>71.263407354579996</c:v>
                </c:pt>
                <c:pt idx="64" formatCode="0.0">
                  <c:v>70.215416069953832</c:v>
                </c:pt>
                <c:pt idx="65" formatCode="0.0">
                  <c:v>69.197801344302334</c:v>
                </c:pt>
                <c:pt idx="66" formatCode="0.0">
                  <c:v>68.209261325098012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77C-DA4B-A1AF-63330C937D69}"/>
            </c:ext>
          </c:extLst>
        </c:ser>
        <c:ser>
          <c:idx val="6"/>
          <c:order val="5"/>
          <c:tx>
            <c:v>T @60kW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Map'!$P$2:$P$68</c:f>
              <c:numCache>
                <c:formatCode>General</c:formatCode>
                <c:ptCount val="67"/>
                <c:pt idx="24" formatCode="0.0">
                  <c:v>204.62778397529405</c:v>
                </c:pt>
                <c:pt idx="25" formatCode="0.0">
                  <c:v>197.57165349338732</c:v>
                </c:pt>
                <c:pt idx="26" formatCode="0.0">
                  <c:v>190.9859317102744</c:v>
                </c:pt>
                <c:pt idx="27" formatCode="0.0">
                  <c:v>184.82509520349134</c:v>
                </c:pt>
                <c:pt idx="28" formatCode="0.0">
                  <c:v>179.04931097838224</c:v>
                </c:pt>
                <c:pt idx="29" formatCode="0.0">
                  <c:v>173.62357428206764</c:v>
                </c:pt>
                <c:pt idx="30" formatCode="0.0">
                  <c:v>168.5169985678892</c:v>
                </c:pt>
                <c:pt idx="31" formatCode="0.0">
                  <c:v>163.70222718023521</c:v>
                </c:pt>
                <c:pt idx="32" formatCode="0.0">
                  <c:v>159.15494309189535</c:v>
                </c:pt>
                <c:pt idx="33" formatCode="0.0">
                  <c:v>154.85345814346573</c:v>
                </c:pt>
                <c:pt idx="34" formatCode="0.0">
                  <c:v>150.77836713969032</c:v>
                </c:pt>
                <c:pt idx="35" formatCode="0.0">
                  <c:v>146.91225516174953</c:v>
                </c:pt>
                <c:pt idx="36" formatCode="0.0">
                  <c:v>143.23944878270581</c:v>
                </c:pt>
                <c:pt idx="37" formatCode="0.0">
                  <c:v>139.74580369044469</c:v>
                </c:pt>
                <c:pt idx="38" formatCode="0.0">
                  <c:v>136.41852265019602</c:v>
                </c:pt>
                <c:pt idx="39" formatCode="0.0">
                  <c:v>133.24599886763332</c:v>
                </c:pt>
                <c:pt idx="40" formatCode="0.0">
                  <c:v>130.21768071155074</c:v>
                </c:pt>
                <c:pt idx="41" formatCode="0.0">
                  <c:v>127.32395447351627</c:v>
                </c:pt>
                <c:pt idx="42" formatCode="0.0">
                  <c:v>124.55604241974419</c:v>
                </c:pt>
                <c:pt idx="43" formatCode="0.0">
                  <c:v>121.90591385762197</c:v>
                </c:pt>
                <c:pt idx="44" formatCode="0.0">
                  <c:v>119.36620731892151</c:v>
                </c:pt>
                <c:pt idx="45" formatCode="0.0">
                  <c:v>116.93016227159657</c:v>
                </c:pt>
                <c:pt idx="46" formatCode="0.0">
                  <c:v>114.59155902616465</c:v>
                </c:pt>
                <c:pt idx="47" formatCode="0.0">
                  <c:v>112.34466571192613</c:v>
                </c:pt>
                <c:pt idx="48" formatCode="0.0">
                  <c:v>110.18419137131215</c:v>
                </c:pt>
                <c:pt idx="49" formatCode="0.0">
                  <c:v>108.10524436430627</c:v>
                </c:pt>
                <c:pt idx="50" formatCode="0.0">
                  <c:v>106.1032953945969</c:v>
                </c:pt>
                <c:pt idx="51" formatCode="0.0">
                  <c:v>104.17414456924061</c:v>
                </c:pt>
                <c:pt idx="52" formatCode="0.0">
                  <c:v>102.31389198764703</c:v>
                </c:pt>
                <c:pt idx="53" formatCode="0.0">
                  <c:v>100.51891142646024</c:v>
                </c:pt>
                <c:pt idx="54" formatCode="0.0">
                  <c:v>98.785826746693658</c:v>
                </c:pt>
                <c:pt idx="55" formatCode="0.0">
                  <c:v>97.111490700139527</c:v>
                </c:pt>
                <c:pt idx="56" formatCode="0.0">
                  <c:v>95.4929658551372</c:v>
                </c:pt>
                <c:pt idx="57" formatCode="0.0">
                  <c:v>93.927507398495607</c:v>
                </c:pt>
                <c:pt idx="58" formatCode="0.0">
                  <c:v>92.412547601745672</c:v>
                </c:pt>
                <c:pt idx="59" formatCode="0.0">
                  <c:v>90.945681766797335</c:v>
                </c:pt>
                <c:pt idx="60" formatCode="0.0">
                  <c:v>89.524655489191119</c:v>
                </c:pt>
                <c:pt idx="61" formatCode="0.0">
                  <c:v>88.147353097049717</c:v>
                </c:pt>
                <c:pt idx="62" formatCode="0.0">
                  <c:v>86.811787141033818</c:v>
                </c:pt>
                <c:pt idx="63" formatCode="0.0">
                  <c:v>85.516088825495999</c:v>
                </c:pt>
                <c:pt idx="64" formatCode="0.0">
                  <c:v>84.258499283944602</c:v>
                </c:pt>
                <c:pt idx="65" formatCode="0.0">
                  <c:v>83.037361613162801</c:v>
                </c:pt>
                <c:pt idx="66" formatCode="0.0">
                  <c:v>81.851113590117606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77C-DA4B-A1AF-63330C937D69}"/>
            </c:ext>
          </c:extLst>
        </c:ser>
        <c:ser>
          <c:idx val="2"/>
          <c:order val="6"/>
          <c:tx>
            <c:v>T @70kW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Map'!$Q$2:$Q$68</c:f>
              <c:numCache>
                <c:formatCode>General</c:formatCode>
                <c:ptCount val="67"/>
                <c:pt idx="29" formatCode="0.0">
                  <c:v>202.56083666241224</c:v>
                </c:pt>
                <c:pt idx="30" formatCode="0.0">
                  <c:v>196.60316499587074</c:v>
                </c:pt>
                <c:pt idx="31" formatCode="0.0">
                  <c:v>190.98593171027443</c:v>
                </c:pt>
                <c:pt idx="32" formatCode="0.0">
                  <c:v>185.68076694054457</c:v>
                </c:pt>
                <c:pt idx="33" formatCode="0.0">
                  <c:v>180.66236783404335</c:v>
                </c:pt>
                <c:pt idx="34" formatCode="0.0">
                  <c:v>175.90809499630535</c:v>
                </c:pt>
                <c:pt idx="35" formatCode="0.0">
                  <c:v>171.39763102204111</c:v>
                </c:pt>
                <c:pt idx="36" formatCode="0.0">
                  <c:v>167.1126902464901</c:v>
                </c:pt>
                <c:pt idx="37" formatCode="0.0">
                  <c:v>163.03677097218548</c:v>
                </c:pt>
                <c:pt idx="38" formatCode="0.0">
                  <c:v>159.15494309189535</c:v>
                </c:pt>
                <c:pt idx="39" formatCode="0.0">
                  <c:v>155.4536653455722</c:v>
                </c:pt>
                <c:pt idx="40" formatCode="0.0">
                  <c:v>151.9206274968092</c:v>
                </c:pt>
                <c:pt idx="41" formatCode="0.0">
                  <c:v>148.54461355243564</c:v>
                </c:pt>
                <c:pt idx="42" formatCode="0.0">
                  <c:v>145.31538282303487</c:v>
                </c:pt>
                <c:pt idx="43" formatCode="0.0">
                  <c:v>142.22356616722561</c:v>
                </c:pt>
                <c:pt idx="44" formatCode="0.0">
                  <c:v>139.26057520540843</c:v>
                </c:pt>
                <c:pt idx="45" formatCode="0.0">
                  <c:v>136.418522650196</c:v>
                </c:pt>
                <c:pt idx="46" formatCode="0.0">
                  <c:v>133.69015219719208</c:v>
                </c:pt>
                <c:pt idx="47" formatCode="0.0">
                  <c:v>131.06877666391381</c:v>
                </c:pt>
                <c:pt idx="48" formatCode="0.0">
                  <c:v>128.54822326653084</c:v>
                </c:pt>
                <c:pt idx="49" formatCode="0.0">
                  <c:v>126.12278509169064</c:v>
                </c:pt>
                <c:pt idx="50" formatCode="0.0">
                  <c:v>123.78717796036304</c:v>
                </c:pt>
                <c:pt idx="51" formatCode="0.0">
                  <c:v>121.53650199744737</c:v>
                </c:pt>
                <c:pt idx="52" formatCode="0.0">
                  <c:v>119.36620731892152</c:v>
                </c:pt>
                <c:pt idx="53" formatCode="0.0">
                  <c:v>117.27206333087027</c:v>
                </c:pt>
                <c:pt idx="54" formatCode="0.0">
                  <c:v>115.25013120447593</c:v>
                </c:pt>
                <c:pt idx="55" formatCode="0.0">
                  <c:v>113.29673915016278</c:v>
                </c:pt>
                <c:pt idx="56" formatCode="0.0">
                  <c:v>111.40846016432674</c:v>
                </c:pt>
                <c:pt idx="57" formatCode="0.0">
                  <c:v>109.58209196491154</c:v>
                </c:pt>
                <c:pt idx="58" formatCode="0.0">
                  <c:v>107.81463886870328</c:v>
                </c:pt>
                <c:pt idx="59" formatCode="0.0">
                  <c:v>106.10329539459688</c:v>
                </c:pt>
                <c:pt idx="60" formatCode="0.0">
                  <c:v>104.44543140405631</c:v>
                </c:pt>
                <c:pt idx="61" formatCode="0.0">
                  <c:v>102.83857861322468</c:v>
                </c:pt>
                <c:pt idx="62" formatCode="0.0">
                  <c:v>101.28041833120612</c:v>
                </c:pt>
                <c:pt idx="63" formatCode="0.0">
                  <c:v>99.768770296412001</c:v>
                </c:pt>
                <c:pt idx="64" formatCode="0.0">
                  <c:v>98.301582497935371</c:v>
                </c:pt>
                <c:pt idx="65" formatCode="0.0">
                  <c:v>96.876921882023254</c:v>
                </c:pt>
                <c:pt idx="66" formatCode="0.0">
                  <c:v>95.492965855137214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77C-DA4B-A1AF-63330C937D69}"/>
            </c:ext>
          </c:extLst>
        </c:ser>
        <c:ser>
          <c:idx val="7"/>
          <c:order val="7"/>
          <c:tx>
            <c:v>T @80kW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Map'!$R$2:$R$68</c:f>
              <c:numCache>
                <c:formatCode>General</c:formatCode>
                <c:ptCount val="67"/>
                <c:pt idx="34" formatCode="0.0">
                  <c:v>201.03782285292041</c:v>
                </c:pt>
                <c:pt idx="35" formatCode="0.0">
                  <c:v>195.88300688233272</c:v>
                </c:pt>
                <c:pt idx="36" formatCode="0.0">
                  <c:v>190.98593171027443</c:v>
                </c:pt>
                <c:pt idx="37" formatCode="0.0">
                  <c:v>186.32773825392627</c:v>
                </c:pt>
                <c:pt idx="38" formatCode="0.0">
                  <c:v>181.89136353359467</c:v>
                </c:pt>
                <c:pt idx="39" formatCode="0.0">
                  <c:v>177.66133182351109</c:v>
                </c:pt>
                <c:pt idx="40" formatCode="0.0">
                  <c:v>173.62357428206764</c:v>
                </c:pt>
                <c:pt idx="41" formatCode="0.0">
                  <c:v>169.765272631355</c:v>
                </c:pt>
                <c:pt idx="42" formatCode="0.0">
                  <c:v>166.07472322632557</c:v>
                </c:pt>
                <c:pt idx="43" formatCode="0.0">
                  <c:v>162.5412184768293</c:v>
                </c:pt>
                <c:pt idx="44" formatCode="0.0">
                  <c:v>159.15494309189535</c:v>
                </c:pt>
                <c:pt idx="45" formatCode="0.0">
                  <c:v>155.90688302879545</c:v>
                </c:pt>
                <c:pt idx="46" formatCode="0.0">
                  <c:v>152.78874536821954</c:v>
                </c:pt>
                <c:pt idx="47" formatCode="0.0">
                  <c:v>149.79288761590149</c:v>
                </c:pt>
                <c:pt idx="48" formatCode="0.0">
                  <c:v>146.91225516174956</c:v>
                </c:pt>
                <c:pt idx="49" formatCode="0.0">
                  <c:v>144.14032581907503</c:v>
                </c:pt>
                <c:pt idx="50" formatCode="0.0">
                  <c:v>141.47106052612918</c:v>
                </c:pt>
                <c:pt idx="51" formatCode="0.0">
                  <c:v>138.89885942565414</c:v>
                </c:pt>
                <c:pt idx="52" formatCode="0.0">
                  <c:v>136.41852265019602</c:v>
                </c:pt>
                <c:pt idx="53" formatCode="0.0">
                  <c:v>134.02521523528031</c:v>
                </c:pt>
                <c:pt idx="54" formatCode="0.0">
                  <c:v>131.71443566225821</c:v>
                </c:pt>
                <c:pt idx="55" formatCode="0.0">
                  <c:v>129.48198760018605</c:v>
                </c:pt>
                <c:pt idx="56" formatCode="0.0">
                  <c:v>127.32395447351627</c:v>
                </c:pt>
                <c:pt idx="57" formatCode="0.0">
                  <c:v>125.23667653132748</c:v>
                </c:pt>
                <c:pt idx="58" formatCode="0.0">
                  <c:v>123.21673013566091</c:v>
                </c:pt>
                <c:pt idx="59" formatCode="0.0">
                  <c:v>121.26090902239645</c:v>
                </c:pt>
                <c:pt idx="60" formatCode="0.0">
                  <c:v>119.3662073189215</c:v>
                </c:pt>
                <c:pt idx="61" formatCode="0.0">
                  <c:v>117.52980412939964</c:v>
                </c:pt>
                <c:pt idx="62" formatCode="0.0">
                  <c:v>115.74904952137842</c:v>
                </c:pt>
                <c:pt idx="63" formatCode="0.0">
                  <c:v>114.021451767328</c:v>
                </c:pt>
                <c:pt idx="64" formatCode="0.0">
                  <c:v>112.34466571192614</c:v>
                </c:pt>
                <c:pt idx="65" formatCode="0.0">
                  <c:v>110.71648215088372</c:v>
                </c:pt>
                <c:pt idx="66" formatCode="0.0">
                  <c:v>109.13481812015681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77C-DA4B-A1AF-63330C937D69}"/>
            </c:ext>
          </c:extLst>
        </c:ser>
        <c:ser>
          <c:idx val="0"/>
          <c:order val="8"/>
          <c:tx>
            <c:v>Max T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Map'!$I$2:$I$68</c:f>
              <c:numCache>
                <c:formatCode>General</c:formatCode>
                <c:ptCount val="67"/>
                <c:pt idx="6" formatCode="0.0">
                  <c:v>103.5</c:v>
                </c:pt>
                <c:pt idx="7" formatCode="0.0">
                  <c:v>117.6</c:v>
                </c:pt>
                <c:pt idx="8" formatCode="0.0">
                  <c:v>129.30000000000001</c:v>
                </c:pt>
                <c:pt idx="9" formatCode="0.0">
                  <c:v>139.30000000000001</c:v>
                </c:pt>
                <c:pt idx="10" formatCode="0.0">
                  <c:v>147.80000000000001</c:v>
                </c:pt>
                <c:pt idx="11" formatCode="0.0">
                  <c:v>155.19999999999999</c:v>
                </c:pt>
                <c:pt idx="12" formatCode="0.0">
                  <c:v>161.69999999999999</c:v>
                </c:pt>
                <c:pt idx="13" formatCode="0.0">
                  <c:v>167.4</c:v>
                </c:pt>
                <c:pt idx="14" formatCode="0.0">
                  <c:v>170</c:v>
                </c:pt>
                <c:pt idx="15" formatCode="0.0">
                  <c:v>170</c:v>
                </c:pt>
                <c:pt idx="16" formatCode="0.0">
                  <c:v>170</c:v>
                </c:pt>
                <c:pt idx="17" formatCode="0.0">
                  <c:v>170</c:v>
                </c:pt>
                <c:pt idx="18" formatCode="0.0">
                  <c:v>170</c:v>
                </c:pt>
                <c:pt idx="19" formatCode="0.0">
                  <c:v>170</c:v>
                </c:pt>
                <c:pt idx="20" formatCode="0.0">
                  <c:v>170</c:v>
                </c:pt>
                <c:pt idx="21" formatCode="0.0">
                  <c:v>170</c:v>
                </c:pt>
                <c:pt idx="22" formatCode="0.0">
                  <c:v>170</c:v>
                </c:pt>
                <c:pt idx="23" formatCode="0.0">
                  <c:v>170</c:v>
                </c:pt>
                <c:pt idx="24" formatCode="0.0">
                  <c:v>170</c:v>
                </c:pt>
                <c:pt idx="25" formatCode="0.0">
                  <c:v>170</c:v>
                </c:pt>
                <c:pt idx="26" formatCode="0.0">
                  <c:v>170</c:v>
                </c:pt>
                <c:pt idx="27" formatCode="0.0">
                  <c:v>170</c:v>
                </c:pt>
                <c:pt idx="28" formatCode="0.0">
                  <c:v>170</c:v>
                </c:pt>
                <c:pt idx="29" formatCode="0.0">
                  <c:v>170</c:v>
                </c:pt>
                <c:pt idx="30" formatCode="0.0">
                  <c:v>170</c:v>
                </c:pt>
                <c:pt idx="31" formatCode="0.0">
                  <c:v>170</c:v>
                </c:pt>
                <c:pt idx="32" formatCode="0.0">
                  <c:v>170</c:v>
                </c:pt>
                <c:pt idx="33" formatCode="0.0">
                  <c:v>170</c:v>
                </c:pt>
                <c:pt idx="34" formatCode="0.0">
                  <c:v>170</c:v>
                </c:pt>
                <c:pt idx="35" formatCode="0.0">
                  <c:v>170</c:v>
                </c:pt>
                <c:pt idx="36" formatCode="0.0">
                  <c:v>167.1</c:v>
                </c:pt>
                <c:pt idx="37" formatCode="0.0">
                  <c:v>163</c:v>
                </c:pt>
                <c:pt idx="38" formatCode="0.0">
                  <c:v>159.19999999999999</c:v>
                </c:pt>
                <c:pt idx="39" formatCode="0.0">
                  <c:v>155.5</c:v>
                </c:pt>
                <c:pt idx="40" formatCode="0.0">
                  <c:v>151.9</c:v>
                </c:pt>
                <c:pt idx="41" formatCode="0.0">
                  <c:v>148.5</c:v>
                </c:pt>
                <c:pt idx="42" formatCode="0.0">
                  <c:v>145.30000000000001</c:v>
                </c:pt>
                <c:pt idx="43" formatCode="0.0">
                  <c:v>142.19999999999999</c:v>
                </c:pt>
                <c:pt idx="44" formatCode="0.0">
                  <c:v>139.30000000000001</c:v>
                </c:pt>
                <c:pt idx="45" formatCode="0.0">
                  <c:v>136.4</c:v>
                </c:pt>
                <c:pt idx="46" formatCode="0.0">
                  <c:v>133.69999999999999</c:v>
                </c:pt>
                <c:pt idx="47" formatCode="0.0">
                  <c:v>131.1</c:v>
                </c:pt>
                <c:pt idx="48" formatCode="0.0">
                  <c:v>128.5</c:v>
                </c:pt>
                <c:pt idx="49" formatCode="0.0">
                  <c:v>126.1</c:v>
                </c:pt>
                <c:pt idx="50" formatCode="0.0">
                  <c:v>123.8</c:v>
                </c:pt>
                <c:pt idx="51" formatCode="0.0">
                  <c:v>121.5</c:v>
                </c:pt>
                <c:pt idx="52" formatCode="0.0">
                  <c:v>119.4</c:v>
                </c:pt>
                <c:pt idx="53" formatCode="0.0">
                  <c:v>117.3</c:v>
                </c:pt>
                <c:pt idx="54" formatCode="0.0">
                  <c:v>115.3</c:v>
                </c:pt>
                <c:pt idx="55" formatCode="0.0">
                  <c:v>113.3</c:v>
                </c:pt>
                <c:pt idx="56" formatCode="0.0">
                  <c:v>111.4</c:v>
                </c:pt>
                <c:pt idx="57" formatCode="0.0">
                  <c:v>109.1</c:v>
                </c:pt>
                <c:pt idx="58" formatCode="0.0">
                  <c:v>106.1</c:v>
                </c:pt>
                <c:pt idx="59" formatCode="0.0">
                  <c:v>102.3</c:v>
                </c:pt>
                <c:pt idx="60" formatCode="0.0">
                  <c:v>97.8</c:v>
                </c:pt>
                <c:pt idx="61" formatCode="0.0">
                  <c:v>92.6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5B-D045-8D4E-C873F3E72A6C}"/>
            </c:ext>
          </c:extLst>
        </c:ser>
        <c:ser>
          <c:idx val="13"/>
          <c:order val="9"/>
          <c:tx>
            <c:v>G5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Map'!$AZ$2:$AZ$68</c:f>
              <c:numCache>
                <c:formatCode>General</c:formatCode>
                <c:ptCount val="67"/>
                <c:pt idx="6" formatCode="0.00">
                  <c:v>28.990929110894541</c:v>
                </c:pt>
                <c:pt idx="7" formatCode="0.00">
                  <c:v>30.7099074914324</c:v>
                </c:pt>
                <c:pt idx="8" formatCode="0.00">
                  <c:v>32.59259809868815</c:v>
                </c:pt>
                <c:pt idx="9" formatCode="0.00">
                  <c:v>34.63900093266178</c:v>
                </c:pt>
                <c:pt idx="10" formatCode="0.00">
                  <c:v>36.849115993353315</c:v>
                </c:pt>
                <c:pt idx="11" formatCode="0.00">
                  <c:v>39.222943280762728</c:v>
                </c:pt>
                <c:pt idx="12" formatCode="0.00">
                  <c:v>41.760482794890038</c:v>
                </c:pt>
                <c:pt idx="13" formatCode="0.00">
                  <c:v>44.461734535735232</c:v>
                </c:pt>
                <c:pt idx="14" formatCode="0.00">
                  <c:v>47.326698503298324</c:v>
                </c:pt>
                <c:pt idx="15" formatCode="0.00">
                  <c:v>50.355374697579315</c:v>
                </c:pt>
                <c:pt idx="16" formatCode="0.00">
                  <c:v>53.547763118578182</c:v>
                </c:pt>
                <c:pt idx="17" formatCode="0.00">
                  <c:v>56.903863766294968</c:v>
                </c:pt>
                <c:pt idx="18" formatCode="0.00">
                  <c:v>60.423676640729617</c:v>
                </c:pt>
                <c:pt idx="19" formatCode="0.00">
                  <c:v>64.10720174188215</c:v>
                </c:pt>
                <c:pt idx="20" formatCode="0.00">
                  <c:v>67.954439069752596</c:v>
                </c:pt>
                <c:pt idx="21" formatCode="0.00">
                  <c:v>71.965388624340932</c:v>
                </c:pt>
                <c:pt idx="22" formatCode="0.00">
                  <c:v>76.140050405647116</c:v>
                </c:pt>
                <c:pt idx="23" formatCode="0.00">
                  <c:v>80.478424413671249</c:v>
                </c:pt>
                <c:pt idx="24" formatCode="0.00">
                  <c:v>84.980510648413258</c:v>
                </c:pt>
                <c:pt idx="25" formatCode="0.00">
                  <c:v>89.646309109873116</c:v>
                </c:pt>
                <c:pt idx="26" formatCode="0.00">
                  <c:v>94.475819798050921</c:v>
                </c:pt>
                <c:pt idx="27" formatCode="0.00">
                  <c:v>99.469042712946575</c:v>
                </c:pt>
                <c:pt idx="28" formatCode="0.00">
                  <c:v>104.62597785456016</c:v>
                </c:pt>
                <c:pt idx="29" formatCode="0.00">
                  <c:v>109.9466252228916</c:v>
                </c:pt>
                <c:pt idx="30" formatCode="0.00">
                  <c:v>115.43098481794092</c:v>
                </c:pt>
                <c:pt idx="31" formatCode="0.00">
                  <c:v>121.07905663970821</c:v>
                </c:pt>
                <c:pt idx="32" formatCode="0.00">
                  <c:v>126.89084068819332</c:v>
                </c:pt>
                <c:pt idx="33" formatCode="0.00">
                  <c:v>132.86633696339632</c:v>
                </c:pt>
                <c:pt idx="34" formatCode="0.00">
                  <c:v>139.00554546531725</c:v>
                </c:pt>
                <c:pt idx="35" formatCode="0.00">
                  <c:v>145.30846619395606</c:v>
                </c:pt>
                <c:pt idx="36" formatCode="0.00">
                  <c:v>151.77509914931275</c:v>
                </c:pt>
                <c:pt idx="37" formatCode="0.00">
                  <c:v>158.40544433138732</c:v>
                </c:pt>
                <c:pt idx="38" formatCode="0.00">
                  <c:v>165.19950174017984</c:v>
                </c:pt>
                <c:pt idx="39" formatCode="0.00">
                  <c:v>172.15727137569019</c:v>
                </c:pt>
                <c:pt idx="40" formatCode="0.00">
                  <c:v>179.27875323791847</c:v>
                </c:pt>
                <c:pt idx="41" formatCode="0.00">
                  <c:v>186.56394732686459</c:v>
                </c:pt>
                <c:pt idx="42" formatCode="0.00">
                  <c:v>194.01285364252868</c:v>
                </c:pt>
                <c:pt idx="43" formatCode="0.00">
                  <c:v>201.62547218491065</c:v>
                </c:pt>
                <c:pt idx="44" formatCode="0.00">
                  <c:v>209.40180295401038</c:v>
                </c:pt>
                <c:pt idx="45" formatCode="0.00">
                  <c:v>217.34184594982807</c:v>
                </c:pt>
                <c:pt idx="46" formatCode="0.00">
                  <c:v>225.44560117236369</c:v>
                </c:pt>
                <c:pt idx="47" formatCode="0.00">
                  <c:v>233.71306862161714</c:v>
                </c:pt>
                <c:pt idx="48" formatCode="0.00">
                  <c:v>242.14424829758846</c:v>
                </c:pt>
                <c:pt idx="49" formatCode="0.00">
                  <c:v>250.73914020027786</c:v>
                </c:pt>
                <c:pt idx="50" formatCode="0.00">
                  <c:v>259.49774432968502</c:v>
                </c:pt>
                <c:pt idx="51" formatCode="0.00">
                  <c:v>268.42006068580991</c:v>
                </c:pt>
                <c:pt idx="52" formatCode="0.00">
                  <c:v>277.506089268653</c:v>
                </c:pt>
                <c:pt idx="53" formatCode="0.00">
                  <c:v>286.75583007821388</c:v>
                </c:pt>
                <c:pt idx="54" formatCode="0.00">
                  <c:v>296.16928311449249</c:v>
                </c:pt>
                <c:pt idx="55" formatCode="0.00">
                  <c:v>305.74644837748917</c:v>
                </c:pt>
                <c:pt idx="56" formatCode="0.00">
                  <c:v>315.48732586720371</c:v>
                </c:pt>
                <c:pt idx="57" formatCode="0.00">
                  <c:v>325.39191558363598</c:v>
                </c:pt>
                <c:pt idx="58" formatCode="0.00">
                  <c:v>335.46021752678627</c:v>
                </c:pt>
                <c:pt idx="59" formatCode="0.00">
                  <c:v>345.6922316966544</c:v>
                </c:pt>
                <c:pt idx="60" formatCode="0.00">
                  <c:v>356.08795809324062</c:v>
                </c:pt>
                <c:pt idx="61" formatCode="0.00">
                  <c:v>366.64739671654451</c:v>
                </c:pt>
                <c:pt idx="62" formatCode="0.00">
                  <c:v>377.37054756656636</c:v>
                </c:pt>
                <c:pt idx="63" formatCode="0.00">
                  <c:v>388.25741064330623</c:v>
                </c:pt>
                <c:pt idx="64" formatCode="0.00">
                  <c:v>399.30798594676372</c:v>
                </c:pt>
                <c:pt idx="65" formatCode="0.00">
                  <c:v>410.52227347693935</c:v>
                </c:pt>
                <c:pt idx="66" formatCode="0.00">
                  <c:v>421.90027323383288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77C-DA4B-A1AF-63330C937D69}"/>
            </c:ext>
          </c:extLst>
        </c:ser>
        <c:ser>
          <c:idx val="12"/>
          <c:order val="10"/>
          <c:tx>
            <c:v>G4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Map'!$AU$2:$AU$68</c:f>
              <c:numCache>
                <c:formatCode>General</c:formatCode>
                <c:ptCount val="67"/>
                <c:pt idx="6" formatCode="0.00">
                  <c:v>20.835287223978003</c:v>
                </c:pt>
                <c:pt idx="7" formatCode="0.00">
                  <c:v>21.715404154813388</c:v>
                </c:pt>
                <c:pt idx="8" formatCode="0.00">
                  <c:v>22.679341745728333</c:v>
                </c:pt>
                <c:pt idx="9" formatCode="0.00">
                  <c:v>23.727099996722828</c:v>
                </c:pt>
                <c:pt idx="10" formatCode="0.00">
                  <c:v>24.858678907796897</c:v>
                </c:pt>
                <c:pt idx="11" formatCode="0.00">
                  <c:v>26.074078478950515</c:v>
                </c:pt>
                <c:pt idx="12" formatCode="0.00">
                  <c:v>27.373298710183704</c:v>
                </c:pt>
                <c:pt idx="13" formatCode="0.00">
                  <c:v>28.756339601496435</c:v>
                </c:pt>
                <c:pt idx="14" formatCode="0.00">
                  <c:v>30.223201152888738</c:v>
                </c:pt>
                <c:pt idx="15" formatCode="0.00">
                  <c:v>31.773883364360611</c:v>
                </c:pt>
                <c:pt idx="16" formatCode="0.00">
                  <c:v>33.408386235912026</c:v>
                </c:pt>
                <c:pt idx="17" formatCode="0.00">
                  <c:v>35.126709767543012</c:v>
                </c:pt>
                <c:pt idx="18" formatCode="0.00">
                  <c:v>36.928853959253559</c:v>
                </c:pt>
                <c:pt idx="19" formatCode="0.00">
                  <c:v>38.814818811043658</c:v>
                </c:pt>
                <c:pt idx="20" formatCode="0.00">
                  <c:v>40.784604322913331</c:v>
                </c:pt>
                <c:pt idx="21" formatCode="0.00">
                  <c:v>42.838210494862544</c:v>
                </c:pt>
                <c:pt idx="22" formatCode="0.00">
                  <c:v>44.975637326891331</c:v>
                </c:pt>
                <c:pt idx="23" formatCode="0.00">
                  <c:v>47.196884818999671</c:v>
                </c:pt>
                <c:pt idx="24" formatCode="0.00">
                  <c:v>49.501952971187585</c:v>
                </c:pt>
                <c:pt idx="25" formatCode="0.00">
                  <c:v>51.890841783455038</c:v>
                </c:pt>
                <c:pt idx="26" formatCode="0.00">
                  <c:v>54.363551255802072</c:v>
                </c:pt>
                <c:pt idx="27" formatCode="0.00">
                  <c:v>56.920081388228645</c:v>
                </c:pt>
                <c:pt idx="28" formatCode="0.00">
                  <c:v>59.560432180734807</c:v>
                </c:pt>
                <c:pt idx="29" formatCode="0.00">
                  <c:v>62.284603633320494</c:v>
                </c:pt>
                <c:pt idx="30" formatCode="0.00">
                  <c:v>65.092595745985747</c:v>
                </c:pt>
                <c:pt idx="31" formatCode="0.00">
                  <c:v>67.984408518730604</c:v>
                </c:pt>
                <c:pt idx="32" formatCode="0.00">
                  <c:v>70.96004195155497</c:v>
                </c:pt>
                <c:pt idx="33" formatCode="0.00">
                  <c:v>74.019496044458933</c:v>
                </c:pt>
                <c:pt idx="34" formatCode="0.00">
                  <c:v>77.162770797442434</c:v>
                </c:pt>
                <c:pt idx="35" formatCode="0.00">
                  <c:v>80.389866210505474</c:v>
                </c:pt>
                <c:pt idx="36" formatCode="0.00">
                  <c:v>83.700782283648095</c:v>
                </c:pt>
                <c:pt idx="37" formatCode="0.00">
                  <c:v>87.095519016870284</c:v>
                </c:pt>
                <c:pt idx="38" formatCode="0.00">
                  <c:v>90.574076410172083</c:v>
                </c:pt>
                <c:pt idx="39" formatCode="0.00">
                  <c:v>94.136454463553363</c:v>
                </c:pt>
                <c:pt idx="40" formatCode="0.00">
                  <c:v>97.78265317701424</c:v>
                </c:pt>
                <c:pt idx="41" formatCode="0.00">
                  <c:v>101.51267255055465</c:v>
                </c:pt>
                <c:pt idx="42" formatCode="0.00">
                  <c:v>105.32651258417467</c:v>
                </c:pt>
                <c:pt idx="43" formatCode="0.00">
                  <c:v>109.22417327787421</c:v>
                </c:pt>
                <c:pt idx="44" formatCode="0.00">
                  <c:v>113.2056546316533</c:v>
                </c:pt>
                <c:pt idx="45" formatCode="0.00">
                  <c:v>117.27095664551196</c:v>
                </c:pt>
                <c:pt idx="46" formatCode="0.00">
                  <c:v>121.42007931945018</c:v>
                </c:pt>
                <c:pt idx="47" formatCode="0.00">
                  <c:v>125.65302265346797</c:v>
                </c:pt>
                <c:pt idx="48" formatCode="0.00">
                  <c:v>129.96978664756531</c:v>
                </c:pt>
                <c:pt idx="49" formatCode="0.00">
                  <c:v>134.37037130174221</c:v>
                </c:pt>
                <c:pt idx="50" formatCode="0.00">
                  <c:v>138.85477661599865</c:v>
                </c:pt>
                <c:pt idx="51" formatCode="0.00">
                  <c:v>143.42300259033473</c:v>
                </c:pt>
                <c:pt idx="52" formatCode="0.00">
                  <c:v>148.0750492247503</c:v>
                </c:pt>
                <c:pt idx="53" formatCode="0.00">
                  <c:v>152.81091651924547</c:v>
                </c:pt>
                <c:pt idx="54" formatCode="0.00">
                  <c:v>157.6306044738202</c:v>
                </c:pt>
                <c:pt idx="55" formatCode="0.00">
                  <c:v>162.53411308847447</c:v>
                </c:pt>
                <c:pt idx="56" formatCode="0.00">
                  <c:v>167.52144236320831</c:v>
                </c:pt>
                <c:pt idx="57" formatCode="0.00">
                  <c:v>172.59259229802169</c:v>
                </c:pt>
                <c:pt idx="58" formatCode="0.00">
                  <c:v>177.74756289291454</c:v>
                </c:pt>
                <c:pt idx="59" formatCode="0.00">
                  <c:v>182.98635414788703</c:v>
                </c:pt>
                <c:pt idx="60" formatCode="0.00">
                  <c:v>188.30896606293922</c:v>
                </c:pt>
                <c:pt idx="61" formatCode="0.00">
                  <c:v>193.71539863807075</c:v>
                </c:pt>
                <c:pt idx="62" formatCode="0.00">
                  <c:v>199.20565187328194</c:v>
                </c:pt>
                <c:pt idx="63" formatCode="0.00">
                  <c:v>204.77972576857283</c:v>
                </c:pt>
                <c:pt idx="64" formatCode="0.00">
                  <c:v>210.43762032394298</c:v>
                </c:pt>
                <c:pt idx="65" formatCode="0.00">
                  <c:v>216.17933553939289</c:v>
                </c:pt>
                <c:pt idx="66" formatCode="0.00">
                  <c:v>222.00487141492238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77C-DA4B-A1AF-63330C937D69}"/>
            </c:ext>
          </c:extLst>
        </c:ser>
        <c:ser>
          <c:idx val="11"/>
          <c:order val="11"/>
          <c:tx>
            <c:v>G3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Map'!$AP$2:$AP$68</c:f>
              <c:numCache>
                <c:formatCode>General</c:formatCode>
                <c:ptCount val="67"/>
                <c:pt idx="6" formatCode="0.00">
                  <c:v>14.25128271355322</c:v>
                </c:pt>
                <c:pt idx="7" formatCode="0.00">
                  <c:v>14.622582043749398</c:v>
                </c:pt>
                <c:pt idx="8" formatCode="0.00">
                  <c:v>15.029243214916638</c:v>
                </c:pt>
                <c:pt idx="9" formatCode="0.00">
                  <c:v>15.471266227054942</c:v>
                </c:pt>
                <c:pt idx="10" formatCode="0.00">
                  <c:v>15.948651080164314</c:v>
                </c:pt>
                <c:pt idx="11" formatCode="0.00">
                  <c:v>16.461397774244748</c:v>
                </c:pt>
                <c:pt idx="12" formatCode="0.00">
                  <c:v>17.009506309296242</c:v>
                </c:pt>
                <c:pt idx="13" formatCode="0.00">
                  <c:v>17.59297668531881</c:v>
                </c:pt>
                <c:pt idx="14" formatCode="0.00">
                  <c:v>18.211808902312438</c:v>
                </c:pt>
                <c:pt idx="15" formatCode="0.00">
                  <c:v>18.866002960277132</c:v>
                </c:pt>
                <c:pt idx="16" formatCode="0.00">
                  <c:v>19.555558859212884</c:v>
                </c:pt>
                <c:pt idx="17" formatCode="0.00">
                  <c:v>20.280476599119705</c:v>
                </c:pt>
                <c:pt idx="18" formatCode="0.00">
                  <c:v>21.040756179997594</c:v>
                </c:pt>
                <c:pt idx="19" formatCode="0.00">
                  <c:v>21.836397601846546</c:v>
                </c:pt>
                <c:pt idx="20" formatCode="0.00">
                  <c:v>22.667400864666561</c:v>
                </c:pt>
                <c:pt idx="21" formatCode="0.00">
                  <c:v>23.533765968457633</c:v>
                </c:pt>
                <c:pt idx="22" formatCode="0.00">
                  <c:v>24.435492913219775</c:v>
                </c:pt>
                <c:pt idx="23" formatCode="0.00">
                  <c:v>25.372581698952992</c:v>
                </c:pt>
                <c:pt idx="24" formatCode="0.00">
                  <c:v>26.345032325657261</c:v>
                </c:pt>
                <c:pt idx="25" formatCode="0.00">
                  <c:v>27.352844793332594</c:v>
                </c:pt>
                <c:pt idx="26" formatCode="0.00">
                  <c:v>28.396019101978993</c:v>
                </c:pt>
                <c:pt idx="27" formatCode="0.00">
                  <c:v>29.474555251596456</c:v>
                </c:pt>
                <c:pt idx="28" formatCode="0.00">
                  <c:v>30.588453242184983</c:v>
                </c:pt>
                <c:pt idx="29" formatCode="0.00">
                  <c:v>31.737713073744576</c:v>
                </c:pt>
                <c:pt idx="30" formatCode="0.00">
                  <c:v>32.922334746275247</c:v>
                </c:pt>
                <c:pt idx="31" formatCode="0.00">
                  <c:v>34.142318259776971</c:v>
                </c:pt>
                <c:pt idx="32" formatCode="0.00">
                  <c:v>35.397663614249751</c:v>
                </c:pt>
                <c:pt idx="33" formatCode="0.00">
                  <c:v>36.688370809693609</c:v>
                </c:pt>
                <c:pt idx="34" formatCode="0.00">
                  <c:v>38.014439846108523</c:v>
                </c:pt>
                <c:pt idx="35" formatCode="0.00">
                  <c:v>39.375870723494501</c:v>
                </c:pt>
                <c:pt idx="36" formatCode="0.00">
                  <c:v>40.772663441851542</c:v>
                </c:pt>
                <c:pt idx="37" formatCode="0.00">
                  <c:v>42.20481800117966</c:v>
                </c:pt>
                <c:pt idx="38" formatCode="0.00">
                  <c:v>43.672334401478828</c:v>
                </c:pt>
                <c:pt idx="39" formatCode="0.00">
                  <c:v>45.175212642749074</c:v>
                </c:pt>
                <c:pt idx="40" formatCode="0.00">
                  <c:v>46.713452724990383</c:v>
                </c:pt>
                <c:pt idx="41" formatCode="0.00">
                  <c:v>48.287054648202748</c:v>
                </c:pt>
                <c:pt idx="42" formatCode="0.00">
                  <c:v>49.896018412386184</c:v>
                </c:pt>
                <c:pt idx="43" formatCode="0.00">
                  <c:v>51.540344017540676</c:v>
                </c:pt>
                <c:pt idx="44" formatCode="0.00">
                  <c:v>53.220031463666238</c:v>
                </c:pt>
                <c:pt idx="45" formatCode="0.00">
                  <c:v>54.935080750762857</c:v>
                </c:pt>
                <c:pt idx="46" formatCode="0.00">
                  <c:v>56.685491878830533</c:v>
                </c:pt>
                <c:pt idx="47" formatCode="0.00">
                  <c:v>58.471264847869307</c:v>
                </c:pt>
                <c:pt idx="48" formatCode="0.00">
                  <c:v>60.292399657879102</c:v>
                </c:pt>
                <c:pt idx="49" formatCode="0.00">
                  <c:v>62.148896308859996</c:v>
                </c:pt>
                <c:pt idx="50" formatCode="0.00">
                  <c:v>64.040754800811953</c:v>
                </c:pt>
                <c:pt idx="51" formatCode="0.00">
                  <c:v>65.967975133734953</c:v>
                </c:pt>
                <c:pt idx="52" formatCode="0.00">
                  <c:v>67.930557307629059</c:v>
                </c:pt>
                <c:pt idx="53" formatCode="0.00">
                  <c:v>69.928501322494171</c:v>
                </c:pt>
                <c:pt idx="54" formatCode="0.00">
                  <c:v>71.961807178330375</c:v>
                </c:pt>
                <c:pt idx="55" formatCode="0.00">
                  <c:v>74.030474875137656</c:v>
                </c:pt>
                <c:pt idx="56" formatCode="0.00">
                  <c:v>76.134504412915987</c:v>
                </c:pt>
                <c:pt idx="57" formatCode="0.00">
                  <c:v>78.273895791665382</c:v>
                </c:pt>
                <c:pt idx="58" formatCode="0.00">
                  <c:v>80.448649011385839</c:v>
                </c:pt>
                <c:pt idx="59" formatCode="0.00">
                  <c:v>82.658764072077361</c:v>
                </c:pt>
                <c:pt idx="60" formatCode="0.00">
                  <c:v>84.904240973739945</c:v>
                </c:pt>
                <c:pt idx="61" formatCode="0.00">
                  <c:v>87.185079716373622</c:v>
                </c:pt>
                <c:pt idx="62" formatCode="0.00">
                  <c:v>89.501280299978319</c:v>
                </c:pt>
                <c:pt idx="63" formatCode="0.00">
                  <c:v>91.852842724554151</c:v>
                </c:pt>
                <c:pt idx="64" formatCode="0.00">
                  <c:v>94.239766990100975</c:v>
                </c:pt>
                <c:pt idx="65" formatCode="0.00">
                  <c:v>96.662053096618891</c:v>
                </c:pt>
                <c:pt idx="66" formatCode="0.00">
                  <c:v>99.119701044107899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77C-DA4B-A1AF-63330C937D69}"/>
            </c:ext>
          </c:extLst>
        </c:ser>
        <c:ser>
          <c:idx val="10"/>
          <c:order val="12"/>
          <c:tx>
            <c:v>G2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Map'!$AK$2:$AK$68</c:f>
              <c:numCache>
                <c:formatCode>General</c:formatCode>
                <c:ptCount val="67"/>
                <c:pt idx="6" formatCode="0.00">
                  <c:v>8.8460062354972493</c:v>
                </c:pt>
                <c:pt idx="7" formatCode="0.00">
                  <c:v>8.9560208518516724</c:v>
                </c:pt>
                <c:pt idx="8" formatCode="0.00">
                  <c:v>9.0765130507160396</c:v>
                </c:pt>
                <c:pt idx="9" formatCode="0.00">
                  <c:v>9.2074828320903528</c:v>
                </c:pt>
                <c:pt idx="10" formatCode="0.00">
                  <c:v>9.3489301959746118</c:v>
                </c:pt>
                <c:pt idx="11" formatCode="0.00">
                  <c:v>9.500855142368815</c:v>
                </c:pt>
                <c:pt idx="12" formatCode="0.00">
                  <c:v>9.6632576712729623</c:v>
                </c:pt>
                <c:pt idx="13" formatCode="0.00">
                  <c:v>9.836137782687052</c:v>
                </c:pt>
                <c:pt idx="14" formatCode="0.00">
                  <c:v>10.019495476611091</c:v>
                </c:pt>
                <c:pt idx="15" formatCode="0.00">
                  <c:v>10.213330753045074</c:v>
                </c:pt>
                <c:pt idx="16" formatCode="0.00">
                  <c:v>10.417643611989002</c:v>
                </c:pt>
                <c:pt idx="17" formatCode="0.00">
                  <c:v>10.632434053442877</c:v>
                </c:pt>
                <c:pt idx="18" formatCode="0.00">
                  <c:v>10.857702077406694</c:v>
                </c:pt>
                <c:pt idx="19" formatCode="0.00">
                  <c:v>11.093447683880456</c:v>
                </c:pt>
                <c:pt idx="20" formatCode="0.00">
                  <c:v>11.339670872864167</c:v>
                </c:pt>
                <c:pt idx="21" formatCode="0.00">
                  <c:v>11.596371644357816</c:v>
                </c:pt>
                <c:pt idx="22" formatCode="0.00">
                  <c:v>11.863549998361414</c:v>
                </c:pt>
                <c:pt idx="23" formatCode="0.00">
                  <c:v>12.141205934874959</c:v>
                </c:pt>
                <c:pt idx="24" formatCode="0.00">
                  <c:v>12.429339453898448</c:v>
                </c:pt>
                <c:pt idx="25" formatCode="0.00">
                  <c:v>12.72795055543188</c:v>
                </c:pt>
                <c:pt idx="26" formatCode="0.00">
                  <c:v>13.037039239475257</c:v>
                </c:pt>
                <c:pt idx="27" formatCode="0.00">
                  <c:v>13.356605506028579</c:v>
                </c:pt>
                <c:pt idx="28" formatCode="0.00">
                  <c:v>13.686649355091852</c:v>
                </c:pt>
                <c:pt idx="29" formatCode="0.00">
                  <c:v>14.02717078666506</c:v>
                </c:pt>
                <c:pt idx="30" formatCode="0.00">
                  <c:v>14.378169800748218</c:v>
                </c:pt>
                <c:pt idx="31" formatCode="0.00">
                  <c:v>14.739646397341325</c:v>
                </c:pt>
                <c:pt idx="32" formatCode="0.00">
                  <c:v>15.111600576444369</c:v>
                </c:pt>
                <c:pt idx="33" formatCode="0.00">
                  <c:v>15.494032338057366</c:v>
                </c:pt>
                <c:pt idx="34" formatCode="0.00">
                  <c:v>15.886941682180305</c:v>
                </c:pt>
                <c:pt idx="35" formatCode="0.00">
                  <c:v>16.290328608813184</c:v>
                </c:pt>
                <c:pt idx="36" formatCode="0.00">
                  <c:v>16.704193117956013</c:v>
                </c:pt>
                <c:pt idx="37" formatCode="0.00">
                  <c:v>17.128535209608781</c:v>
                </c:pt>
                <c:pt idx="38" formatCode="0.00">
                  <c:v>17.563354883771506</c:v>
                </c:pt>
                <c:pt idx="39" formatCode="0.00">
                  <c:v>18.00865214044417</c:v>
                </c:pt>
                <c:pt idx="40" formatCode="0.00">
                  <c:v>18.464426979626779</c:v>
                </c:pt>
                <c:pt idx="41" formatCode="0.00">
                  <c:v>18.930679401319328</c:v>
                </c:pt>
                <c:pt idx="42" formatCode="0.00">
                  <c:v>19.407409405521829</c:v>
                </c:pt>
                <c:pt idx="43" formatCode="0.00">
                  <c:v>19.894616992234276</c:v>
                </c:pt>
                <c:pt idx="44" formatCode="0.00">
                  <c:v>20.392302161456666</c:v>
                </c:pt>
                <c:pt idx="45" formatCode="0.00">
                  <c:v>20.900464913188994</c:v>
                </c:pt>
                <c:pt idx="46" formatCode="0.00">
                  <c:v>21.419105247431272</c:v>
                </c:pt>
                <c:pt idx="47" formatCode="0.00">
                  <c:v>21.948223164183499</c:v>
                </c:pt>
                <c:pt idx="48" formatCode="0.00">
                  <c:v>22.487818663445665</c:v>
                </c:pt>
                <c:pt idx="49" formatCode="0.00">
                  <c:v>23.037891745217777</c:v>
                </c:pt>
                <c:pt idx="50" formatCode="0.00">
                  <c:v>23.598442409499835</c:v>
                </c:pt>
                <c:pt idx="51" formatCode="0.00">
                  <c:v>24.169470656291839</c:v>
                </c:pt>
                <c:pt idx="52" formatCode="0.00">
                  <c:v>24.750976485593792</c:v>
                </c:pt>
                <c:pt idx="53" formatCode="0.00">
                  <c:v>25.342959897405681</c:v>
                </c:pt>
                <c:pt idx="54" formatCode="0.00">
                  <c:v>25.945420891727519</c:v>
                </c:pt>
                <c:pt idx="55" formatCode="0.00">
                  <c:v>26.558359468559306</c:v>
                </c:pt>
                <c:pt idx="56" formatCode="0.00">
                  <c:v>27.181775627901036</c:v>
                </c:pt>
                <c:pt idx="57" formatCode="0.00">
                  <c:v>27.815669369752708</c:v>
                </c:pt>
                <c:pt idx="58" formatCode="0.00">
                  <c:v>28.460040694114323</c:v>
                </c:pt>
                <c:pt idx="59" formatCode="0.00">
                  <c:v>29.11488960098588</c:v>
                </c:pt>
                <c:pt idx="60" formatCode="0.00">
                  <c:v>29.780216090367404</c:v>
                </c:pt>
                <c:pt idx="61" formatCode="0.00">
                  <c:v>30.456020162258842</c:v>
                </c:pt>
                <c:pt idx="62" formatCode="0.00">
                  <c:v>31.142301816660247</c:v>
                </c:pt>
                <c:pt idx="63" formatCode="0.00">
                  <c:v>31.839061053571598</c:v>
                </c:pt>
                <c:pt idx="64" formatCode="0.00">
                  <c:v>32.546297872992874</c:v>
                </c:pt>
                <c:pt idx="65" formatCode="0.00">
                  <c:v>33.264012274924113</c:v>
                </c:pt>
                <c:pt idx="66" formatCode="0.00">
                  <c:v>33.992204259365302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77C-DA4B-A1AF-63330C937D69}"/>
            </c:ext>
          </c:extLst>
        </c:ser>
        <c:ser>
          <c:idx val="9"/>
          <c:order val="13"/>
          <c:tx>
            <c:v>G1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Map'!$H$2:$H$68</c:f>
              <c:numCache>
                <c:formatCode>General</c:formatCode>
                <c:ptCount val="67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1900</c:v>
                </c:pt>
                <c:pt idx="16">
                  <c:v>2000</c:v>
                </c:pt>
                <c:pt idx="17">
                  <c:v>2100</c:v>
                </c:pt>
                <c:pt idx="18">
                  <c:v>2200</c:v>
                </c:pt>
                <c:pt idx="19">
                  <c:v>2300</c:v>
                </c:pt>
                <c:pt idx="20">
                  <c:v>2400</c:v>
                </c:pt>
                <c:pt idx="21">
                  <c:v>2500</c:v>
                </c:pt>
                <c:pt idx="22">
                  <c:v>2600</c:v>
                </c:pt>
                <c:pt idx="23">
                  <c:v>2700</c:v>
                </c:pt>
                <c:pt idx="24">
                  <c:v>2800</c:v>
                </c:pt>
                <c:pt idx="25">
                  <c:v>2900</c:v>
                </c:pt>
                <c:pt idx="26">
                  <c:v>3000</c:v>
                </c:pt>
                <c:pt idx="27">
                  <c:v>3100</c:v>
                </c:pt>
                <c:pt idx="28">
                  <c:v>3200</c:v>
                </c:pt>
                <c:pt idx="29">
                  <c:v>3300</c:v>
                </c:pt>
                <c:pt idx="30">
                  <c:v>3400</c:v>
                </c:pt>
                <c:pt idx="31">
                  <c:v>3500</c:v>
                </c:pt>
                <c:pt idx="32">
                  <c:v>3600</c:v>
                </c:pt>
                <c:pt idx="33">
                  <c:v>3700</c:v>
                </c:pt>
                <c:pt idx="34">
                  <c:v>3800</c:v>
                </c:pt>
                <c:pt idx="35">
                  <c:v>3900</c:v>
                </c:pt>
                <c:pt idx="36">
                  <c:v>4000</c:v>
                </c:pt>
                <c:pt idx="37">
                  <c:v>4100</c:v>
                </c:pt>
                <c:pt idx="38">
                  <c:v>4200</c:v>
                </c:pt>
                <c:pt idx="39">
                  <c:v>4300</c:v>
                </c:pt>
                <c:pt idx="40">
                  <c:v>4400</c:v>
                </c:pt>
                <c:pt idx="41">
                  <c:v>4500</c:v>
                </c:pt>
                <c:pt idx="42">
                  <c:v>4600</c:v>
                </c:pt>
                <c:pt idx="43">
                  <c:v>4700</c:v>
                </c:pt>
                <c:pt idx="44">
                  <c:v>4800</c:v>
                </c:pt>
                <c:pt idx="45">
                  <c:v>4900</c:v>
                </c:pt>
                <c:pt idx="46">
                  <c:v>5000</c:v>
                </c:pt>
                <c:pt idx="47">
                  <c:v>5100</c:v>
                </c:pt>
                <c:pt idx="48">
                  <c:v>5200</c:v>
                </c:pt>
                <c:pt idx="49">
                  <c:v>5300</c:v>
                </c:pt>
                <c:pt idx="50">
                  <c:v>5400</c:v>
                </c:pt>
                <c:pt idx="51">
                  <c:v>5500</c:v>
                </c:pt>
                <c:pt idx="52">
                  <c:v>5600</c:v>
                </c:pt>
                <c:pt idx="53">
                  <c:v>5700</c:v>
                </c:pt>
                <c:pt idx="54">
                  <c:v>5800</c:v>
                </c:pt>
                <c:pt idx="55">
                  <c:v>5900</c:v>
                </c:pt>
                <c:pt idx="56">
                  <c:v>6000</c:v>
                </c:pt>
                <c:pt idx="57">
                  <c:v>6100</c:v>
                </c:pt>
                <c:pt idx="58">
                  <c:v>6200</c:v>
                </c:pt>
                <c:pt idx="59">
                  <c:v>6300</c:v>
                </c:pt>
                <c:pt idx="60">
                  <c:v>6400</c:v>
                </c:pt>
                <c:pt idx="61">
                  <c:v>6500</c:v>
                </c:pt>
                <c:pt idx="62">
                  <c:v>6600</c:v>
                </c:pt>
                <c:pt idx="63">
                  <c:v>6700</c:v>
                </c:pt>
                <c:pt idx="64">
                  <c:v>6800</c:v>
                </c:pt>
                <c:pt idx="65">
                  <c:v>6900</c:v>
                </c:pt>
                <c:pt idx="66">
                  <c:v>7000</c:v>
                </c:pt>
              </c:numCache>
            </c:numRef>
          </c:xVal>
          <c:yVal>
            <c:numRef>
              <c:f>'Performance Map'!$AF$2:$AF$68</c:f>
              <c:numCache>
                <c:formatCode>General</c:formatCode>
                <c:ptCount val="67"/>
                <c:pt idx="6" formatCode="0.00">
                  <c:v>5.7033081845917772</c:v>
                </c:pt>
                <c:pt idx="7" formatCode="0.00">
                  <c:v>5.7359051079560501</c:v>
                </c:pt>
                <c:pt idx="8" formatCode="0.00">
                  <c:v>5.7716065002121599</c:v>
                </c:pt>
                <c:pt idx="9" formatCode="0.00">
                  <c:v>5.810412361360104</c:v>
                </c:pt>
                <c:pt idx="10" formatCode="0.00">
                  <c:v>5.8523226913998849</c:v>
                </c:pt>
                <c:pt idx="11" formatCode="0.00">
                  <c:v>5.8973374903314992</c:v>
                </c:pt>
                <c:pt idx="12" formatCode="0.00">
                  <c:v>5.9454567581549504</c:v>
                </c:pt>
                <c:pt idx="13" formatCode="0.00">
                  <c:v>5.9966804948702377</c:v>
                </c:pt>
                <c:pt idx="14" formatCode="0.00">
                  <c:v>6.0510087004773601</c:v>
                </c:pt>
                <c:pt idx="15" formatCode="0.00">
                  <c:v>6.1084413749763184</c:v>
                </c:pt>
                <c:pt idx="16" formatCode="0.00">
                  <c:v>6.1689785183671111</c:v>
                </c:pt>
                <c:pt idx="17" formatCode="0.00">
                  <c:v>6.2326201306497406</c:v>
                </c:pt>
                <c:pt idx="18" formatCode="0.00">
                  <c:v>6.2993662118242044</c:v>
                </c:pt>
                <c:pt idx="19" formatCode="0.00">
                  <c:v>6.3692167618905051</c:v>
                </c:pt>
                <c:pt idx="20" formatCode="0.00">
                  <c:v>6.4421717808486418</c:v>
                </c:pt>
                <c:pt idx="21" formatCode="0.00">
                  <c:v>6.5182312686986119</c:v>
                </c:pt>
                <c:pt idx="22" formatCode="0.00">
                  <c:v>6.5973952254404189</c:v>
                </c:pt>
                <c:pt idx="23" formatCode="0.00">
                  <c:v>6.679663651074061</c:v>
                </c:pt>
                <c:pt idx="24" formatCode="0.00">
                  <c:v>6.7650365455995392</c:v>
                </c:pt>
                <c:pt idx="25" formatCode="0.00">
                  <c:v>6.8535139090168533</c:v>
                </c:pt>
                <c:pt idx="26" formatCode="0.00">
                  <c:v>6.9450957413260017</c:v>
                </c:pt>
                <c:pt idx="27" formatCode="0.00">
                  <c:v>7.0397820425269853</c:v>
                </c:pt>
                <c:pt idx="28" formatCode="0.00">
                  <c:v>7.1375728126198048</c:v>
                </c:pt>
                <c:pt idx="29" formatCode="0.00">
                  <c:v>7.238468051604463</c:v>
                </c:pt>
                <c:pt idx="30" formatCode="0.00">
                  <c:v>7.3424677594809538</c:v>
                </c:pt>
                <c:pt idx="31" formatCode="0.00">
                  <c:v>7.4495719362492805</c:v>
                </c:pt>
                <c:pt idx="32" formatCode="0.00">
                  <c:v>7.5597805819094406</c:v>
                </c:pt>
                <c:pt idx="33" formatCode="0.00">
                  <c:v>7.6730936964614402</c:v>
                </c:pt>
                <c:pt idx="34" formatCode="0.00">
                  <c:v>7.7895112799052741</c:v>
                </c:pt>
                <c:pt idx="35" formatCode="0.00">
                  <c:v>7.9090333322409423</c:v>
                </c:pt>
                <c:pt idx="36" formatCode="0.00">
                  <c:v>8.0316598534684474</c:v>
                </c:pt>
                <c:pt idx="37" formatCode="0.00">
                  <c:v>8.1573908435877875</c:v>
                </c:pt>
                <c:pt idx="38" formatCode="0.00">
                  <c:v>8.2862263025989655</c:v>
                </c:pt>
                <c:pt idx="39" formatCode="0.00">
                  <c:v>8.418166230501976</c:v>
                </c:pt>
                <c:pt idx="40" formatCode="0.00">
                  <c:v>8.5532106272968225</c:v>
                </c:pt>
                <c:pt idx="41" formatCode="0.00">
                  <c:v>8.691359492983505</c:v>
                </c:pt>
                <c:pt idx="42" formatCode="0.00">
                  <c:v>8.8326128275620235</c:v>
                </c:pt>
                <c:pt idx="43" formatCode="0.00">
                  <c:v>8.9769706310323762</c:v>
                </c:pt>
                <c:pt idx="44" formatCode="0.00">
                  <c:v>9.1244329033945686</c:v>
                </c:pt>
                <c:pt idx="45" formatCode="0.00">
                  <c:v>9.2749996446485898</c:v>
                </c:pt>
                <c:pt idx="46" formatCode="0.00">
                  <c:v>9.4286708547944524</c:v>
                </c:pt>
                <c:pt idx="47" formatCode="0.00">
                  <c:v>9.5854465338321457</c:v>
                </c:pt>
                <c:pt idx="48" formatCode="0.00">
                  <c:v>9.7453266817616786</c:v>
                </c:pt>
                <c:pt idx="49" formatCode="0.00">
                  <c:v>9.9083112985830439</c:v>
                </c:pt>
                <c:pt idx="50" formatCode="0.00">
                  <c:v>10.074400384296247</c:v>
                </c:pt>
                <c:pt idx="51" formatCode="0.00">
                  <c:v>10.243593938901284</c:v>
                </c:pt>
                <c:pt idx="52" formatCode="0.00">
                  <c:v>10.415891962398158</c:v>
                </c:pt>
                <c:pt idx="53" formatCode="0.00">
                  <c:v>10.591294454786869</c:v>
                </c:pt>
                <c:pt idx="54" formatCode="0.00">
                  <c:v>10.769801416067416</c:v>
                </c:pt>
                <c:pt idx="55" formatCode="0.00">
                  <c:v>10.951412846239794</c:v>
                </c:pt>
                <c:pt idx="56" formatCode="0.00">
                  <c:v>11.13612874530401</c:v>
                </c:pt>
                <c:pt idx="57" formatCode="0.00">
                  <c:v>11.323949113260063</c:v>
                </c:pt>
                <c:pt idx="58" formatCode="0.00">
                  <c:v>11.514873950107946</c:v>
                </c:pt>
                <c:pt idx="59" formatCode="0.00">
                  <c:v>11.708903255847666</c:v>
                </c:pt>
                <c:pt idx="60" formatCode="0.00">
                  <c:v>11.906037030479228</c:v>
                </c:pt>
                <c:pt idx="61" formatCode="0.00">
                  <c:v>12.10627527400262</c:v>
                </c:pt>
                <c:pt idx="62" formatCode="0.00">
                  <c:v>12.309617986417853</c:v>
                </c:pt>
                <c:pt idx="63" formatCode="0.00">
                  <c:v>12.516065167724912</c:v>
                </c:pt>
                <c:pt idx="64" formatCode="0.00">
                  <c:v>12.725616817923814</c:v>
                </c:pt>
                <c:pt idx="65" formatCode="0.00">
                  <c:v>12.938272937014551</c:v>
                </c:pt>
                <c:pt idx="66" formatCode="0.00">
                  <c:v>13.154033524997125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77C-DA4B-A1AF-63330C937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44127"/>
        <c:axId val="1892161375"/>
      </c:scatterChart>
      <c:valAx>
        <c:axId val="1892144127"/>
        <c:scaling>
          <c:orientation val="minMax"/>
          <c:max val="7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RPM</a:t>
                </a:r>
              </a:p>
            </c:rich>
          </c:tx>
          <c:layout>
            <c:manualLayout>
              <c:xMode val="edge"/>
              <c:yMode val="edge"/>
              <c:x val="0.48782693932300231"/>
              <c:y val="0.918797546012270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61375"/>
        <c:crosses val="autoZero"/>
        <c:crossBetween val="midCat"/>
      </c:valAx>
      <c:valAx>
        <c:axId val="1892161375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Torque (Nm)</a:t>
                </a:r>
              </a:p>
            </c:rich>
          </c:tx>
          <c:layout>
            <c:manualLayout>
              <c:xMode val="edge"/>
              <c:yMode val="edge"/>
              <c:x val="1.9656019656019656E-2"/>
              <c:y val="0.38755615670740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4412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691858636621138"/>
          <c:y val="0.13620269552195546"/>
          <c:w val="0.22469765343979686"/>
          <c:h val="0.11296984392655904"/>
        </c:manualLayout>
      </c:layout>
      <c:overlay val="1"/>
      <c:spPr>
        <a:solidFill>
          <a:schemeClr val="bg1"/>
        </a:solidFill>
        <a:ln>
          <a:solidFill>
            <a:schemeClr val="accent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Available Tractive Force in Different Gears</a:t>
            </a:r>
          </a:p>
        </c:rich>
      </c:tx>
      <c:layout>
        <c:manualLayout>
          <c:xMode val="edge"/>
          <c:yMode val="edge"/>
          <c:x val="0.27841227217115788"/>
          <c:y val="4.6650079520729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29359726448533"/>
          <c:y val="0.13844181440510117"/>
          <c:w val="0.76403362926247764"/>
          <c:h val="0.72694034104632621"/>
        </c:manualLayout>
      </c:layout>
      <c:scatterChart>
        <c:scatterStyle val="smoothMarker"/>
        <c:varyColors val="0"/>
        <c:ser>
          <c:idx val="0"/>
          <c:order val="0"/>
          <c:tx>
            <c:v>F @70kW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Map'!$T$2:$T$68</c:f>
              <c:numCache>
                <c:formatCode>General</c:formatCode>
                <c:ptCount val="6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</c:numCache>
            </c:numRef>
          </c:xVal>
          <c:yVal>
            <c:numRef>
              <c:f>'Performance Map'!$U$2:$U$68</c:f>
              <c:numCache>
                <c:formatCode>0</c:formatCode>
                <c:ptCount val="67"/>
                <c:pt idx="1">
                  <c:v>52195.180147936051</c:v>
                </c:pt>
                <c:pt idx="2">
                  <c:v>26097.590073968026</c:v>
                </c:pt>
                <c:pt idx="3">
                  <c:v>17398.39338264535</c:v>
                </c:pt>
                <c:pt idx="4">
                  <c:v>13048.795036984013</c:v>
                </c:pt>
                <c:pt idx="5">
                  <c:v>10439.036029587211</c:v>
                </c:pt>
                <c:pt idx="6">
                  <c:v>8699.1966913226752</c:v>
                </c:pt>
                <c:pt idx="7">
                  <c:v>7456.454306848007</c:v>
                </c:pt>
                <c:pt idx="8">
                  <c:v>6524.3975184920064</c:v>
                </c:pt>
                <c:pt idx="9">
                  <c:v>5799.4644608817844</c:v>
                </c:pt>
                <c:pt idx="10">
                  <c:v>5219.5180147936053</c:v>
                </c:pt>
                <c:pt idx="11">
                  <c:v>4745.0163770850959</c:v>
                </c:pt>
                <c:pt idx="12">
                  <c:v>4349.5983456613376</c:v>
                </c:pt>
                <c:pt idx="13">
                  <c:v>4015.0138575335423</c:v>
                </c:pt>
                <c:pt idx="14">
                  <c:v>3728.2271534240035</c:v>
                </c:pt>
                <c:pt idx="15">
                  <c:v>3479.6786765290699</c:v>
                </c:pt>
                <c:pt idx="16">
                  <c:v>3262.1987592460032</c:v>
                </c:pt>
                <c:pt idx="17">
                  <c:v>3070.3047145844739</c:v>
                </c:pt>
                <c:pt idx="18">
                  <c:v>2899.7322304408922</c:v>
                </c:pt>
                <c:pt idx="19">
                  <c:v>2747.1147446282134</c:v>
                </c:pt>
                <c:pt idx="20">
                  <c:v>2609.7590073968026</c:v>
                </c:pt>
                <c:pt idx="21">
                  <c:v>2485.4847689493358</c:v>
                </c:pt>
                <c:pt idx="22">
                  <c:v>2372.5081885425479</c:v>
                </c:pt>
                <c:pt idx="23">
                  <c:v>2269.3556586059153</c:v>
                </c:pt>
                <c:pt idx="24">
                  <c:v>2174.7991728306688</c:v>
                </c:pt>
                <c:pt idx="25">
                  <c:v>2087.8072059174424</c:v>
                </c:pt>
                <c:pt idx="26">
                  <c:v>2007.5069287667711</c:v>
                </c:pt>
                <c:pt idx="27">
                  <c:v>1933.154820293928</c:v>
                </c:pt>
                <c:pt idx="28">
                  <c:v>1864.1135767120018</c:v>
                </c:pt>
                <c:pt idx="29">
                  <c:v>1799.8337982046914</c:v>
                </c:pt>
                <c:pt idx="30">
                  <c:v>1739.8393382645349</c:v>
                </c:pt>
                <c:pt idx="31">
                  <c:v>1683.7154886430985</c:v>
                </c:pt>
                <c:pt idx="32">
                  <c:v>1631.0993796230016</c:v>
                </c:pt>
                <c:pt idx="33">
                  <c:v>1581.672125695032</c:v>
                </c:pt>
                <c:pt idx="34">
                  <c:v>1535.152357292237</c:v>
                </c:pt>
                <c:pt idx="35">
                  <c:v>1491.2908613696015</c:v>
                </c:pt>
                <c:pt idx="36">
                  <c:v>1449.8661152204461</c:v>
                </c:pt>
                <c:pt idx="37">
                  <c:v>1410.6805445388122</c:v>
                </c:pt>
                <c:pt idx="38">
                  <c:v>1373.5573723141067</c:v>
                </c:pt>
                <c:pt idx="39">
                  <c:v>1338.3379525111809</c:v>
                </c:pt>
                <c:pt idx="40">
                  <c:v>1304.8795036984013</c:v>
                </c:pt>
                <c:pt idx="41">
                  <c:v>1273.0531743399038</c:v>
                </c:pt>
                <c:pt idx="42">
                  <c:v>1242.7423844746679</c:v>
                </c:pt>
                <c:pt idx="43">
                  <c:v>1213.8413987892106</c:v>
                </c:pt>
                <c:pt idx="44">
                  <c:v>1186.254094271274</c:v>
                </c:pt>
                <c:pt idx="45">
                  <c:v>1159.8928921763568</c:v>
                </c:pt>
                <c:pt idx="46">
                  <c:v>1134.6778293029577</c:v>
                </c:pt>
                <c:pt idx="47">
                  <c:v>1110.5357478284266</c:v>
                </c:pt>
                <c:pt idx="48">
                  <c:v>1087.3995864153344</c:v>
                </c:pt>
                <c:pt idx="49">
                  <c:v>1065.207758121144</c:v>
                </c:pt>
                <c:pt idx="50">
                  <c:v>1043.9036029587212</c:v>
                </c:pt>
                <c:pt idx="51">
                  <c:v>1023.4349048614912</c:v>
                </c:pt>
                <c:pt idx="52">
                  <c:v>1003.7534643833856</c:v>
                </c:pt>
                <c:pt idx="53">
                  <c:v>984.81471977237845</c:v>
                </c:pt>
                <c:pt idx="54">
                  <c:v>966.57741014696398</c:v>
                </c:pt>
                <c:pt idx="55">
                  <c:v>949.00327541701915</c:v>
                </c:pt>
                <c:pt idx="56">
                  <c:v>932.05678835600088</c:v>
                </c:pt>
                <c:pt idx="57">
                  <c:v>915.70491487607114</c:v>
                </c:pt>
                <c:pt idx="58">
                  <c:v>899.91689910234572</c:v>
                </c:pt>
                <c:pt idx="59">
                  <c:v>884.66407030400092</c:v>
                </c:pt>
                <c:pt idx="60">
                  <c:v>869.91966913226747</c:v>
                </c:pt>
                <c:pt idx="61">
                  <c:v>855.65869094977143</c:v>
                </c:pt>
                <c:pt idx="62">
                  <c:v>841.85774432154926</c:v>
                </c:pt>
                <c:pt idx="63">
                  <c:v>828.49492298311191</c:v>
                </c:pt>
                <c:pt idx="64">
                  <c:v>815.5496898115008</c:v>
                </c:pt>
                <c:pt idx="65">
                  <c:v>803.00277150670854</c:v>
                </c:pt>
                <c:pt idx="66">
                  <c:v>790.83606284751602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3F9-E049-9FC9-69D2743B34ED}"/>
            </c:ext>
          </c:extLst>
        </c:ser>
        <c:ser>
          <c:idx val="1"/>
          <c:order val="1"/>
          <c:tx>
            <c:v>F @0°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Map'!$T$2:$T$68</c:f>
              <c:numCache>
                <c:formatCode>General</c:formatCode>
                <c:ptCount val="6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</c:numCache>
            </c:numRef>
          </c:xVal>
          <c:yVal>
            <c:numRef>
              <c:f>'Performance Map'!$V$2:$V$68</c:f>
              <c:numCache>
                <c:formatCode>0</c:formatCode>
                <c:ptCount val="67"/>
                <c:pt idx="0">
                  <c:v>170.92944</c:v>
                </c:pt>
                <c:pt idx="1">
                  <c:v>171.67422345597851</c:v>
                </c:pt>
                <c:pt idx="2">
                  <c:v>173.908573823914</c:v>
                </c:pt>
                <c:pt idx="3">
                  <c:v>177.63249110380647</c:v>
                </c:pt>
                <c:pt idx="4">
                  <c:v>182.84597529565593</c:v>
                </c:pt>
                <c:pt idx="5">
                  <c:v>189.54902639946241</c:v>
                </c:pt>
                <c:pt idx="6">
                  <c:v>197.74164441522586</c:v>
                </c:pt>
                <c:pt idx="7">
                  <c:v>207.42382934294631</c:v>
                </c:pt>
                <c:pt idx="8">
                  <c:v>218.59558118262373</c:v>
                </c:pt>
                <c:pt idx="9">
                  <c:v>231.25689993425817</c:v>
                </c:pt>
                <c:pt idx="10">
                  <c:v>245.40778559784957</c:v>
                </c:pt>
                <c:pt idx="11">
                  <c:v>261.04823817339798</c:v>
                </c:pt>
                <c:pt idx="12">
                  <c:v>278.17825766090345</c:v>
                </c:pt>
                <c:pt idx="13">
                  <c:v>296.79784406036583</c:v>
                </c:pt>
                <c:pt idx="14">
                  <c:v>316.90699737178522</c:v>
                </c:pt>
                <c:pt idx="15">
                  <c:v>338.50571759516163</c:v>
                </c:pt>
                <c:pt idx="16">
                  <c:v>361.59400473049499</c:v>
                </c:pt>
                <c:pt idx="17">
                  <c:v>386.1718587777853</c:v>
                </c:pt>
                <c:pt idx="18">
                  <c:v>412.23927973703263</c:v>
                </c:pt>
                <c:pt idx="19">
                  <c:v>439.79626760823703</c:v>
                </c:pt>
                <c:pt idx="20">
                  <c:v>468.84282239139833</c:v>
                </c:pt>
                <c:pt idx="21">
                  <c:v>499.3789440865167</c:v>
                </c:pt>
                <c:pt idx="22">
                  <c:v>531.40463269359202</c:v>
                </c:pt>
                <c:pt idx="23">
                  <c:v>564.9198882126243</c:v>
                </c:pt>
                <c:pt idx="24">
                  <c:v>599.92471064361371</c:v>
                </c:pt>
                <c:pt idx="25">
                  <c:v>636.4190999865599</c:v>
                </c:pt>
                <c:pt idx="26">
                  <c:v>674.40305624146333</c:v>
                </c:pt>
                <c:pt idx="27">
                  <c:v>713.87657940832344</c:v>
                </c:pt>
                <c:pt idx="28">
                  <c:v>754.83966948714101</c:v>
                </c:pt>
                <c:pt idx="29">
                  <c:v>797.29232647791503</c:v>
                </c:pt>
                <c:pt idx="30">
                  <c:v>841.23455038064651</c:v>
                </c:pt>
                <c:pt idx="31">
                  <c:v>886.66634119533444</c:v>
                </c:pt>
                <c:pt idx="32">
                  <c:v>933.58769892197995</c:v>
                </c:pt>
                <c:pt idx="33">
                  <c:v>981.99862356058213</c:v>
                </c:pt>
                <c:pt idx="34">
                  <c:v>1031.8991151111413</c:v>
                </c:pt>
                <c:pt idx="35">
                  <c:v>1083.2891735736578</c:v>
                </c:pt>
                <c:pt idx="36">
                  <c:v>1136.1687989481306</c:v>
                </c:pt>
                <c:pt idx="37">
                  <c:v>1190.5379912345611</c:v>
                </c:pt>
                <c:pt idx="38">
                  <c:v>1246.396750432948</c:v>
                </c:pt>
                <c:pt idx="39">
                  <c:v>1303.7450765432923</c:v>
                </c:pt>
                <c:pt idx="40">
                  <c:v>1362.5829695655934</c:v>
                </c:pt>
                <c:pt idx="41">
                  <c:v>1422.9104294998519</c:v>
                </c:pt>
                <c:pt idx="42">
                  <c:v>1484.7274563460669</c:v>
                </c:pt>
                <c:pt idx="43">
                  <c:v>1548.0340501042392</c:v>
                </c:pt>
                <c:pt idx="44">
                  <c:v>1612.830210774368</c:v>
                </c:pt>
                <c:pt idx="45">
                  <c:v>1679.1159383564541</c:v>
                </c:pt>
                <c:pt idx="46">
                  <c:v>1746.8912328504971</c:v>
                </c:pt>
                <c:pt idx="47">
                  <c:v>1816.1560942564979</c:v>
                </c:pt>
                <c:pt idx="48">
                  <c:v>1886.9105225744552</c:v>
                </c:pt>
                <c:pt idx="49">
                  <c:v>1959.154517804368</c:v>
                </c:pt>
                <c:pt idx="50">
                  <c:v>2032.8880799462395</c:v>
                </c:pt>
                <c:pt idx="51">
                  <c:v>2108.1112090000684</c:v>
                </c:pt>
                <c:pt idx="52">
                  <c:v>2184.8239049658532</c:v>
                </c:pt>
                <c:pt idx="53">
                  <c:v>2263.026167843595</c:v>
                </c:pt>
                <c:pt idx="54">
                  <c:v>2342.7179976332936</c:v>
                </c:pt>
                <c:pt idx="55">
                  <c:v>2423.8993943349506</c:v>
                </c:pt>
                <c:pt idx="56">
                  <c:v>2506.5703579485639</c:v>
                </c:pt>
                <c:pt idx="57">
                  <c:v>2590.7308884741328</c:v>
                </c:pt>
                <c:pt idx="58">
                  <c:v>2676.38098591166</c:v>
                </c:pt>
                <c:pt idx="59">
                  <c:v>2763.520650261145</c:v>
                </c:pt>
                <c:pt idx="60">
                  <c:v>2852.1498815225859</c:v>
                </c:pt>
                <c:pt idx="61">
                  <c:v>2942.2686796959833</c:v>
                </c:pt>
                <c:pt idx="62">
                  <c:v>3033.8770447813376</c:v>
                </c:pt>
                <c:pt idx="63">
                  <c:v>3126.9749767786507</c:v>
                </c:pt>
                <c:pt idx="64">
                  <c:v>3221.5624756879197</c:v>
                </c:pt>
                <c:pt idx="65">
                  <c:v>3317.6395415091451</c:v>
                </c:pt>
                <c:pt idx="66">
                  <c:v>3415.2061742423284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3F9-E049-9FC9-69D2743B34ED}"/>
            </c:ext>
          </c:extLst>
        </c:ser>
        <c:ser>
          <c:idx val="2"/>
          <c:order val="2"/>
          <c:tx>
            <c:v>F @5°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Map'!$T$2:$T$68</c:f>
              <c:numCache>
                <c:formatCode>General</c:formatCode>
                <c:ptCount val="6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</c:numCache>
            </c:numRef>
          </c:xVal>
          <c:yVal>
            <c:numRef>
              <c:f>'Performance Map'!$W$2:$W$68</c:f>
              <c:numCache>
                <c:formatCode>0</c:formatCode>
                <c:ptCount val="67"/>
                <c:pt idx="0">
                  <c:v>1101.3716456658706</c:v>
                </c:pt>
                <c:pt idx="1">
                  <c:v>1102.116429121849</c:v>
                </c:pt>
                <c:pt idx="2">
                  <c:v>1104.3507794897846</c:v>
                </c:pt>
                <c:pt idx="3">
                  <c:v>1108.0746967696771</c:v>
                </c:pt>
                <c:pt idx="4">
                  <c:v>1113.2881809615265</c:v>
                </c:pt>
                <c:pt idx="5">
                  <c:v>1119.991232065333</c:v>
                </c:pt>
                <c:pt idx="6">
                  <c:v>1128.1838500810964</c:v>
                </c:pt>
                <c:pt idx="7">
                  <c:v>1137.8660350088169</c:v>
                </c:pt>
                <c:pt idx="8">
                  <c:v>1149.0377868484943</c:v>
                </c:pt>
                <c:pt idx="9">
                  <c:v>1161.6991056001286</c:v>
                </c:pt>
                <c:pt idx="10">
                  <c:v>1175.8499912637201</c:v>
                </c:pt>
                <c:pt idx="11">
                  <c:v>1191.4904438392687</c:v>
                </c:pt>
                <c:pt idx="12">
                  <c:v>1208.6204633267739</c:v>
                </c:pt>
                <c:pt idx="13">
                  <c:v>1227.2400497262365</c:v>
                </c:pt>
                <c:pt idx="14">
                  <c:v>1247.3492030376558</c:v>
                </c:pt>
                <c:pt idx="15">
                  <c:v>1268.9479232610322</c:v>
                </c:pt>
                <c:pt idx="16">
                  <c:v>1292.0362103963655</c:v>
                </c:pt>
                <c:pt idx="17">
                  <c:v>1316.6140644436559</c:v>
                </c:pt>
                <c:pt idx="18">
                  <c:v>1342.6814854029033</c:v>
                </c:pt>
                <c:pt idx="19">
                  <c:v>1370.2384732741075</c:v>
                </c:pt>
                <c:pt idx="20">
                  <c:v>1399.2850280572688</c:v>
                </c:pt>
                <c:pt idx="21">
                  <c:v>1429.8211497523873</c:v>
                </c:pt>
                <c:pt idx="22">
                  <c:v>1461.8468383594627</c:v>
                </c:pt>
                <c:pt idx="23">
                  <c:v>1495.3620938784948</c:v>
                </c:pt>
                <c:pt idx="24">
                  <c:v>1530.3669163094844</c:v>
                </c:pt>
                <c:pt idx="25">
                  <c:v>1566.8613056524305</c:v>
                </c:pt>
                <c:pt idx="26">
                  <c:v>1604.8452619073339</c:v>
                </c:pt>
                <c:pt idx="27">
                  <c:v>1644.318785074194</c:v>
                </c:pt>
                <c:pt idx="28">
                  <c:v>1685.2818751530117</c:v>
                </c:pt>
                <c:pt idx="29">
                  <c:v>1727.7345321437856</c:v>
                </c:pt>
                <c:pt idx="30">
                  <c:v>1771.6767560465171</c:v>
                </c:pt>
                <c:pt idx="31">
                  <c:v>1817.108546861205</c:v>
                </c:pt>
                <c:pt idx="32">
                  <c:v>1864.0299045878505</c:v>
                </c:pt>
                <c:pt idx="33">
                  <c:v>1912.4408292264527</c:v>
                </c:pt>
                <c:pt idx="34">
                  <c:v>1962.3413207770118</c:v>
                </c:pt>
                <c:pt idx="35">
                  <c:v>2013.7313792395285</c:v>
                </c:pt>
                <c:pt idx="36">
                  <c:v>2066.6110046140011</c:v>
                </c:pt>
                <c:pt idx="37">
                  <c:v>2120.9801969004316</c:v>
                </c:pt>
                <c:pt idx="38">
                  <c:v>2176.8389560988189</c:v>
                </c:pt>
                <c:pt idx="39">
                  <c:v>2234.1872822091627</c:v>
                </c:pt>
                <c:pt idx="40">
                  <c:v>2293.0251752314639</c:v>
                </c:pt>
                <c:pt idx="41">
                  <c:v>2353.3526351657224</c:v>
                </c:pt>
                <c:pt idx="42">
                  <c:v>2415.1696620119374</c:v>
                </c:pt>
                <c:pt idx="43">
                  <c:v>2478.4762557701097</c:v>
                </c:pt>
                <c:pt idx="44">
                  <c:v>2543.2724164402389</c:v>
                </c:pt>
                <c:pt idx="45">
                  <c:v>2609.558144022325</c:v>
                </c:pt>
                <c:pt idx="46">
                  <c:v>2677.333438516368</c:v>
                </c:pt>
                <c:pt idx="47">
                  <c:v>2746.5982999223684</c:v>
                </c:pt>
                <c:pt idx="48">
                  <c:v>2817.3527282403256</c:v>
                </c:pt>
                <c:pt idx="49">
                  <c:v>2889.5967234702384</c:v>
                </c:pt>
                <c:pt idx="50">
                  <c:v>2963.3302856121099</c:v>
                </c:pt>
                <c:pt idx="51">
                  <c:v>3038.5534146659388</c:v>
                </c:pt>
                <c:pt idx="52">
                  <c:v>3115.2661106317237</c:v>
                </c:pt>
                <c:pt idx="53">
                  <c:v>3193.4683735094659</c:v>
                </c:pt>
                <c:pt idx="54">
                  <c:v>3273.1602032991641</c:v>
                </c:pt>
                <c:pt idx="55">
                  <c:v>3354.341600000821</c:v>
                </c:pt>
                <c:pt idx="56">
                  <c:v>3437.0125636144348</c:v>
                </c:pt>
                <c:pt idx="57">
                  <c:v>3521.1730941400037</c:v>
                </c:pt>
                <c:pt idx="58">
                  <c:v>3606.8231915775305</c:v>
                </c:pt>
                <c:pt idx="59">
                  <c:v>3693.9628559270159</c:v>
                </c:pt>
                <c:pt idx="60">
                  <c:v>3782.5920871884564</c:v>
                </c:pt>
                <c:pt idx="61">
                  <c:v>3872.7108853618538</c:v>
                </c:pt>
                <c:pt idx="62">
                  <c:v>3964.3192504472081</c:v>
                </c:pt>
                <c:pt idx="63">
                  <c:v>4057.4171824445211</c:v>
                </c:pt>
                <c:pt idx="64">
                  <c:v>4152.0046813537901</c:v>
                </c:pt>
                <c:pt idx="65">
                  <c:v>4248.0817471750161</c:v>
                </c:pt>
                <c:pt idx="66">
                  <c:v>4345.6483799081989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3F9-E049-9FC9-69D2743B34ED}"/>
            </c:ext>
          </c:extLst>
        </c:ser>
        <c:ser>
          <c:idx val="3"/>
          <c:order val="3"/>
          <c:tx>
            <c:v>F @10°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Map'!$T$2:$T$68</c:f>
              <c:numCache>
                <c:formatCode>General</c:formatCode>
                <c:ptCount val="6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</c:numCache>
            </c:numRef>
          </c:xVal>
          <c:yVal>
            <c:numRef>
              <c:f>'Performance Map'!$X$2:$X$68</c:f>
              <c:numCache>
                <c:formatCode>0</c:formatCode>
                <c:ptCount val="67"/>
                <c:pt idx="0">
                  <c:v>2023.4317480818418</c:v>
                </c:pt>
                <c:pt idx="1">
                  <c:v>2024.1765315378202</c:v>
                </c:pt>
                <c:pt idx="2">
                  <c:v>2026.4108819057558</c:v>
                </c:pt>
                <c:pt idx="3">
                  <c:v>2030.1347991856483</c:v>
                </c:pt>
                <c:pt idx="4">
                  <c:v>2035.3482833774976</c:v>
                </c:pt>
                <c:pt idx="5">
                  <c:v>2042.0513344813041</c:v>
                </c:pt>
                <c:pt idx="6">
                  <c:v>2050.2439524970678</c:v>
                </c:pt>
                <c:pt idx="7">
                  <c:v>2059.9261374247881</c:v>
                </c:pt>
                <c:pt idx="8">
                  <c:v>2071.0978892644657</c:v>
                </c:pt>
                <c:pt idx="9">
                  <c:v>2083.7592080160998</c:v>
                </c:pt>
                <c:pt idx="10">
                  <c:v>2097.9100936796913</c:v>
                </c:pt>
                <c:pt idx="11">
                  <c:v>2113.5505462552396</c:v>
                </c:pt>
                <c:pt idx="12">
                  <c:v>2130.6805657427453</c:v>
                </c:pt>
                <c:pt idx="13">
                  <c:v>2149.3001521422075</c:v>
                </c:pt>
                <c:pt idx="14">
                  <c:v>2169.409305453627</c:v>
                </c:pt>
                <c:pt idx="15">
                  <c:v>2191.0080256770034</c:v>
                </c:pt>
                <c:pt idx="16">
                  <c:v>2214.0963128123367</c:v>
                </c:pt>
                <c:pt idx="17">
                  <c:v>2238.6741668596269</c:v>
                </c:pt>
                <c:pt idx="18">
                  <c:v>2264.7415878188745</c:v>
                </c:pt>
                <c:pt idx="19">
                  <c:v>2292.2985756900789</c:v>
                </c:pt>
                <c:pt idx="20">
                  <c:v>2321.3451304732403</c:v>
                </c:pt>
                <c:pt idx="21">
                  <c:v>2351.8812521683585</c:v>
                </c:pt>
                <c:pt idx="22">
                  <c:v>2383.9069407754337</c:v>
                </c:pt>
                <c:pt idx="23">
                  <c:v>2417.4221962944662</c:v>
                </c:pt>
                <c:pt idx="24">
                  <c:v>2452.4270187254556</c:v>
                </c:pt>
                <c:pt idx="25">
                  <c:v>2488.9214080684014</c:v>
                </c:pt>
                <c:pt idx="26">
                  <c:v>2526.9053643233051</c:v>
                </c:pt>
                <c:pt idx="27">
                  <c:v>2566.3788874901652</c:v>
                </c:pt>
                <c:pt idx="28">
                  <c:v>2607.3419775689827</c:v>
                </c:pt>
                <c:pt idx="29">
                  <c:v>2649.7946345597566</c:v>
                </c:pt>
                <c:pt idx="30">
                  <c:v>2693.7368584624883</c:v>
                </c:pt>
                <c:pt idx="31">
                  <c:v>2739.168649277176</c:v>
                </c:pt>
                <c:pt idx="32">
                  <c:v>2786.0900070038215</c:v>
                </c:pt>
                <c:pt idx="33">
                  <c:v>2834.5009316424239</c:v>
                </c:pt>
                <c:pt idx="34">
                  <c:v>2884.4014231929832</c:v>
                </c:pt>
                <c:pt idx="35">
                  <c:v>2935.7914816554994</c:v>
                </c:pt>
                <c:pt idx="36">
                  <c:v>2988.6711070299725</c:v>
                </c:pt>
                <c:pt idx="37">
                  <c:v>3043.040299316403</c:v>
                </c:pt>
                <c:pt idx="38">
                  <c:v>3098.8990585147899</c:v>
                </c:pt>
                <c:pt idx="39">
                  <c:v>3156.2473846251341</c:v>
                </c:pt>
                <c:pt idx="40">
                  <c:v>3215.0852776474349</c:v>
                </c:pt>
                <c:pt idx="41">
                  <c:v>3275.4127375816934</c:v>
                </c:pt>
                <c:pt idx="42">
                  <c:v>3337.2297644279088</c:v>
                </c:pt>
                <c:pt idx="43">
                  <c:v>3400.5363581860811</c:v>
                </c:pt>
                <c:pt idx="44">
                  <c:v>3465.3325188562098</c:v>
                </c:pt>
                <c:pt idx="45">
                  <c:v>3531.618246438296</c:v>
                </c:pt>
                <c:pt idx="46">
                  <c:v>3599.393540932339</c:v>
                </c:pt>
                <c:pt idx="47">
                  <c:v>3668.6584023383393</c:v>
                </c:pt>
                <c:pt idx="48">
                  <c:v>3739.412830656297</c:v>
                </c:pt>
                <c:pt idx="49">
                  <c:v>3811.6568258862098</c:v>
                </c:pt>
                <c:pt idx="50">
                  <c:v>3885.3903880280814</c:v>
                </c:pt>
                <c:pt idx="51">
                  <c:v>3960.6135170819098</c:v>
                </c:pt>
                <c:pt idx="52">
                  <c:v>4037.3262130476951</c:v>
                </c:pt>
                <c:pt idx="53">
                  <c:v>4115.5284759254373</c:v>
                </c:pt>
                <c:pt idx="54">
                  <c:v>4195.2203057151355</c:v>
                </c:pt>
                <c:pt idx="55">
                  <c:v>4276.4017024167924</c:v>
                </c:pt>
                <c:pt idx="56">
                  <c:v>4359.0726660304063</c:v>
                </c:pt>
                <c:pt idx="57">
                  <c:v>4443.2331965559752</c:v>
                </c:pt>
                <c:pt idx="58">
                  <c:v>4528.8832939935019</c:v>
                </c:pt>
                <c:pt idx="59">
                  <c:v>4616.0229583429864</c:v>
                </c:pt>
                <c:pt idx="60">
                  <c:v>4704.6521896044278</c:v>
                </c:pt>
                <c:pt idx="61">
                  <c:v>4794.7709877778252</c:v>
                </c:pt>
                <c:pt idx="62">
                  <c:v>4886.3793528631795</c:v>
                </c:pt>
                <c:pt idx="63">
                  <c:v>4979.4772848604925</c:v>
                </c:pt>
                <c:pt idx="64">
                  <c:v>5074.0647837697616</c:v>
                </c:pt>
                <c:pt idx="65">
                  <c:v>5170.1418495909875</c:v>
                </c:pt>
                <c:pt idx="66">
                  <c:v>5267.7084823241703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3F9-E049-9FC9-69D2743B34ED}"/>
            </c:ext>
          </c:extLst>
        </c:ser>
        <c:ser>
          <c:idx val="4"/>
          <c:order val="4"/>
          <c:tx>
            <c:v>F @15°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Map'!$T$2:$T$68</c:f>
              <c:numCache>
                <c:formatCode>General</c:formatCode>
                <c:ptCount val="6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</c:numCache>
            </c:numRef>
          </c:xVal>
          <c:yVal>
            <c:numRef>
              <c:f>'Performance Map'!$Y$2:$Y$68</c:f>
              <c:numCache>
                <c:formatCode>0</c:formatCode>
                <c:ptCount val="67"/>
                <c:pt idx="0">
                  <c:v>2930.0923131134159</c:v>
                </c:pt>
                <c:pt idx="1">
                  <c:v>2930.8370965693944</c:v>
                </c:pt>
                <c:pt idx="2">
                  <c:v>2933.0714469373297</c:v>
                </c:pt>
                <c:pt idx="3">
                  <c:v>2936.7953642172224</c:v>
                </c:pt>
                <c:pt idx="4">
                  <c:v>2942.008848409072</c:v>
                </c:pt>
                <c:pt idx="5">
                  <c:v>2948.7118995128785</c:v>
                </c:pt>
                <c:pt idx="6">
                  <c:v>2956.9045175286419</c:v>
                </c:pt>
                <c:pt idx="7">
                  <c:v>2966.5867024563622</c:v>
                </c:pt>
                <c:pt idx="8">
                  <c:v>2977.7584542960399</c:v>
                </c:pt>
                <c:pt idx="9">
                  <c:v>2990.419773047674</c:v>
                </c:pt>
                <c:pt idx="10">
                  <c:v>3004.5706587112654</c:v>
                </c:pt>
                <c:pt idx="11">
                  <c:v>3020.2111112868138</c:v>
                </c:pt>
                <c:pt idx="12">
                  <c:v>3037.3411307743195</c:v>
                </c:pt>
                <c:pt idx="13">
                  <c:v>3055.9607171737816</c:v>
                </c:pt>
                <c:pt idx="14">
                  <c:v>3076.0698704852011</c:v>
                </c:pt>
                <c:pt idx="15">
                  <c:v>3097.6685907085775</c:v>
                </c:pt>
                <c:pt idx="16">
                  <c:v>3120.7568778439108</c:v>
                </c:pt>
                <c:pt idx="17">
                  <c:v>3145.334731891201</c:v>
                </c:pt>
                <c:pt idx="18">
                  <c:v>3171.4021528504486</c:v>
                </c:pt>
                <c:pt idx="19">
                  <c:v>3198.9591407216531</c:v>
                </c:pt>
                <c:pt idx="20">
                  <c:v>3228.0056955048144</c:v>
                </c:pt>
                <c:pt idx="21">
                  <c:v>3258.5418171999327</c:v>
                </c:pt>
                <c:pt idx="22">
                  <c:v>3290.5675058070078</c:v>
                </c:pt>
                <c:pt idx="23">
                  <c:v>3324.0827613260403</c:v>
                </c:pt>
                <c:pt idx="24">
                  <c:v>3359.0875837570297</c:v>
                </c:pt>
                <c:pt idx="25">
                  <c:v>3395.5819730999756</c:v>
                </c:pt>
                <c:pt idx="26">
                  <c:v>3433.5659293548792</c:v>
                </c:pt>
                <c:pt idx="27">
                  <c:v>3473.0394525217393</c:v>
                </c:pt>
                <c:pt idx="28">
                  <c:v>3514.0025426005568</c:v>
                </c:pt>
                <c:pt idx="29">
                  <c:v>3556.4551995913307</c:v>
                </c:pt>
                <c:pt idx="30">
                  <c:v>3600.3974234940624</c:v>
                </c:pt>
                <c:pt idx="31">
                  <c:v>3645.8292143087501</c:v>
                </c:pt>
                <c:pt idx="32">
                  <c:v>3692.7505720353956</c:v>
                </c:pt>
                <c:pt idx="33">
                  <c:v>3741.161496673998</c:v>
                </c:pt>
                <c:pt idx="34">
                  <c:v>3791.0619882245574</c:v>
                </c:pt>
                <c:pt idx="35">
                  <c:v>3842.4520466870736</c:v>
                </c:pt>
                <c:pt idx="36">
                  <c:v>3895.3316720615467</c:v>
                </c:pt>
                <c:pt idx="37">
                  <c:v>3949.7008643479771</c:v>
                </c:pt>
                <c:pt idx="38">
                  <c:v>4005.559623546364</c:v>
                </c:pt>
                <c:pt idx="39">
                  <c:v>4062.9079496567083</c:v>
                </c:pt>
                <c:pt idx="40">
                  <c:v>4121.745842679009</c:v>
                </c:pt>
                <c:pt idx="41">
                  <c:v>4182.0733026132675</c:v>
                </c:pt>
                <c:pt idx="42">
                  <c:v>4243.8903294594829</c:v>
                </c:pt>
                <c:pt idx="43">
                  <c:v>4307.1969232176552</c:v>
                </c:pt>
                <c:pt idx="44">
                  <c:v>4371.9930838877845</c:v>
                </c:pt>
                <c:pt idx="45">
                  <c:v>4438.2788114698706</c:v>
                </c:pt>
                <c:pt idx="46">
                  <c:v>4506.0541059639127</c:v>
                </c:pt>
                <c:pt idx="47">
                  <c:v>4575.3189673699135</c:v>
                </c:pt>
                <c:pt idx="48">
                  <c:v>4646.0733956878712</c:v>
                </c:pt>
                <c:pt idx="49">
                  <c:v>4718.317390917784</c:v>
                </c:pt>
                <c:pt idx="50">
                  <c:v>4792.0509530596555</c:v>
                </c:pt>
                <c:pt idx="51">
                  <c:v>4867.2740821134839</c:v>
                </c:pt>
                <c:pt idx="52">
                  <c:v>4943.9867780792692</c:v>
                </c:pt>
                <c:pt idx="53">
                  <c:v>5022.1890409570115</c:v>
                </c:pt>
                <c:pt idx="54">
                  <c:v>5101.8808707467097</c:v>
                </c:pt>
                <c:pt idx="55">
                  <c:v>5183.0622674483666</c:v>
                </c:pt>
                <c:pt idx="56">
                  <c:v>5265.7332310619804</c:v>
                </c:pt>
                <c:pt idx="57">
                  <c:v>5349.8937615875493</c:v>
                </c:pt>
                <c:pt idx="58">
                  <c:v>5435.543859025076</c:v>
                </c:pt>
                <c:pt idx="59">
                  <c:v>5522.6835233745605</c:v>
                </c:pt>
                <c:pt idx="60">
                  <c:v>5611.312754636002</c:v>
                </c:pt>
                <c:pt idx="61">
                  <c:v>5701.4315528093994</c:v>
                </c:pt>
                <c:pt idx="62">
                  <c:v>5793.0399178947537</c:v>
                </c:pt>
                <c:pt idx="63">
                  <c:v>5886.1378498920667</c:v>
                </c:pt>
                <c:pt idx="64">
                  <c:v>5980.7253488013357</c:v>
                </c:pt>
                <c:pt idx="65">
                  <c:v>6076.8024146225616</c:v>
                </c:pt>
                <c:pt idx="66">
                  <c:v>6174.3690473557444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3F9-E049-9FC9-69D2743B34ED}"/>
            </c:ext>
          </c:extLst>
        </c:ser>
        <c:ser>
          <c:idx val="5"/>
          <c:order val="5"/>
          <c:tx>
            <c:v>F @20°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Map'!$T$2:$T$68</c:f>
              <c:numCache>
                <c:formatCode>General</c:formatCode>
                <c:ptCount val="6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</c:numCache>
            </c:numRef>
          </c:xVal>
          <c:yVal>
            <c:numRef>
              <c:f>'Performance Map'!$Z$2:$Z$68</c:f>
              <c:numCache>
                <c:formatCode>0</c:formatCode>
                <c:ptCount val="67"/>
                <c:pt idx="0">
                  <c:v>3814.4531064040857</c:v>
                </c:pt>
                <c:pt idx="1">
                  <c:v>3815.1978898600642</c:v>
                </c:pt>
                <c:pt idx="2">
                  <c:v>3817.4322402279995</c:v>
                </c:pt>
                <c:pt idx="3">
                  <c:v>3821.1561575078922</c:v>
                </c:pt>
                <c:pt idx="4">
                  <c:v>3826.3696416997418</c:v>
                </c:pt>
                <c:pt idx="5">
                  <c:v>3833.0726928035483</c:v>
                </c:pt>
                <c:pt idx="6">
                  <c:v>3841.2653108193117</c:v>
                </c:pt>
                <c:pt idx="7">
                  <c:v>3850.947495747032</c:v>
                </c:pt>
                <c:pt idx="8">
                  <c:v>3862.1192475867097</c:v>
                </c:pt>
                <c:pt idx="9">
                  <c:v>3874.7805663383438</c:v>
                </c:pt>
                <c:pt idx="10">
                  <c:v>3888.9314520019352</c:v>
                </c:pt>
                <c:pt idx="11">
                  <c:v>3904.5719045774836</c:v>
                </c:pt>
                <c:pt idx="12">
                  <c:v>3921.7019240649893</c:v>
                </c:pt>
                <c:pt idx="13">
                  <c:v>3940.3215104644514</c:v>
                </c:pt>
                <c:pt idx="14">
                  <c:v>3960.4306637758709</c:v>
                </c:pt>
                <c:pt idx="15">
                  <c:v>3982.0293839992473</c:v>
                </c:pt>
                <c:pt idx="16">
                  <c:v>4005.1176711345806</c:v>
                </c:pt>
                <c:pt idx="17">
                  <c:v>4029.6955251818708</c:v>
                </c:pt>
                <c:pt idx="18">
                  <c:v>4055.7629461411184</c:v>
                </c:pt>
                <c:pt idx="19">
                  <c:v>4083.3199340123228</c:v>
                </c:pt>
                <c:pt idx="20">
                  <c:v>4112.3664887954837</c:v>
                </c:pt>
                <c:pt idx="21">
                  <c:v>4142.9026104906025</c:v>
                </c:pt>
                <c:pt idx="22">
                  <c:v>4174.9282990976781</c:v>
                </c:pt>
                <c:pt idx="23">
                  <c:v>4208.4435546167097</c:v>
                </c:pt>
                <c:pt idx="24">
                  <c:v>4243.4483770476991</c:v>
                </c:pt>
                <c:pt idx="25">
                  <c:v>4279.9427663906454</c:v>
                </c:pt>
                <c:pt idx="26">
                  <c:v>4317.9267226455486</c:v>
                </c:pt>
                <c:pt idx="27">
                  <c:v>4357.4002458124087</c:v>
                </c:pt>
                <c:pt idx="28">
                  <c:v>4398.3633358912266</c:v>
                </c:pt>
                <c:pt idx="29">
                  <c:v>4440.8159928820005</c:v>
                </c:pt>
                <c:pt idx="30">
                  <c:v>4484.7582167847322</c:v>
                </c:pt>
                <c:pt idx="31">
                  <c:v>4530.1900075994199</c:v>
                </c:pt>
                <c:pt idx="32">
                  <c:v>4577.1113653260654</c:v>
                </c:pt>
                <c:pt idx="33">
                  <c:v>4625.5222899646678</c:v>
                </c:pt>
                <c:pt idx="34">
                  <c:v>4675.4227815152271</c:v>
                </c:pt>
                <c:pt idx="35">
                  <c:v>4726.8128399777434</c:v>
                </c:pt>
                <c:pt idx="36">
                  <c:v>4779.6924653522165</c:v>
                </c:pt>
                <c:pt idx="37">
                  <c:v>4834.0616576386465</c:v>
                </c:pt>
                <c:pt idx="38">
                  <c:v>4889.9204168370343</c:v>
                </c:pt>
                <c:pt idx="39">
                  <c:v>4947.2687429473781</c:v>
                </c:pt>
                <c:pt idx="40">
                  <c:v>5006.1066359696788</c:v>
                </c:pt>
                <c:pt idx="41">
                  <c:v>5066.4340959039373</c:v>
                </c:pt>
                <c:pt idx="42">
                  <c:v>5128.2511227501527</c:v>
                </c:pt>
                <c:pt idx="43">
                  <c:v>5191.557716508325</c:v>
                </c:pt>
                <c:pt idx="44">
                  <c:v>5256.3538771784533</c:v>
                </c:pt>
                <c:pt idx="45">
                  <c:v>5322.6396047605394</c:v>
                </c:pt>
                <c:pt idx="46">
                  <c:v>5390.4148992545834</c:v>
                </c:pt>
                <c:pt idx="47">
                  <c:v>5459.6797606605833</c:v>
                </c:pt>
                <c:pt idx="48">
                  <c:v>5530.434188978541</c:v>
                </c:pt>
                <c:pt idx="49">
                  <c:v>5602.6781842084538</c:v>
                </c:pt>
                <c:pt idx="50">
                  <c:v>5676.4117463503253</c:v>
                </c:pt>
                <c:pt idx="51">
                  <c:v>5751.6348754041537</c:v>
                </c:pt>
                <c:pt idx="52">
                  <c:v>5828.347571369939</c:v>
                </c:pt>
                <c:pt idx="53">
                  <c:v>5906.5498342476803</c:v>
                </c:pt>
                <c:pt idx="54">
                  <c:v>5986.2416640373795</c:v>
                </c:pt>
                <c:pt idx="55">
                  <c:v>6067.4230607390364</c:v>
                </c:pt>
                <c:pt idx="56">
                  <c:v>6150.0940243526493</c:v>
                </c:pt>
                <c:pt idx="57">
                  <c:v>6234.2545548782182</c:v>
                </c:pt>
                <c:pt idx="58">
                  <c:v>6319.9046523157458</c:v>
                </c:pt>
                <c:pt idx="59">
                  <c:v>6407.0443166652312</c:v>
                </c:pt>
                <c:pt idx="60">
                  <c:v>6495.6735479266717</c:v>
                </c:pt>
                <c:pt idx="61">
                  <c:v>6585.7923461000692</c:v>
                </c:pt>
                <c:pt idx="62">
                  <c:v>6677.4007111854235</c:v>
                </c:pt>
                <c:pt idx="63">
                  <c:v>6770.4986431827365</c:v>
                </c:pt>
                <c:pt idx="64">
                  <c:v>6865.0861420920055</c:v>
                </c:pt>
                <c:pt idx="65">
                  <c:v>6961.1632079132305</c:v>
                </c:pt>
                <c:pt idx="66">
                  <c:v>7058.7298406464142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3F9-E049-9FC9-69D2743B34ED}"/>
            </c:ext>
          </c:extLst>
        </c:ser>
        <c:ser>
          <c:idx val="6"/>
          <c:order val="6"/>
          <c:tx>
            <c:v>F @25°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Map'!$T$2:$T$68</c:f>
              <c:numCache>
                <c:formatCode>General</c:formatCode>
                <c:ptCount val="6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</c:numCache>
            </c:numRef>
          </c:xVal>
          <c:yVal>
            <c:numRef>
              <c:f>'Performance Map'!$AA$2:$AA$68</c:f>
              <c:numCache>
                <c:formatCode>0</c:formatCode>
                <c:ptCount val="67"/>
                <c:pt idx="0">
                  <c:v>4669.7836083252623</c:v>
                </c:pt>
                <c:pt idx="1">
                  <c:v>4670.5283917812412</c:v>
                </c:pt>
                <c:pt idx="2">
                  <c:v>4672.7627421491761</c:v>
                </c:pt>
                <c:pt idx="3">
                  <c:v>4676.4866594290688</c:v>
                </c:pt>
                <c:pt idx="4">
                  <c:v>4681.7001436209184</c:v>
                </c:pt>
                <c:pt idx="5">
                  <c:v>4688.4031947247249</c:v>
                </c:pt>
                <c:pt idx="6">
                  <c:v>4696.5958127404883</c:v>
                </c:pt>
                <c:pt idx="7">
                  <c:v>4706.2779976682086</c:v>
                </c:pt>
                <c:pt idx="8">
                  <c:v>4717.4497495078858</c:v>
                </c:pt>
                <c:pt idx="9">
                  <c:v>4730.1110682595208</c:v>
                </c:pt>
                <c:pt idx="10">
                  <c:v>4744.2619539231118</c:v>
                </c:pt>
                <c:pt idx="11">
                  <c:v>4759.9024064986606</c:v>
                </c:pt>
                <c:pt idx="12">
                  <c:v>4777.0324259861654</c:v>
                </c:pt>
                <c:pt idx="13">
                  <c:v>4795.652012385628</c:v>
                </c:pt>
                <c:pt idx="14">
                  <c:v>4815.7611656970475</c:v>
                </c:pt>
                <c:pt idx="15">
                  <c:v>4837.3598859204239</c:v>
                </c:pt>
                <c:pt idx="16">
                  <c:v>4860.4481730557573</c:v>
                </c:pt>
                <c:pt idx="17">
                  <c:v>4885.0260271030475</c:v>
                </c:pt>
                <c:pt idx="18">
                  <c:v>4911.0934480622946</c:v>
                </c:pt>
                <c:pt idx="19">
                  <c:v>4938.6504359334995</c:v>
                </c:pt>
                <c:pt idx="20">
                  <c:v>4967.6969907166604</c:v>
                </c:pt>
                <c:pt idx="21">
                  <c:v>4998.2331124117791</c:v>
                </c:pt>
                <c:pt idx="22">
                  <c:v>5030.2588010188547</c:v>
                </c:pt>
                <c:pt idx="23">
                  <c:v>5063.7740565378863</c:v>
                </c:pt>
                <c:pt idx="24">
                  <c:v>5098.7788789688757</c:v>
                </c:pt>
                <c:pt idx="25">
                  <c:v>5135.273268311822</c:v>
                </c:pt>
                <c:pt idx="26">
                  <c:v>5173.2572245667252</c:v>
                </c:pt>
                <c:pt idx="27">
                  <c:v>5212.7307477335853</c:v>
                </c:pt>
                <c:pt idx="28">
                  <c:v>5253.6938378124032</c:v>
                </c:pt>
                <c:pt idx="29">
                  <c:v>5296.1464948031771</c:v>
                </c:pt>
                <c:pt idx="30">
                  <c:v>5340.0887187059088</c:v>
                </c:pt>
                <c:pt idx="31">
                  <c:v>5385.5205095205965</c:v>
                </c:pt>
                <c:pt idx="32">
                  <c:v>5432.441867247242</c:v>
                </c:pt>
                <c:pt idx="33">
                  <c:v>5480.8527918858445</c:v>
                </c:pt>
                <c:pt idx="34">
                  <c:v>5530.7532834364038</c:v>
                </c:pt>
                <c:pt idx="35">
                  <c:v>5582.14334189892</c:v>
                </c:pt>
                <c:pt idx="36">
                  <c:v>5635.0229672733931</c:v>
                </c:pt>
                <c:pt idx="37">
                  <c:v>5689.3921595598231</c:v>
                </c:pt>
                <c:pt idx="38">
                  <c:v>5745.2509187582109</c:v>
                </c:pt>
                <c:pt idx="39">
                  <c:v>5802.5992448685547</c:v>
                </c:pt>
                <c:pt idx="40">
                  <c:v>5861.4371378908554</c:v>
                </c:pt>
                <c:pt idx="41">
                  <c:v>5921.7645978251139</c:v>
                </c:pt>
                <c:pt idx="42">
                  <c:v>5983.5816246713293</c:v>
                </c:pt>
                <c:pt idx="43">
                  <c:v>6046.8882184295016</c:v>
                </c:pt>
                <c:pt idx="44">
                  <c:v>6111.68437909963</c:v>
                </c:pt>
                <c:pt idx="45">
                  <c:v>6177.9701066817161</c:v>
                </c:pt>
                <c:pt idx="46">
                  <c:v>6245.74540117576</c:v>
                </c:pt>
                <c:pt idx="47">
                  <c:v>6315.0102625817599</c:v>
                </c:pt>
                <c:pt idx="48">
                  <c:v>6385.7646908997176</c:v>
                </c:pt>
                <c:pt idx="49">
                  <c:v>6458.0086861296304</c:v>
                </c:pt>
                <c:pt idx="50">
                  <c:v>6531.7422482715019</c:v>
                </c:pt>
                <c:pt idx="51">
                  <c:v>6606.9653773253303</c:v>
                </c:pt>
                <c:pt idx="52">
                  <c:v>6683.6780732911157</c:v>
                </c:pt>
                <c:pt idx="53">
                  <c:v>6761.880336168857</c:v>
                </c:pt>
                <c:pt idx="54">
                  <c:v>6841.5721659585561</c:v>
                </c:pt>
                <c:pt idx="55">
                  <c:v>6922.753562660213</c:v>
                </c:pt>
                <c:pt idx="56">
                  <c:v>7005.4245262738259</c:v>
                </c:pt>
                <c:pt idx="57">
                  <c:v>7089.5850567993948</c:v>
                </c:pt>
                <c:pt idx="58">
                  <c:v>7175.2351542369224</c:v>
                </c:pt>
                <c:pt idx="59">
                  <c:v>7262.3748185864079</c:v>
                </c:pt>
                <c:pt idx="60">
                  <c:v>7351.0040498478484</c:v>
                </c:pt>
                <c:pt idx="61">
                  <c:v>7441.1228480212458</c:v>
                </c:pt>
                <c:pt idx="62">
                  <c:v>7532.7312131066001</c:v>
                </c:pt>
                <c:pt idx="63">
                  <c:v>7625.8291451039131</c:v>
                </c:pt>
                <c:pt idx="64">
                  <c:v>7720.4166440131821</c:v>
                </c:pt>
                <c:pt idx="65">
                  <c:v>7816.4937098344071</c:v>
                </c:pt>
                <c:pt idx="66">
                  <c:v>7914.0603425675909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63F9-E049-9FC9-69D2743B34ED}"/>
            </c:ext>
          </c:extLst>
        </c:ser>
        <c:ser>
          <c:idx val="7"/>
          <c:order val="7"/>
          <c:tx>
            <c:v>F @30°</c:v>
          </c:tx>
          <c:spPr>
            <a:ln w="12700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xVal>
            <c:numRef>
              <c:f>'Performance Map'!$T$2:$T$68</c:f>
              <c:numCache>
                <c:formatCode>General</c:formatCode>
                <c:ptCount val="6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</c:numCache>
            </c:numRef>
          </c:xVal>
          <c:yVal>
            <c:numRef>
              <c:f>'Performance Map'!$AB$2:$AB$68</c:f>
              <c:numCache>
                <c:formatCode>0</c:formatCode>
                <c:ptCount val="67"/>
                <c:pt idx="0">
                  <c:v>5489.5742372946479</c:v>
                </c:pt>
                <c:pt idx="1">
                  <c:v>5490.3190207506268</c:v>
                </c:pt>
                <c:pt idx="2">
                  <c:v>5492.5533711185617</c:v>
                </c:pt>
                <c:pt idx="3">
                  <c:v>5496.2772883984544</c:v>
                </c:pt>
                <c:pt idx="4">
                  <c:v>5501.490772590304</c:v>
                </c:pt>
                <c:pt idx="5">
                  <c:v>5508.1938236941105</c:v>
                </c:pt>
                <c:pt idx="6">
                  <c:v>5516.3864417098739</c:v>
                </c:pt>
                <c:pt idx="7">
                  <c:v>5526.0686266375942</c:v>
                </c:pt>
                <c:pt idx="8">
                  <c:v>5537.2403784772714</c:v>
                </c:pt>
                <c:pt idx="9">
                  <c:v>5549.9016972289064</c:v>
                </c:pt>
                <c:pt idx="10">
                  <c:v>5564.0525828924974</c:v>
                </c:pt>
                <c:pt idx="11">
                  <c:v>5579.6930354680462</c:v>
                </c:pt>
                <c:pt idx="12">
                  <c:v>5596.823054955551</c:v>
                </c:pt>
                <c:pt idx="13">
                  <c:v>5615.4426413550136</c:v>
                </c:pt>
                <c:pt idx="14">
                  <c:v>5635.5517946664331</c:v>
                </c:pt>
                <c:pt idx="15">
                  <c:v>5657.1505148898095</c:v>
                </c:pt>
                <c:pt idx="16">
                  <c:v>5680.2388020251428</c:v>
                </c:pt>
                <c:pt idx="17">
                  <c:v>5704.816656072433</c:v>
                </c:pt>
                <c:pt idx="18">
                  <c:v>5730.8840770316801</c:v>
                </c:pt>
                <c:pt idx="19">
                  <c:v>5758.441064902885</c:v>
                </c:pt>
                <c:pt idx="20">
                  <c:v>5787.4876196860459</c:v>
                </c:pt>
                <c:pt idx="21">
                  <c:v>5818.0237413811647</c:v>
                </c:pt>
                <c:pt idx="22">
                  <c:v>5850.0494299882403</c:v>
                </c:pt>
                <c:pt idx="23">
                  <c:v>5883.5646855072719</c:v>
                </c:pt>
                <c:pt idx="24">
                  <c:v>5918.5695079382613</c:v>
                </c:pt>
                <c:pt idx="25">
                  <c:v>5955.0638972812076</c:v>
                </c:pt>
                <c:pt idx="26">
                  <c:v>5993.0478535361108</c:v>
                </c:pt>
                <c:pt idx="27">
                  <c:v>6032.5213767029709</c:v>
                </c:pt>
                <c:pt idx="28">
                  <c:v>6073.4844667817888</c:v>
                </c:pt>
                <c:pt idx="29">
                  <c:v>6115.9371237725627</c:v>
                </c:pt>
                <c:pt idx="30">
                  <c:v>6159.8793476752944</c:v>
                </c:pt>
                <c:pt idx="31">
                  <c:v>6205.3111384899821</c:v>
                </c:pt>
                <c:pt idx="32">
                  <c:v>6252.2324962166276</c:v>
                </c:pt>
                <c:pt idx="33">
                  <c:v>6300.64342085523</c:v>
                </c:pt>
                <c:pt idx="34">
                  <c:v>6350.5439124057893</c:v>
                </c:pt>
                <c:pt idx="35">
                  <c:v>6401.9339708683056</c:v>
                </c:pt>
                <c:pt idx="36">
                  <c:v>6454.8135962427787</c:v>
                </c:pt>
                <c:pt idx="37">
                  <c:v>6509.1827885292087</c:v>
                </c:pt>
                <c:pt idx="38">
                  <c:v>6565.0415477275965</c:v>
                </c:pt>
                <c:pt idx="39">
                  <c:v>6622.3898738379403</c:v>
                </c:pt>
                <c:pt idx="40">
                  <c:v>6681.227766860241</c:v>
                </c:pt>
                <c:pt idx="41">
                  <c:v>6741.5552267944995</c:v>
                </c:pt>
                <c:pt idx="42">
                  <c:v>6803.3722536407149</c:v>
                </c:pt>
                <c:pt idx="43">
                  <c:v>6866.6788473988872</c:v>
                </c:pt>
                <c:pt idx="44">
                  <c:v>6931.4750080690155</c:v>
                </c:pt>
                <c:pt idx="45">
                  <c:v>6997.7607356511016</c:v>
                </c:pt>
                <c:pt idx="46">
                  <c:v>7065.5360301451456</c:v>
                </c:pt>
                <c:pt idx="47">
                  <c:v>7134.8008915511455</c:v>
                </c:pt>
                <c:pt idx="48">
                  <c:v>7205.5553198691032</c:v>
                </c:pt>
                <c:pt idx="49">
                  <c:v>7277.799315099016</c:v>
                </c:pt>
                <c:pt idx="50">
                  <c:v>7351.5328772408875</c:v>
                </c:pt>
                <c:pt idx="51">
                  <c:v>7426.7560062947159</c:v>
                </c:pt>
                <c:pt idx="52">
                  <c:v>7503.4687022605012</c:v>
                </c:pt>
                <c:pt idx="53">
                  <c:v>7581.6709651382425</c:v>
                </c:pt>
                <c:pt idx="54">
                  <c:v>7661.3627949279416</c:v>
                </c:pt>
                <c:pt idx="55">
                  <c:v>7742.5441916295986</c:v>
                </c:pt>
                <c:pt idx="56">
                  <c:v>7825.2151552432115</c:v>
                </c:pt>
                <c:pt idx="57">
                  <c:v>7909.3756857687804</c:v>
                </c:pt>
                <c:pt idx="58">
                  <c:v>7995.025783206308</c:v>
                </c:pt>
                <c:pt idx="59">
                  <c:v>8082.1654475557934</c:v>
                </c:pt>
                <c:pt idx="60">
                  <c:v>8170.7946788172339</c:v>
                </c:pt>
                <c:pt idx="61">
                  <c:v>8260.9134769906304</c:v>
                </c:pt>
                <c:pt idx="62">
                  <c:v>8352.5218420759848</c:v>
                </c:pt>
                <c:pt idx="63">
                  <c:v>8445.6197740732987</c:v>
                </c:pt>
                <c:pt idx="64">
                  <c:v>8540.2072729825668</c:v>
                </c:pt>
                <c:pt idx="65">
                  <c:v>8636.2843388037927</c:v>
                </c:pt>
                <c:pt idx="66">
                  <c:v>8733.8509715369764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63F9-E049-9FC9-69D2743B34ED}"/>
            </c:ext>
          </c:extLst>
        </c:ser>
        <c:ser>
          <c:idx val="13"/>
          <c:order val="8"/>
          <c:tx>
            <c:v>G5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Map'!$AY$2:$AY$68</c:f>
              <c:numCache>
                <c:formatCode>General</c:formatCode>
                <c:ptCount val="67"/>
                <c:pt idx="6" formatCode="0.00">
                  <c:v>28.507101517871146</c:v>
                </c:pt>
                <c:pt idx="7" formatCode="0.00">
                  <c:v>31.357811669658268</c:v>
                </c:pt>
                <c:pt idx="8" formatCode="0.00">
                  <c:v>34.20852182144538</c:v>
                </c:pt>
                <c:pt idx="9" formatCode="0.00">
                  <c:v>37.059231973232492</c:v>
                </c:pt>
                <c:pt idx="10" formatCode="0.00">
                  <c:v>39.909942125019604</c:v>
                </c:pt>
                <c:pt idx="11" formatCode="0.00">
                  <c:v>42.760652276806724</c:v>
                </c:pt>
                <c:pt idx="12" formatCode="0.00">
                  <c:v>45.611362428593836</c:v>
                </c:pt>
                <c:pt idx="13" formatCode="0.00">
                  <c:v>48.462072580380948</c:v>
                </c:pt>
                <c:pt idx="14" formatCode="0.00">
                  <c:v>51.312782732168067</c:v>
                </c:pt>
                <c:pt idx="15" formatCode="0.00">
                  <c:v>54.163492883955186</c:v>
                </c:pt>
                <c:pt idx="16" formatCode="0.00">
                  <c:v>57.014203035742291</c:v>
                </c:pt>
                <c:pt idx="17" formatCode="0.00">
                  <c:v>59.864913187529417</c:v>
                </c:pt>
                <c:pt idx="18" formatCode="0.00">
                  <c:v>62.715623339316537</c:v>
                </c:pt>
                <c:pt idx="19" formatCode="0.00">
                  <c:v>65.566333491103649</c:v>
                </c:pt>
                <c:pt idx="20" formatCode="0.00">
                  <c:v>68.417043642890761</c:v>
                </c:pt>
                <c:pt idx="21" formatCode="0.00">
                  <c:v>71.267753794677873</c:v>
                </c:pt>
                <c:pt idx="22" formatCode="0.00">
                  <c:v>74.118463946464985</c:v>
                </c:pt>
                <c:pt idx="23" formatCode="0.00">
                  <c:v>76.969174098252111</c:v>
                </c:pt>
                <c:pt idx="24" formatCode="0.00">
                  <c:v>79.819884250039209</c:v>
                </c:pt>
                <c:pt idx="25" formatCode="0.00">
                  <c:v>82.670594401826321</c:v>
                </c:pt>
                <c:pt idx="26" formatCode="0.00">
                  <c:v>85.521304553613447</c:v>
                </c:pt>
                <c:pt idx="27" formatCode="0.00">
                  <c:v>88.372014705400545</c:v>
                </c:pt>
                <c:pt idx="28" formatCode="0.00">
                  <c:v>91.222724857187671</c:v>
                </c:pt>
                <c:pt idx="29" formatCode="0.00">
                  <c:v>94.073435008974783</c:v>
                </c:pt>
                <c:pt idx="30" formatCode="0.00">
                  <c:v>96.924145160761896</c:v>
                </c:pt>
                <c:pt idx="31" formatCode="0.00">
                  <c:v>99.774855312549022</c:v>
                </c:pt>
                <c:pt idx="32" formatCode="0.00">
                  <c:v>102.62556546433613</c:v>
                </c:pt>
                <c:pt idx="33" formatCode="0.00">
                  <c:v>105.47627561612325</c:v>
                </c:pt>
                <c:pt idx="34" formatCode="0.00">
                  <c:v>108.32698576791037</c:v>
                </c:pt>
                <c:pt idx="35" formatCode="0.00">
                  <c:v>111.17769591969748</c:v>
                </c:pt>
                <c:pt idx="36" formatCode="0.00">
                  <c:v>114.02840607148458</c:v>
                </c:pt>
                <c:pt idx="37" formatCode="0.00">
                  <c:v>116.87911622327171</c:v>
                </c:pt>
                <c:pt idx="38" formatCode="0.00">
                  <c:v>119.72982637505883</c:v>
                </c:pt>
                <c:pt idx="39" formatCode="0.00">
                  <c:v>122.58053652684595</c:v>
                </c:pt>
                <c:pt idx="40" formatCode="0.00">
                  <c:v>125.43124667863307</c:v>
                </c:pt>
                <c:pt idx="41" formatCode="0.00">
                  <c:v>128.28195683042017</c:v>
                </c:pt>
                <c:pt idx="42" formatCode="0.00">
                  <c:v>131.1326669822073</c:v>
                </c:pt>
                <c:pt idx="43" formatCode="0.00">
                  <c:v>133.98337713399442</c:v>
                </c:pt>
                <c:pt idx="44" formatCode="0.00">
                  <c:v>136.83408728578152</c:v>
                </c:pt>
                <c:pt idx="45" formatCode="0.00">
                  <c:v>139.68479743756862</c:v>
                </c:pt>
                <c:pt idx="46" formatCode="0.00">
                  <c:v>142.53550758935575</c:v>
                </c:pt>
                <c:pt idx="47" formatCode="0.00">
                  <c:v>145.38621774114287</c:v>
                </c:pt>
                <c:pt idx="48" formatCode="0.00">
                  <c:v>148.23692789292997</c:v>
                </c:pt>
                <c:pt idx="49" formatCode="0.00">
                  <c:v>151.0876380447171</c:v>
                </c:pt>
                <c:pt idx="50" formatCode="0.00">
                  <c:v>153.93834819650422</c:v>
                </c:pt>
                <c:pt idx="51" formatCode="0.00">
                  <c:v>156.78905834829129</c:v>
                </c:pt>
                <c:pt idx="52" formatCode="0.00">
                  <c:v>159.63976850007842</c:v>
                </c:pt>
                <c:pt idx="53" formatCode="0.00">
                  <c:v>162.49047865186557</c:v>
                </c:pt>
                <c:pt idx="54" formatCode="0.00">
                  <c:v>165.34118880365264</c:v>
                </c:pt>
                <c:pt idx="55" formatCode="0.00">
                  <c:v>168.19189895543977</c:v>
                </c:pt>
                <c:pt idx="56" formatCode="0.00">
                  <c:v>171.04260910722689</c:v>
                </c:pt>
                <c:pt idx="57" formatCode="0.00">
                  <c:v>173.89331925901399</c:v>
                </c:pt>
                <c:pt idx="58" formatCode="0.00">
                  <c:v>176.74402941080109</c:v>
                </c:pt>
                <c:pt idx="59" formatCode="0.00">
                  <c:v>179.59473956258822</c:v>
                </c:pt>
                <c:pt idx="60" formatCode="0.00">
                  <c:v>182.44544971437534</c:v>
                </c:pt>
                <c:pt idx="61" formatCode="0.00">
                  <c:v>185.29615986616244</c:v>
                </c:pt>
                <c:pt idx="62" formatCode="0.00">
                  <c:v>188.14687001794957</c:v>
                </c:pt>
                <c:pt idx="63" formatCode="0.00">
                  <c:v>190.99758016973669</c:v>
                </c:pt>
                <c:pt idx="64" formatCode="0.00">
                  <c:v>193.84829032152379</c:v>
                </c:pt>
                <c:pt idx="65" formatCode="0.00">
                  <c:v>196.69900047331092</c:v>
                </c:pt>
                <c:pt idx="66" formatCode="0.00">
                  <c:v>199.54971062509804</c:v>
                </c:pt>
              </c:numCache>
            </c:numRef>
          </c:xVal>
          <c:yVal>
            <c:numRef>
              <c:f>'Performance Map'!$BA$2:$BA$68</c:f>
              <c:numCache>
                <c:formatCode>General</c:formatCode>
                <c:ptCount val="67"/>
                <c:pt idx="6" formatCode="0">
                  <c:v>850.32092426187421</c:v>
                </c:pt>
                <c:pt idx="7" formatCode="0">
                  <c:v>966.16174582798453</c:v>
                </c:pt>
                <c:pt idx="8" formatCode="0">
                  <c:v>1062.2849807445443</c:v>
                </c:pt>
                <c:pt idx="9" formatCode="0">
                  <c:v>1144.4415917843389</c:v>
                </c:pt>
                <c:pt idx="10" formatCode="0">
                  <c:v>1214.2747111681645</c:v>
                </c:pt>
                <c:pt idx="11" formatCode="0">
                  <c:v>1275.0706033376123</c:v>
                </c:pt>
                <c:pt idx="12" formatCode="0">
                  <c:v>1328.472400513479</c:v>
                </c:pt>
                <c:pt idx="13" formatCode="0">
                  <c:v>1375.3016688061618</c:v>
                </c:pt>
                <c:pt idx="14" formatCode="0">
                  <c:v>1396.6623876765084</c:v>
                </c:pt>
                <c:pt idx="15" formatCode="0">
                  <c:v>1396.6623876765084</c:v>
                </c:pt>
                <c:pt idx="16" formatCode="0">
                  <c:v>1396.6623876765084</c:v>
                </c:pt>
                <c:pt idx="17" formatCode="0">
                  <c:v>1396.6623876765084</c:v>
                </c:pt>
                <c:pt idx="18" formatCode="0">
                  <c:v>1396.6623876765084</c:v>
                </c:pt>
                <c:pt idx="19" formatCode="0">
                  <c:v>1396.6623876765084</c:v>
                </c:pt>
                <c:pt idx="20" formatCode="0">
                  <c:v>1396.6623876765084</c:v>
                </c:pt>
                <c:pt idx="21" formatCode="0">
                  <c:v>1396.6623876765084</c:v>
                </c:pt>
                <c:pt idx="22" formatCode="0">
                  <c:v>1396.6623876765084</c:v>
                </c:pt>
                <c:pt idx="23" formatCode="0">
                  <c:v>1396.6623876765084</c:v>
                </c:pt>
                <c:pt idx="24" formatCode="0">
                  <c:v>1396.6623876765084</c:v>
                </c:pt>
                <c:pt idx="25" formatCode="0">
                  <c:v>1396.6623876765084</c:v>
                </c:pt>
                <c:pt idx="26" formatCode="0">
                  <c:v>1396.6623876765084</c:v>
                </c:pt>
                <c:pt idx="27" formatCode="0">
                  <c:v>1396.6623876765084</c:v>
                </c:pt>
                <c:pt idx="28" formatCode="0">
                  <c:v>1396.6623876765084</c:v>
                </c:pt>
                <c:pt idx="29" formatCode="0">
                  <c:v>1396.6623876765084</c:v>
                </c:pt>
                <c:pt idx="30" formatCode="0">
                  <c:v>1396.6623876765084</c:v>
                </c:pt>
                <c:pt idx="31" formatCode="0">
                  <c:v>1396.6623876765084</c:v>
                </c:pt>
                <c:pt idx="32" formatCode="0">
                  <c:v>1396.6623876765084</c:v>
                </c:pt>
                <c:pt idx="33" formatCode="0">
                  <c:v>1396.6623876765084</c:v>
                </c:pt>
                <c:pt idx="34" formatCode="0">
                  <c:v>1396.6623876765084</c:v>
                </c:pt>
                <c:pt idx="35" formatCode="0">
                  <c:v>1396.6623876765084</c:v>
                </c:pt>
                <c:pt idx="36" formatCode="0">
                  <c:v>1372.836970474968</c:v>
                </c:pt>
                <c:pt idx="37" formatCode="0">
                  <c:v>1339.1527599486521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3F9-E049-9FC9-69D2743B34ED}"/>
            </c:ext>
          </c:extLst>
        </c:ser>
        <c:ser>
          <c:idx val="12"/>
          <c:order val="9"/>
          <c:tx>
            <c:v>G4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Map'!$AT$2:$AT$68</c:f>
              <c:numCache>
                <c:formatCode>General</c:formatCode>
                <c:ptCount val="67"/>
                <c:pt idx="6" formatCode="0.00">
                  <c:v>22.805681214296914</c:v>
                </c:pt>
                <c:pt idx="7" formatCode="0.00">
                  <c:v>25.086249335726613</c:v>
                </c:pt>
                <c:pt idx="8" formatCode="0.00">
                  <c:v>27.366817457156305</c:v>
                </c:pt>
                <c:pt idx="9" formatCode="0.00">
                  <c:v>29.647385578585993</c:v>
                </c:pt>
                <c:pt idx="10" formatCode="0.00">
                  <c:v>31.927953700015685</c:v>
                </c:pt>
                <c:pt idx="11" formatCode="0.00">
                  <c:v>34.20852182144538</c:v>
                </c:pt>
                <c:pt idx="12" formatCode="0.00">
                  <c:v>36.489089942875069</c:v>
                </c:pt>
                <c:pt idx="13" formatCode="0.00">
                  <c:v>38.769658064304757</c:v>
                </c:pt>
                <c:pt idx="14" formatCode="0.00">
                  <c:v>41.050226185734452</c:v>
                </c:pt>
                <c:pt idx="15" formatCode="0.00">
                  <c:v>43.330794307164147</c:v>
                </c:pt>
                <c:pt idx="16" formatCode="0.00">
                  <c:v>45.611362428593829</c:v>
                </c:pt>
                <c:pt idx="17" formatCode="0.00">
                  <c:v>47.891930550023531</c:v>
                </c:pt>
                <c:pt idx="18" formatCode="0.00">
                  <c:v>50.172498671453226</c:v>
                </c:pt>
                <c:pt idx="19" formatCode="0.00">
                  <c:v>52.453066792882915</c:v>
                </c:pt>
                <c:pt idx="20" formatCode="0.00">
                  <c:v>54.73363491431261</c:v>
                </c:pt>
                <c:pt idx="21" formatCode="0.00">
                  <c:v>57.014203035742291</c:v>
                </c:pt>
                <c:pt idx="22" formatCode="0.00">
                  <c:v>59.294771157171986</c:v>
                </c:pt>
                <c:pt idx="23" formatCode="0.00">
                  <c:v>61.575339278601675</c:v>
                </c:pt>
                <c:pt idx="24" formatCode="0.00">
                  <c:v>63.85590740003137</c:v>
                </c:pt>
                <c:pt idx="25" formatCode="0.00">
                  <c:v>66.136475521461065</c:v>
                </c:pt>
                <c:pt idx="26" formatCode="0.00">
                  <c:v>68.417043642890761</c:v>
                </c:pt>
                <c:pt idx="27" formatCode="0.00">
                  <c:v>70.697611764320442</c:v>
                </c:pt>
                <c:pt idx="28" formatCode="0.00">
                  <c:v>72.978179885750137</c:v>
                </c:pt>
                <c:pt idx="29" formatCode="0.00">
                  <c:v>75.258748007179818</c:v>
                </c:pt>
                <c:pt idx="30" formatCode="0.00">
                  <c:v>77.539316128609514</c:v>
                </c:pt>
                <c:pt idx="31" formatCode="0.00">
                  <c:v>79.819884250039209</c:v>
                </c:pt>
                <c:pt idx="32" formatCode="0.00">
                  <c:v>82.100452371468904</c:v>
                </c:pt>
                <c:pt idx="33" formatCode="0.00">
                  <c:v>84.3810204928986</c:v>
                </c:pt>
                <c:pt idx="34" formatCode="0.00">
                  <c:v>86.661588614328295</c:v>
                </c:pt>
                <c:pt idx="35" formatCode="0.00">
                  <c:v>88.942156735757976</c:v>
                </c:pt>
                <c:pt idx="36" formatCode="0.00">
                  <c:v>91.222724857187657</c:v>
                </c:pt>
                <c:pt idx="37" formatCode="0.00">
                  <c:v>93.503292978617353</c:v>
                </c:pt>
                <c:pt idx="38" formatCode="0.00">
                  <c:v>95.783861100047062</c:v>
                </c:pt>
                <c:pt idx="39" formatCode="0.00">
                  <c:v>98.064429221476757</c:v>
                </c:pt>
                <c:pt idx="40" formatCode="0.00">
                  <c:v>100.34499734290645</c:v>
                </c:pt>
                <c:pt idx="41" formatCode="0.00">
                  <c:v>102.62556546433613</c:v>
                </c:pt>
                <c:pt idx="42" formatCode="0.00">
                  <c:v>104.90613358576583</c:v>
                </c:pt>
                <c:pt idx="43" formatCode="0.00">
                  <c:v>107.18670170719552</c:v>
                </c:pt>
                <c:pt idx="44" formatCode="0.00">
                  <c:v>109.46726982862522</c:v>
                </c:pt>
                <c:pt idx="45" formatCode="0.00">
                  <c:v>111.7478379500549</c:v>
                </c:pt>
                <c:pt idx="46" formatCode="0.00">
                  <c:v>114.02840607148458</c:v>
                </c:pt>
                <c:pt idx="47" formatCode="0.00">
                  <c:v>116.30897419291428</c:v>
                </c:pt>
                <c:pt idx="48" formatCode="0.00">
                  <c:v>118.58954231434397</c:v>
                </c:pt>
                <c:pt idx="49" formatCode="0.00">
                  <c:v>120.87011043577365</c:v>
                </c:pt>
                <c:pt idx="50" formatCode="0.00">
                  <c:v>123.15067855720335</c:v>
                </c:pt>
                <c:pt idx="51" formatCode="0.00">
                  <c:v>125.43124667863306</c:v>
                </c:pt>
                <c:pt idx="52" formatCode="0.00">
                  <c:v>127.71181480006274</c:v>
                </c:pt>
                <c:pt idx="53" formatCode="0.00">
                  <c:v>129.99238292149244</c:v>
                </c:pt>
                <c:pt idx="54" formatCode="0.00">
                  <c:v>132.27295104292213</c:v>
                </c:pt>
                <c:pt idx="55" formatCode="0.00">
                  <c:v>134.55351916435183</c:v>
                </c:pt>
                <c:pt idx="56" formatCode="0.00">
                  <c:v>136.83408728578152</c:v>
                </c:pt>
                <c:pt idx="57" formatCode="0.00">
                  <c:v>139.11465540721119</c:v>
                </c:pt>
                <c:pt idx="58" formatCode="0.00">
                  <c:v>141.39522352864088</c:v>
                </c:pt>
                <c:pt idx="59" formatCode="0.00">
                  <c:v>143.67579165007055</c:v>
                </c:pt>
                <c:pt idx="60" formatCode="0.00">
                  <c:v>145.95635977150027</c:v>
                </c:pt>
                <c:pt idx="61" formatCode="0.00">
                  <c:v>148.23692789292997</c:v>
                </c:pt>
                <c:pt idx="62" formatCode="0.00">
                  <c:v>150.51749601435964</c:v>
                </c:pt>
                <c:pt idx="63" formatCode="0.00">
                  <c:v>152.79806413578936</c:v>
                </c:pt>
                <c:pt idx="64" formatCode="0.00">
                  <c:v>155.07863225721903</c:v>
                </c:pt>
                <c:pt idx="65" formatCode="0.00">
                  <c:v>157.35920037864872</c:v>
                </c:pt>
                <c:pt idx="66" formatCode="0.00">
                  <c:v>159.63976850007842</c:v>
                </c:pt>
              </c:numCache>
            </c:numRef>
          </c:xVal>
          <c:yVal>
            <c:numRef>
              <c:f>'Performance Map'!$AV$2:$AV$68</c:f>
              <c:numCache>
                <c:formatCode>General</c:formatCode>
                <c:ptCount val="67"/>
                <c:pt idx="6" formatCode="0">
                  <c:v>1062.9011553273428</c:v>
                </c:pt>
                <c:pt idx="7" formatCode="0">
                  <c:v>1207.7021822849806</c:v>
                </c:pt>
                <c:pt idx="8" formatCode="0">
                  <c:v>1327.8562259306807</c:v>
                </c:pt>
                <c:pt idx="9" formatCode="0">
                  <c:v>1430.5519897304239</c:v>
                </c:pt>
                <c:pt idx="10" formatCode="0">
                  <c:v>1517.8433889602056</c:v>
                </c:pt>
                <c:pt idx="11" formatCode="0">
                  <c:v>1593.8382541720155</c:v>
                </c:pt>
                <c:pt idx="12" formatCode="0">
                  <c:v>1660.5905006418486</c:v>
                </c:pt>
                <c:pt idx="13" formatCode="0">
                  <c:v>1719.1270860077025</c:v>
                </c:pt>
                <c:pt idx="14" formatCode="0">
                  <c:v>1745.8279845956356</c:v>
                </c:pt>
                <c:pt idx="15" formatCode="0">
                  <c:v>1745.8279845956356</c:v>
                </c:pt>
                <c:pt idx="16" formatCode="0">
                  <c:v>1745.8279845956356</c:v>
                </c:pt>
                <c:pt idx="17" formatCode="0">
                  <c:v>1745.8279845956356</c:v>
                </c:pt>
                <c:pt idx="18" formatCode="0">
                  <c:v>1745.8279845956356</c:v>
                </c:pt>
                <c:pt idx="19" formatCode="0">
                  <c:v>1745.8279845956356</c:v>
                </c:pt>
                <c:pt idx="20" formatCode="0">
                  <c:v>1745.8279845956356</c:v>
                </c:pt>
                <c:pt idx="21" formatCode="0">
                  <c:v>1745.8279845956356</c:v>
                </c:pt>
                <c:pt idx="22" formatCode="0">
                  <c:v>1745.8279845956356</c:v>
                </c:pt>
                <c:pt idx="23" formatCode="0">
                  <c:v>1745.8279845956356</c:v>
                </c:pt>
                <c:pt idx="24" formatCode="0">
                  <c:v>1745.8279845956356</c:v>
                </c:pt>
                <c:pt idx="25" formatCode="0">
                  <c:v>1745.8279845956356</c:v>
                </c:pt>
                <c:pt idx="26" formatCode="0">
                  <c:v>1745.8279845956356</c:v>
                </c:pt>
                <c:pt idx="27" formatCode="0">
                  <c:v>1745.8279845956356</c:v>
                </c:pt>
                <c:pt idx="28" formatCode="0">
                  <c:v>1745.8279845956356</c:v>
                </c:pt>
                <c:pt idx="29" formatCode="0">
                  <c:v>1745.8279845956356</c:v>
                </c:pt>
                <c:pt idx="30" formatCode="0">
                  <c:v>1745.8279845956356</c:v>
                </c:pt>
                <c:pt idx="31" formatCode="0">
                  <c:v>1745.8279845956356</c:v>
                </c:pt>
                <c:pt idx="32" formatCode="0">
                  <c:v>1745.8279845956356</c:v>
                </c:pt>
                <c:pt idx="33" formatCode="0">
                  <c:v>1745.8279845956356</c:v>
                </c:pt>
                <c:pt idx="34" formatCode="0">
                  <c:v>1745.8279845956356</c:v>
                </c:pt>
                <c:pt idx="35" formatCode="0">
                  <c:v>1745.8279845956356</c:v>
                </c:pt>
                <c:pt idx="36" formatCode="0">
                  <c:v>1716.0462130937099</c:v>
                </c:pt>
                <c:pt idx="37" formatCode="0">
                  <c:v>1673.9409499358153</c:v>
                </c:pt>
                <c:pt idx="38" formatCode="0">
                  <c:v>1634.9165596919129</c:v>
                </c:pt>
                <c:pt idx="39" formatCode="0">
                  <c:v>1596.9191270860078</c:v>
                </c:pt>
                <c:pt idx="40" formatCode="0">
                  <c:v>1559.9486521181004</c:v>
                </c:pt>
                <c:pt idx="41" formatCode="0">
                  <c:v>1525.0320924261875</c:v>
                </c:pt>
                <c:pt idx="42" formatCode="0">
                  <c:v>1492.1694480102699</c:v>
                </c:pt>
                <c:pt idx="43" formatCode="0">
                  <c:v>1460.3337612323492</c:v>
                </c:pt>
                <c:pt idx="44" formatCode="0">
                  <c:v>1430.5519897304239</c:v>
                </c:pt>
                <c:pt idx="45" formatCode="0">
                  <c:v>1400.7702182284984</c:v>
                </c:pt>
                <c:pt idx="46" formatCode="0">
                  <c:v>1373.0423620025674</c:v>
                </c:pt>
                <c:pt idx="47" formatCode="0">
                  <c:v>1346.3414634146341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3F9-E049-9FC9-69D2743B34ED}"/>
            </c:ext>
          </c:extLst>
        </c:ser>
        <c:ser>
          <c:idx val="11"/>
          <c:order val="10"/>
          <c:tx>
            <c:v>G3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Map'!$AO$2:$AO$68</c:f>
              <c:numCache>
                <c:formatCode>General</c:formatCode>
                <c:ptCount val="67"/>
                <c:pt idx="6" formatCode="0.00">
                  <c:v>17.104260910722687</c:v>
                </c:pt>
                <c:pt idx="7" formatCode="0.00">
                  <c:v>18.814687001794958</c:v>
                </c:pt>
                <c:pt idx="8" formatCode="0.00">
                  <c:v>20.52511309286723</c:v>
                </c:pt>
                <c:pt idx="9" formatCode="0.00">
                  <c:v>22.235539183939494</c:v>
                </c:pt>
                <c:pt idx="10" formatCode="0.00">
                  <c:v>23.945965275011766</c:v>
                </c:pt>
                <c:pt idx="11" formatCode="0.00">
                  <c:v>25.656391366084033</c:v>
                </c:pt>
                <c:pt idx="12" formatCode="0.00">
                  <c:v>27.366817457156298</c:v>
                </c:pt>
                <c:pt idx="13" formatCode="0.00">
                  <c:v>29.077243548228569</c:v>
                </c:pt>
                <c:pt idx="14" formatCode="0.00">
                  <c:v>30.787669639300837</c:v>
                </c:pt>
                <c:pt idx="15" formatCode="0.00">
                  <c:v>32.498095730373109</c:v>
                </c:pt>
                <c:pt idx="16" formatCode="0.00">
                  <c:v>34.208521821445373</c:v>
                </c:pt>
                <c:pt idx="17" formatCode="0.00">
                  <c:v>35.918947912517645</c:v>
                </c:pt>
                <c:pt idx="18" formatCode="0.00">
                  <c:v>37.629374003589916</c:v>
                </c:pt>
                <c:pt idx="19" formatCode="0.00">
                  <c:v>39.339800094662188</c:v>
                </c:pt>
                <c:pt idx="20" formatCode="0.00">
                  <c:v>41.050226185734459</c:v>
                </c:pt>
                <c:pt idx="21" formatCode="0.00">
                  <c:v>42.760652276806717</c:v>
                </c:pt>
                <c:pt idx="22" formatCode="0.00">
                  <c:v>44.471078367878988</c:v>
                </c:pt>
                <c:pt idx="23" formatCode="0.00">
                  <c:v>46.18150445895126</c:v>
                </c:pt>
                <c:pt idx="24" formatCode="0.00">
                  <c:v>47.891930550023531</c:v>
                </c:pt>
                <c:pt idx="25" formatCode="0.00">
                  <c:v>49.602356641095795</c:v>
                </c:pt>
                <c:pt idx="26" formatCode="0.00">
                  <c:v>51.312782732168067</c:v>
                </c:pt>
                <c:pt idx="27" formatCode="0.00">
                  <c:v>53.023208823240331</c:v>
                </c:pt>
                <c:pt idx="28" formatCode="0.00">
                  <c:v>54.733634914312596</c:v>
                </c:pt>
                <c:pt idx="29" formatCode="0.00">
                  <c:v>56.444061005384867</c:v>
                </c:pt>
                <c:pt idx="30" formatCode="0.00">
                  <c:v>58.154487096457139</c:v>
                </c:pt>
                <c:pt idx="31" formatCode="0.00">
                  <c:v>59.86491318752941</c:v>
                </c:pt>
                <c:pt idx="32" formatCode="0.00">
                  <c:v>61.575339278601675</c:v>
                </c:pt>
                <c:pt idx="33" formatCode="0.00">
                  <c:v>63.285765369673946</c:v>
                </c:pt>
                <c:pt idx="34" formatCode="0.00">
                  <c:v>64.996191460746218</c:v>
                </c:pt>
                <c:pt idx="35" formatCode="0.00">
                  <c:v>66.706617551818482</c:v>
                </c:pt>
                <c:pt idx="36" formatCode="0.00">
                  <c:v>68.417043642890746</c:v>
                </c:pt>
                <c:pt idx="37" formatCode="0.00">
                  <c:v>70.127469733963025</c:v>
                </c:pt>
                <c:pt idx="38" formatCode="0.00">
                  <c:v>71.837895825035289</c:v>
                </c:pt>
                <c:pt idx="39" formatCode="0.00">
                  <c:v>73.548321916107568</c:v>
                </c:pt>
                <c:pt idx="40" formatCode="0.00">
                  <c:v>75.258748007179832</c:v>
                </c:pt>
                <c:pt idx="41" formatCode="0.00">
                  <c:v>76.969174098252111</c:v>
                </c:pt>
                <c:pt idx="42" formatCode="0.00">
                  <c:v>78.679600189324375</c:v>
                </c:pt>
                <c:pt idx="43" formatCode="0.00">
                  <c:v>80.39002628039664</c:v>
                </c:pt>
                <c:pt idx="44" formatCode="0.00">
                  <c:v>82.100452371468918</c:v>
                </c:pt>
                <c:pt idx="45" formatCode="0.00">
                  <c:v>83.810878462541169</c:v>
                </c:pt>
                <c:pt idx="46" formatCode="0.00">
                  <c:v>85.521304553613433</c:v>
                </c:pt>
                <c:pt idx="47" formatCode="0.00">
                  <c:v>87.231730644685712</c:v>
                </c:pt>
                <c:pt idx="48" formatCode="0.00">
                  <c:v>88.942156735757976</c:v>
                </c:pt>
                <c:pt idx="49" formatCode="0.00">
                  <c:v>90.65258282683024</c:v>
                </c:pt>
                <c:pt idx="50" formatCode="0.00">
                  <c:v>92.363008917902519</c:v>
                </c:pt>
                <c:pt idx="51" formatCode="0.00">
                  <c:v>94.073435008974783</c:v>
                </c:pt>
                <c:pt idx="52" formatCode="0.00">
                  <c:v>95.783861100047062</c:v>
                </c:pt>
                <c:pt idx="53" formatCode="0.00">
                  <c:v>97.494287191119327</c:v>
                </c:pt>
                <c:pt idx="54" formatCode="0.00">
                  <c:v>99.204713282191591</c:v>
                </c:pt>
                <c:pt idx="55" formatCode="0.00">
                  <c:v>100.91513937326387</c:v>
                </c:pt>
                <c:pt idx="56" formatCode="0.00">
                  <c:v>102.62556546433613</c:v>
                </c:pt>
                <c:pt idx="57" formatCode="0.00">
                  <c:v>104.33599155540838</c:v>
                </c:pt>
                <c:pt idx="58" formatCode="0.00">
                  <c:v>106.04641764648066</c:v>
                </c:pt>
                <c:pt idx="59" formatCode="0.00">
                  <c:v>107.75684373755293</c:v>
                </c:pt>
                <c:pt idx="60" formatCode="0.00">
                  <c:v>109.46726982862519</c:v>
                </c:pt>
                <c:pt idx="61" formatCode="0.00">
                  <c:v>111.17769591969747</c:v>
                </c:pt>
                <c:pt idx="62" formatCode="0.00">
                  <c:v>112.88812201076973</c:v>
                </c:pt>
                <c:pt idx="63" formatCode="0.00">
                  <c:v>114.59854810184201</c:v>
                </c:pt>
                <c:pt idx="64" formatCode="0.00">
                  <c:v>116.30897419291428</c:v>
                </c:pt>
                <c:pt idx="65" formatCode="0.00">
                  <c:v>118.01940028398654</c:v>
                </c:pt>
                <c:pt idx="66" formatCode="0.00">
                  <c:v>119.72982637505882</c:v>
                </c:pt>
              </c:numCache>
            </c:numRef>
          </c:xVal>
          <c:yVal>
            <c:numRef>
              <c:f>'Performance Map'!$AQ$2:$AQ$68</c:f>
              <c:numCache>
                <c:formatCode>General</c:formatCode>
                <c:ptCount val="67"/>
                <c:pt idx="6" formatCode="0">
                  <c:v>1417.2015404364572</c:v>
                </c:pt>
                <c:pt idx="7" formatCode="0">
                  <c:v>1610.2695763799745</c:v>
                </c:pt>
                <c:pt idx="8" formatCode="0">
                  <c:v>1770.4749679075742</c:v>
                </c:pt>
                <c:pt idx="9" formatCode="0">
                  <c:v>1907.4026529738985</c:v>
                </c:pt>
                <c:pt idx="10" formatCode="0">
                  <c:v>2023.7911852802742</c:v>
                </c:pt>
                <c:pt idx="11" formatCode="0">
                  <c:v>2125.117672229354</c:v>
                </c:pt>
                <c:pt idx="12" formatCode="0">
                  <c:v>2214.1206675224648</c:v>
                </c:pt>
                <c:pt idx="13" formatCode="0">
                  <c:v>2292.1694480102701</c:v>
                </c:pt>
                <c:pt idx="14" formatCode="0">
                  <c:v>2327.7706461275143</c:v>
                </c:pt>
                <c:pt idx="15" formatCode="0">
                  <c:v>2327.7706461275143</c:v>
                </c:pt>
                <c:pt idx="16" formatCode="0">
                  <c:v>2327.7706461275143</c:v>
                </c:pt>
                <c:pt idx="17" formatCode="0">
                  <c:v>2327.7706461275143</c:v>
                </c:pt>
                <c:pt idx="18" formatCode="0">
                  <c:v>2327.7706461275143</c:v>
                </c:pt>
                <c:pt idx="19" formatCode="0">
                  <c:v>2327.7706461275143</c:v>
                </c:pt>
                <c:pt idx="20" formatCode="0">
                  <c:v>2327.7706461275143</c:v>
                </c:pt>
                <c:pt idx="21" formatCode="0">
                  <c:v>2327.7706461275143</c:v>
                </c:pt>
                <c:pt idx="22" formatCode="0">
                  <c:v>2327.7706461275143</c:v>
                </c:pt>
                <c:pt idx="23" formatCode="0">
                  <c:v>2327.7706461275143</c:v>
                </c:pt>
                <c:pt idx="24" formatCode="0">
                  <c:v>2327.7706461275143</c:v>
                </c:pt>
                <c:pt idx="25" formatCode="0">
                  <c:v>2327.7706461275143</c:v>
                </c:pt>
                <c:pt idx="26" formatCode="0">
                  <c:v>2327.7706461275143</c:v>
                </c:pt>
                <c:pt idx="27" formatCode="0">
                  <c:v>2327.7706461275143</c:v>
                </c:pt>
                <c:pt idx="28" formatCode="0">
                  <c:v>2327.7706461275143</c:v>
                </c:pt>
                <c:pt idx="29" formatCode="0">
                  <c:v>2327.7706461275143</c:v>
                </c:pt>
                <c:pt idx="30" formatCode="0">
                  <c:v>2327.7706461275143</c:v>
                </c:pt>
                <c:pt idx="31" formatCode="0">
                  <c:v>2327.7706461275143</c:v>
                </c:pt>
                <c:pt idx="32" formatCode="0">
                  <c:v>2327.7706461275143</c:v>
                </c:pt>
                <c:pt idx="33" formatCode="0">
                  <c:v>2327.7706461275143</c:v>
                </c:pt>
                <c:pt idx="34" formatCode="0">
                  <c:v>2327.7706461275143</c:v>
                </c:pt>
                <c:pt idx="35" formatCode="0">
                  <c:v>2327.7706461275143</c:v>
                </c:pt>
                <c:pt idx="36" formatCode="0">
                  <c:v>2288.0616174582801</c:v>
                </c:pt>
                <c:pt idx="37" formatCode="0">
                  <c:v>2231.9212665810869</c:v>
                </c:pt>
                <c:pt idx="38" formatCode="0">
                  <c:v>2179.8887462558837</c:v>
                </c:pt>
                <c:pt idx="39" formatCode="0">
                  <c:v>2129.2255027813439</c:v>
                </c:pt>
                <c:pt idx="40" formatCode="0">
                  <c:v>2079.9315361574672</c:v>
                </c:pt>
                <c:pt idx="41" formatCode="0">
                  <c:v>2033.3761232349168</c:v>
                </c:pt>
                <c:pt idx="42" formatCode="0">
                  <c:v>1989.5592640136931</c:v>
                </c:pt>
                <c:pt idx="43" formatCode="0">
                  <c:v>1947.1116816431322</c:v>
                </c:pt>
                <c:pt idx="44" formatCode="0">
                  <c:v>1907.4026529738985</c:v>
                </c:pt>
                <c:pt idx="45" formatCode="0">
                  <c:v>1867.6936243046644</c:v>
                </c:pt>
                <c:pt idx="46" formatCode="0">
                  <c:v>1830.7231493367565</c:v>
                </c:pt>
                <c:pt idx="47" formatCode="0">
                  <c:v>1795.1219512195123</c:v>
                </c:pt>
                <c:pt idx="48" formatCode="0">
                  <c:v>1759.5207531022681</c:v>
                </c:pt>
                <c:pt idx="49" formatCode="0">
                  <c:v>1726.65810868635</c:v>
                </c:pt>
                <c:pt idx="50" formatCode="0">
                  <c:v>1695.1647411210956</c:v>
                </c:pt>
                <c:pt idx="51" formatCode="0">
                  <c:v>1663.671373555841</c:v>
                </c:pt>
                <c:pt idx="52" formatCode="0">
                  <c:v>1634.9165596919129</c:v>
                </c:pt>
                <c:pt idx="53" formatCode="0">
                  <c:v>1606.1617458279848</c:v>
                </c:pt>
                <c:pt idx="54" formatCode="0">
                  <c:v>1578.7762088147199</c:v>
                </c:pt>
                <c:pt idx="55" formatCode="0">
                  <c:v>1551.390671801455</c:v>
                </c:pt>
                <c:pt idx="56" formatCode="0">
                  <c:v>1525.3744116388534</c:v>
                </c:pt>
                <c:pt idx="57" formatCode="0">
                  <c:v>1493.8810440735988</c:v>
                </c:pt>
                <c:pt idx="58" formatCode="0">
                  <c:v>1452.8027385537014</c:v>
                </c:pt>
                <c:pt idx="59" formatCode="0">
                  <c:v>1400.7702182284982</c:v>
                </c:pt>
                <c:pt idx="60" formatCode="0">
                  <c:v>1339.1527599486521</c:v>
                </c:pt>
                <c:pt idx="61" formatCode="0">
                  <c:v>1267.9503637141636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3F9-E049-9FC9-69D2743B34ED}"/>
            </c:ext>
          </c:extLst>
        </c:ser>
        <c:ser>
          <c:idx val="10"/>
          <c:order val="11"/>
          <c:tx>
            <c:v>G2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Map'!$AJ$2:$AJ$68</c:f>
              <c:numCache>
                <c:formatCode>General</c:formatCode>
                <c:ptCount val="67"/>
                <c:pt idx="6" formatCode="0.00">
                  <c:v>11.402840607148457</c:v>
                </c:pt>
                <c:pt idx="7" formatCode="0.00">
                  <c:v>12.543124667863307</c:v>
                </c:pt>
                <c:pt idx="8" formatCode="0.00">
                  <c:v>13.683408728578152</c:v>
                </c:pt>
                <c:pt idx="9" formatCode="0.00">
                  <c:v>14.823692789292997</c:v>
                </c:pt>
                <c:pt idx="10" formatCode="0.00">
                  <c:v>15.963976850007843</c:v>
                </c:pt>
                <c:pt idx="11" formatCode="0.00">
                  <c:v>17.10426091072269</c:v>
                </c:pt>
                <c:pt idx="12" formatCode="0.00">
                  <c:v>18.244544971437534</c:v>
                </c:pt>
                <c:pt idx="13" formatCode="0.00">
                  <c:v>19.384829032152378</c:v>
                </c:pt>
                <c:pt idx="14" formatCode="0.00">
                  <c:v>20.525113092867226</c:v>
                </c:pt>
                <c:pt idx="15" formatCode="0.00">
                  <c:v>21.665397153582074</c:v>
                </c:pt>
                <c:pt idx="16" formatCode="0.00">
                  <c:v>22.805681214296914</c:v>
                </c:pt>
                <c:pt idx="17" formatCode="0.00">
                  <c:v>23.945965275011766</c:v>
                </c:pt>
                <c:pt idx="18" formatCode="0.00">
                  <c:v>25.086249335726613</c:v>
                </c:pt>
                <c:pt idx="19" formatCode="0.00">
                  <c:v>26.226533396441457</c:v>
                </c:pt>
                <c:pt idx="20" formatCode="0.00">
                  <c:v>27.366817457156305</c:v>
                </c:pt>
                <c:pt idx="21" formatCode="0.00">
                  <c:v>28.507101517871146</c:v>
                </c:pt>
                <c:pt idx="22" formatCode="0.00">
                  <c:v>29.647385578585993</c:v>
                </c:pt>
                <c:pt idx="23" formatCode="0.00">
                  <c:v>30.787669639300837</c:v>
                </c:pt>
                <c:pt idx="24" formatCode="0.00">
                  <c:v>31.927953700015685</c:v>
                </c:pt>
                <c:pt idx="25" formatCode="0.00">
                  <c:v>33.068237760730533</c:v>
                </c:pt>
                <c:pt idx="26" formatCode="0.00">
                  <c:v>34.20852182144538</c:v>
                </c:pt>
                <c:pt idx="27" formatCode="0.00">
                  <c:v>35.348805882160221</c:v>
                </c:pt>
                <c:pt idx="28" formatCode="0.00">
                  <c:v>36.489089942875069</c:v>
                </c:pt>
                <c:pt idx="29" formatCode="0.00">
                  <c:v>37.629374003589909</c:v>
                </c:pt>
                <c:pt idx="30" formatCode="0.00">
                  <c:v>38.769658064304757</c:v>
                </c:pt>
                <c:pt idx="31" formatCode="0.00">
                  <c:v>39.909942125019604</c:v>
                </c:pt>
                <c:pt idx="32" formatCode="0.00">
                  <c:v>41.050226185734452</c:v>
                </c:pt>
                <c:pt idx="33" formatCode="0.00">
                  <c:v>42.1905102464493</c:v>
                </c:pt>
                <c:pt idx="34" formatCode="0.00">
                  <c:v>43.330794307164147</c:v>
                </c:pt>
                <c:pt idx="35" formatCode="0.00">
                  <c:v>44.471078367878988</c:v>
                </c:pt>
                <c:pt idx="36" formatCode="0.00">
                  <c:v>45.611362428593829</c:v>
                </c:pt>
                <c:pt idx="37" formatCode="0.00">
                  <c:v>46.751646489308676</c:v>
                </c:pt>
                <c:pt idx="38" formatCode="0.00">
                  <c:v>47.891930550023531</c:v>
                </c:pt>
                <c:pt idx="39" formatCode="0.00">
                  <c:v>49.032214610738379</c:v>
                </c:pt>
                <c:pt idx="40" formatCode="0.00">
                  <c:v>50.172498671453226</c:v>
                </c:pt>
                <c:pt idx="41" formatCode="0.00">
                  <c:v>51.312782732168067</c:v>
                </c:pt>
                <c:pt idx="42" formatCode="0.00">
                  <c:v>52.453066792882915</c:v>
                </c:pt>
                <c:pt idx="43" formatCode="0.00">
                  <c:v>53.593350853597762</c:v>
                </c:pt>
                <c:pt idx="44" formatCode="0.00">
                  <c:v>54.73363491431261</c:v>
                </c:pt>
                <c:pt idx="45" formatCode="0.00">
                  <c:v>55.873918975027451</c:v>
                </c:pt>
                <c:pt idx="46" formatCode="0.00">
                  <c:v>57.014203035742291</c:v>
                </c:pt>
                <c:pt idx="47" formatCode="0.00">
                  <c:v>58.154487096457139</c:v>
                </c:pt>
                <c:pt idx="48" formatCode="0.00">
                  <c:v>59.294771157171986</c:v>
                </c:pt>
                <c:pt idx="49" formatCode="0.00">
                  <c:v>60.435055217886827</c:v>
                </c:pt>
                <c:pt idx="50" formatCode="0.00">
                  <c:v>61.575339278601675</c:v>
                </c:pt>
                <c:pt idx="51" formatCode="0.00">
                  <c:v>62.715623339316529</c:v>
                </c:pt>
                <c:pt idx="52" formatCode="0.00">
                  <c:v>63.85590740003137</c:v>
                </c:pt>
                <c:pt idx="53" formatCode="0.00">
                  <c:v>64.996191460746218</c:v>
                </c:pt>
                <c:pt idx="54" formatCode="0.00">
                  <c:v>66.136475521461065</c:v>
                </c:pt>
                <c:pt idx="55" formatCode="0.00">
                  <c:v>67.276759582175913</c:v>
                </c:pt>
                <c:pt idx="56" formatCode="0.00">
                  <c:v>68.417043642890761</c:v>
                </c:pt>
                <c:pt idx="57" formatCode="0.00">
                  <c:v>69.557327703605594</c:v>
                </c:pt>
                <c:pt idx="58" formatCode="0.00">
                  <c:v>70.697611764320442</c:v>
                </c:pt>
                <c:pt idx="59" formatCode="0.00">
                  <c:v>71.837895825035275</c:v>
                </c:pt>
                <c:pt idx="60" formatCode="0.00">
                  <c:v>72.978179885750137</c:v>
                </c:pt>
                <c:pt idx="61" formatCode="0.00">
                  <c:v>74.118463946464985</c:v>
                </c:pt>
                <c:pt idx="62" formatCode="0.00">
                  <c:v>75.258748007179818</c:v>
                </c:pt>
                <c:pt idx="63" formatCode="0.00">
                  <c:v>76.39903206789468</c:v>
                </c:pt>
                <c:pt idx="64" formatCode="0.00">
                  <c:v>77.539316128609514</c:v>
                </c:pt>
                <c:pt idx="65" formatCode="0.00">
                  <c:v>78.679600189324361</c:v>
                </c:pt>
                <c:pt idx="66" formatCode="0.00">
                  <c:v>79.819884250039209</c:v>
                </c:pt>
              </c:numCache>
            </c:numRef>
          </c:xVal>
          <c:yVal>
            <c:numRef>
              <c:f>'Performance Map'!$AL$2:$AL$68</c:f>
              <c:numCache>
                <c:formatCode>General</c:formatCode>
                <c:ptCount val="67"/>
                <c:pt idx="6" formatCode="0">
                  <c:v>2125.8023106546857</c:v>
                </c:pt>
                <c:pt idx="7" formatCode="0">
                  <c:v>2415.4043645699612</c:v>
                </c:pt>
                <c:pt idx="8" formatCode="0">
                  <c:v>2655.7124518613614</c:v>
                </c:pt>
                <c:pt idx="9" formatCode="0">
                  <c:v>2861.1039794608478</c:v>
                </c:pt>
                <c:pt idx="10" formatCode="0">
                  <c:v>3035.6867779204113</c:v>
                </c:pt>
                <c:pt idx="11" formatCode="0">
                  <c:v>3187.6765083440309</c:v>
                </c:pt>
                <c:pt idx="12" formatCode="0">
                  <c:v>3321.1810012836972</c:v>
                </c:pt>
                <c:pt idx="13" formatCode="0">
                  <c:v>3438.2541720154049</c:v>
                </c:pt>
                <c:pt idx="14" formatCode="0">
                  <c:v>3491.6559691912712</c:v>
                </c:pt>
                <c:pt idx="15" formatCode="0">
                  <c:v>3491.6559691912712</c:v>
                </c:pt>
                <c:pt idx="16" formatCode="0">
                  <c:v>3491.6559691912712</c:v>
                </c:pt>
                <c:pt idx="17" formatCode="0">
                  <c:v>3491.6559691912712</c:v>
                </c:pt>
                <c:pt idx="18" formatCode="0">
                  <c:v>3491.6559691912712</c:v>
                </c:pt>
                <c:pt idx="19" formatCode="0">
                  <c:v>3491.6559691912712</c:v>
                </c:pt>
                <c:pt idx="20" formatCode="0">
                  <c:v>3491.6559691912712</c:v>
                </c:pt>
                <c:pt idx="21" formatCode="0">
                  <c:v>3491.6559691912712</c:v>
                </c:pt>
                <c:pt idx="22" formatCode="0">
                  <c:v>3491.6559691912712</c:v>
                </c:pt>
                <c:pt idx="23" formatCode="0">
                  <c:v>3491.6559691912712</c:v>
                </c:pt>
                <c:pt idx="24" formatCode="0">
                  <c:v>3491.6559691912712</c:v>
                </c:pt>
                <c:pt idx="25" formatCode="0">
                  <c:v>3491.6559691912712</c:v>
                </c:pt>
                <c:pt idx="26" formatCode="0">
                  <c:v>3491.6559691912712</c:v>
                </c:pt>
                <c:pt idx="27" formatCode="0">
                  <c:v>3491.6559691912712</c:v>
                </c:pt>
                <c:pt idx="28" formatCode="0">
                  <c:v>3491.6559691912712</c:v>
                </c:pt>
                <c:pt idx="29" formatCode="0">
                  <c:v>3491.6559691912712</c:v>
                </c:pt>
                <c:pt idx="30" formatCode="0">
                  <c:v>3491.6559691912712</c:v>
                </c:pt>
                <c:pt idx="31" formatCode="0">
                  <c:v>3491.6559691912712</c:v>
                </c:pt>
                <c:pt idx="32" formatCode="0">
                  <c:v>3491.6559691912712</c:v>
                </c:pt>
                <c:pt idx="33" formatCode="0">
                  <c:v>3491.6559691912712</c:v>
                </c:pt>
                <c:pt idx="34" formatCode="0">
                  <c:v>3491.6559691912712</c:v>
                </c:pt>
                <c:pt idx="35" formatCode="0">
                  <c:v>3491.6559691912712</c:v>
                </c:pt>
                <c:pt idx="36" formatCode="0">
                  <c:v>3432.0924261874197</c:v>
                </c:pt>
                <c:pt idx="37" formatCode="0">
                  <c:v>3347.8818998716306</c:v>
                </c:pt>
                <c:pt idx="38" formatCode="0">
                  <c:v>3269.8331193838258</c:v>
                </c:pt>
                <c:pt idx="39" formatCode="0">
                  <c:v>3193.8382541720157</c:v>
                </c:pt>
                <c:pt idx="40" formatCode="0">
                  <c:v>3119.8973042362009</c:v>
                </c:pt>
                <c:pt idx="41" formatCode="0">
                  <c:v>3050.0641848523751</c:v>
                </c:pt>
                <c:pt idx="42" formatCode="0">
                  <c:v>2984.3388960205398</c:v>
                </c:pt>
                <c:pt idx="43" formatCode="0">
                  <c:v>2920.6675224646983</c:v>
                </c:pt>
                <c:pt idx="44" formatCode="0">
                  <c:v>2861.1039794608478</c:v>
                </c:pt>
                <c:pt idx="45" formatCode="0">
                  <c:v>2801.5404364569968</c:v>
                </c:pt>
                <c:pt idx="46" formatCode="0">
                  <c:v>2746.0847240051348</c:v>
                </c:pt>
                <c:pt idx="47" formatCode="0">
                  <c:v>2692.6829268292681</c:v>
                </c:pt>
                <c:pt idx="48" formatCode="0">
                  <c:v>2639.2811296534019</c:v>
                </c:pt>
                <c:pt idx="49" formatCode="0">
                  <c:v>2589.9871630295252</c:v>
                </c:pt>
                <c:pt idx="50" formatCode="0">
                  <c:v>2542.7471116816432</c:v>
                </c:pt>
                <c:pt idx="51" formatCode="0">
                  <c:v>2495.5070603337617</c:v>
                </c:pt>
                <c:pt idx="52" formatCode="0">
                  <c:v>2452.3748395378698</c:v>
                </c:pt>
                <c:pt idx="53" formatCode="0">
                  <c:v>2409.2426187419769</c:v>
                </c:pt>
                <c:pt idx="54" formatCode="0">
                  <c:v>2368.1643132220797</c:v>
                </c:pt>
                <c:pt idx="55" formatCode="0">
                  <c:v>2327.0860077021825</c:v>
                </c:pt>
                <c:pt idx="56" formatCode="0">
                  <c:v>2288.0616174582806</c:v>
                </c:pt>
                <c:pt idx="57" formatCode="0">
                  <c:v>2240.8215661103977</c:v>
                </c:pt>
                <c:pt idx="58" formatCode="0">
                  <c:v>2179.2041078305519</c:v>
                </c:pt>
                <c:pt idx="59" formatCode="0">
                  <c:v>2101.1553273427471</c:v>
                </c:pt>
                <c:pt idx="60" formatCode="0">
                  <c:v>2008.7291399229782</c:v>
                </c:pt>
                <c:pt idx="61" formatCode="0">
                  <c:v>1901.925545571245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3F9-E049-9FC9-69D2743B34ED}"/>
            </c:ext>
          </c:extLst>
        </c:ser>
        <c:ser>
          <c:idx val="9"/>
          <c:order val="12"/>
          <c:tx>
            <c:v>G1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'Performance Map'!$AE$2:$AE$68</c:f>
              <c:numCache>
                <c:formatCode>General</c:formatCode>
                <c:ptCount val="67"/>
                <c:pt idx="6" formatCode="0.00">
                  <c:v>7.6018937380989717</c:v>
                </c:pt>
                <c:pt idx="7" formatCode="0.00">
                  <c:v>8.3620831119088699</c:v>
                </c:pt>
                <c:pt idx="8" formatCode="0.00">
                  <c:v>9.1222724857187689</c:v>
                </c:pt>
                <c:pt idx="9" formatCode="0.00">
                  <c:v>9.8824618595286644</c:v>
                </c:pt>
                <c:pt idx="10" formatCode="0.00">
                  <c:v>10.642651233338563</c:v>
                </c:pt>
                <c:pt idx="11" formatCode="0.00">
                  <c:v>11.402840607148459</c:v>
                </c:pt>
                <c:pt idx="12" formatCode="0.00">
                  <c:v>12.163029980958356</c:v>
                </c:pt>
                <c:pt idx="13" formatCode="0.00">
                  <c:v>12.923219354768253</c:v>
                </c:pt>
                <c:pt idx="14" formatCode="0.00">
                  <c:v>13.683408728578149</c:v>
                </c:pt>
                <c:pt idx="15" formatCode="0.00">
                  <c:v>14.443598102388048</c:v>
                </c:pt>
                <c:pt idx="16" formatCode="0.00">
                  <c:v>15.203787476197943</c:v>
                </c:pt>
                <c:pt idx="17" formatCode="0.00">
                  <c:v>15.963976850007844</c:v>
                </c:pt>
                <c:pt idx="18" formatCode="0.00">
                  <c:v>16.72416622381774</c:v>
                </c:pt>
                <c:pt idx="19" formatCode="0.00">
                  <c:v>17.484355597627641</c:v>
                </c:pt>
                <c:pt idx="20" formatCode="0.00">
                  <c:v>18.244544971437538</c:v>
                </c:pt>
                <c:pt idx="21" formatCode="0.00">
                  <c:v>19.004734345247432</c:v>
                </c:pt>
                <c:pt idx="22" formatCode="0.00">
                  <c:v>19.764923719057329</c:v>
                </c:pt>
                <c:pt idx="23" formatCode="0.00">
                  <c:v>20.525113092867226</c:v>
                </c:pt>
                <c:pt idx="24" formatCode="0.00">
                  <c:v>21.285302466677127</c:v>
                </c:pt>
                <c:pt idx="25" formatCode="0.00">
                  <c:v>22.045491840487021</c:v>
                </c:pt>
                <c:pt idx="26" formatCode="0.00">
                  <c:v>22.805681214296918</c:v>
                </c:pt>
                <c:pt idx="27" formatCode="0.00">
                  <c:v>23.565870588106812</c:v>
                </c:pt>
                <c:pt idx="28" formatCode="0.00">
                  <c:v>24.326059961916712</c:v>
                </c:pt>
                <c:pt idx="29" formatCode="0.00">
                  <c:v>25.08624933572661</c:v>
                </c:pt>
                <c:pt idx="30" formatCode="0.00">
                  <c:v>25.846438709536507</c:v>
                </c:pt>
                <c:pt idx="31" formatCode="0.00">
                  <c:v>26.606628083346404</c:v>
                </c:pt>
                <c:pt idx="32" formatCode="0.00">
                  <c:v>27.366817457156298</c:v>
                </c:pt>
                <c:pt idx="33" formatCode="0.00">
                  <c:v>28.127006830966199</c:v>
                </c:pt>
                <c:pt idx="34" formatCode="0.00">
                  <c:v>28.887196204776096</c:v>
                </c:pt>
                <c:pt idx="35" formatCode="0.00">
                  <c:v>29.647385578585993</c:v>
                </c:pt>
                <c:pt idx="36" formatCode="0.00">
                  <c:v>30.407574952395887</c:v>
                </c:pt>
                <c:pt idx="37" formatCode="0.00">
                  <c:v>31.167764326205788</c:v>
                </c:pt>
                <c:pt idx="38" formatCode="0.00">
                  <c:v>31.927953700015689</c:v>
                </c:pt>
                <c:pt idx="39" formatCode="0.00">
                  <c:v>32.688143073825586</c:v>
                </c:pt>
                <c:pt idx="40" formatCode="0.00">
                  <c:v>33.44833244763548</c:v>
                </c:pt>
                <c:pt idx="41" formatCode="0.00">
                  <c:v>34.20852182144538</c:v>
                </c:pt>
                <c:pt idx="42" formatCode="0.00">
                  <c:v>34.968711195255281</c:v>
                </c:pt>
                <c:pt idx="43" formatCode="0.00">
                  <c:v>35.728900569065175</c:v>
                </c:pt>
                <c:pt idx="44" formatCode="0.00">
                  <c:v>36.489089942875076</c:v>
                </c:pt>
                <c:pt idx="45" formatCode="0.00">
                  <c:v>37.249279316684962</c:v>
                </c:pt>
                <c:pt idx="46" formatCode="0.00">
                  <c:v>38.009468690494863</c:v>
                </c:pt>
                <c:pt idx="47" formatCode="0.00">
                  <c:v>38.769658064304757</c:v>
                </c:pt>
                <c:pt idx="48" formatCode="0.00">
                  <c:v>39.529847438114658</c:v>
                </c:pt>
                <c:pt idx="49" formatCode="0.00">
                  <c:v>40.290036811924551</c:v>
                </c:pt>
                <c:pt idx="50" formatCode="0.00">
                  <c:v>41.050226185734452</c:v>
                </c:pt>
                <c:pt idx="51" formatCode="0.00">
                  <c:v>41.810415559544346</c:v>
                </c:pt>
                <c:pt idx="52" formatCode="0.00">
                  <c:v>42.570604933354254</c:v>
                </c:pt>
                <c:pt idx="53" formatCode="0.00">
                  <c:v>43.330794307164147</c:v>
                </c:pt>
                <c:pt idx="54" formatCode="0.00">
                  <c:v>44.090983680974041</c:v>
                </c:pt>
                <c:pt idx="55" formatCode="0.00">
                  <c:v>44.851173054783942</c:v>
                </c:pt>
                <c:pt idx="56" formatCode="0.00">
                  <c:v>45.611362428593836</c:v>
                </c:pt>
                <c:pt idx="57" formatCode="0.00">
                  <c:v>46.371551802403729</c:v>
                </c:pt>
                <c:pt idx="58" formatCode="0.00">
                  <c:v>47.131741176213623</c:v>
                </c:pt>
                <c:pt idx="59" formatCode="0.00">
                  <c:v>47.891930550023517</c:v>
                </c:pt>
                <c:pt idx="60" formatCode="0.00">
                  <c:v>48.652119923833425</c:v>
                </c:pt>
                <c:pt idx="61" formatCode="0.00">
                  <c:v>49.412309297643318</c:v>
                </c:pt>
                <c:pt idx="62" formatCode="0.00">
                  <c:v>50.172498671453219</c:v>
                </c:pt>
                <c:pt idx="63" formatCode="0.00">
                  <c:v>50.932688045263113</c:v>
                </c:pt>
                <c:pt idx="64" formatCode="0.00">
                  <c:v>51.692877419073014</c:v>
                </c:pt>
                <c:pt idx="65" formatCode="0.00">
                  <c:v>52.453066792882908</c:v>
                </c:pt>
                <c:pt idx="66" formatCode="0.00">
                  <c:v>53.213256166692808</c:v>
                </c:pt>
              </c:numCache>
            </c:numRef>
          </c:xVal>
          <c:yVal>
            <c:numRef>
              <c:f>'Performance Map'!$AG$2:$AG$68</c:f>
              <c:numCache>
                <c:formatCode>General</c:formatCode>
                <c:ptCount val="67"/>
                <c:pt idx="6" formatCode="0">
                  <c:v>3188.7034659820288</c:v>
                </c:pt>
                <c:pt idx="7" formatCode="0">
                  <c:v>3623.1065468549423</c:v>
                </c:pt>
                <c:pt idx="8" formatCode="0">
                  <c:v>3983.5686777920419</c:v>
                </c:pt>
                <c:pt idx="9" formatCode="0">
                  <c:v>4291.6559691912717</c:v>
                </c:pt>
                <c:pt idx="10" formatCode="0">
                  <c:v>4553.5301668806169</c:v>
                </c:pt>
                <c:pt idx="11" formatCode="0">
                  <c:v>4781.5147625160462</c:v>
                </c:pt>
                <c:pt idx="12" formatCode="0">
                  <c:v>4981.7715019255456</c:v>
                </c:pt>
                <c:pt idx="13" formatCode="0">
                  <c:v>5157.3812580231079</c:v>
                </c:pt>
                <c:pt idx="14" formatCode="0">
                  <c:v>5237.4839537869066</c:v>
                </c:pt>
                <c:pt idx="15" formatCode="0">
                  <c:v>5237.4839537869066</c:v>
                </c:pt>
                <c:pt idx="16" formatCode="0">
                  <c:v>5237.4839537869066</c:v>
                </c:pt>
                <c:pt idx="17" formatCode="0">
                  <c:v>5237.4839537869066</c:v>
                </c:pt>
                <c:pt idx="18" formatCode="0">
                  <c:v>5237.4839537869066</c:v>
                </c:pt>
                <c:pt idx="19" formatCode="0">
                  <c:v>5237.4839537869066</c:v>
                </c:pt>
                <c:pt idx="20" formatCode="0">
                  <c:v>5237.4839537869066</c:v>
                </c:pt>
                <c:pt idx="21" formatCode="0">
                  <c:v>5237.4839537869066</c:v>
                </c:pt>
                <c:pt idx="22" formatCode="0">
                  <c:v>5237.4839537869066</c:v>
                </c:pt>
                <c:pt idx="23" formatCode="0">
                  <c:v>5237.4839537869066</c:v>
                </c:pt>
                <c:pt idx="24" formatCode="0">
                  <c:v>5237.4839537869066</c:v>
                </c:pt>
                <c:pt idx="25" formatCode="0">
                  <c:v>5237.4839537869066</c:v>
                </c:pt>
                <c:pt idx="26" formatCode="0">
                  <c:v>5237.4839537869066</c:v>
                </c:pt>
                <c:pt idx="27" formatCode="0">
                  <c:v>5237.4839537869066</c:v>
                </c:pt>
                <c:pt idx="28" formatCode="0">
                  <c:v>5237.4839537869066</c:v>
                </c:pt>
                <c:pt idx="29" formatCode="0">
                  <c:v>5237.4839537869066</c:v>
                </c:pt>
                <c:pt idx="30" formatCode="0">
                  <c:v>5237.4839537869066</c:v>
                </c:pt>
                <c:pt idx="31" formatCode="0">
                  <c:v>5237.4839537869066</c:v>
                </c:pt>
                <c:pt idx="32" formatCode="0">
                  <c:v>5237.4839537869066</c:v>
                </c:pt>
                <c:pt idx="33" formatCode="0">
                  <c:v>5237.4839537869066</c:v>
                </c:pt>
                <c:pt idx="34" formatCode="0">
                  <c:v>5237.4839537869066</c:v>
                </c:pt>
                <c:pt idx="35" formatCode="0">
                  <c:v>5237.4839537869066</c:v>
                </c:pt>
                <c:pt idx="36" formatCode="0">
                  <c:v>5148.1386392811301</c:v>
                </c:pt>
                <c:pt idx="37" formatCode="0">
                  <c:v>5021.8228498074459</c:v>
                </c:pt>
                <c:pt idx="38" formatCode="0">
                  <c:v>4904.7496790757386</c:v>
                </c:pt>
                <c:pt idx="39" formatCode="0">
                  <c:v>4790.757381258024</c:v>
                </c:pt>
                <c:pt idx="40" formatCode="0">
                  <c:v>4679.8459563543011</c:v>
                </c:pt>
                <c:pt idx="41" formatCode="0">
                  <c:v>4575.0962772785624</c:v>
                </c:pt>
                <c:pt idx="42" formatCode="0">
                  <c:v>4476.508344030809</c:v>
                </c:pt>
                <c:pt idx="43" formatCode="0">
                  <c:v>4381.0012836970482</c:v>
                </c:pt>
                <c:pt idx="44" formatCode="0">
                  <c:v>4291.6559691912717</c:v>
                </c:pt>
                <c:pt idx="45" formatCode="0">
                  <c:v>4202.3106546854951</c:v>
                </c:pt>
                <c:pt idx="46" formatCode="0">
                  <c:v>4119.1270860077029</c:v>
                </c:pt>
                <c:pt idx="47" formatCode="0">
                  <c:v>4039.0243902439024</c:v>
                </c:pt>
                <c:pt idx="48" formatCode="0">
                  <c:v>3958.9216944801033</c:v>
                </c:pt>
                <c:pt idx="49" formatCode="0">
                  <c:v>3884.9807445442875</c:v>
                </c:pt>
                <c:pt idx="50" formatCode="0">
                  <c:v>3814.1206675224653</c:v>
                </c:pt>
                <c:pt idx="51" formatCode="0">
                  <c:v>3743.2605905006421</c:v>
                </c:pt>
                <c:pt idx="52" formatCode="0">
                  <c:v>3678.5622593068047</c:v>
                </c:pt>
                <c:pt idx="53" formatCode="0">
                  <c:v>3613.8639281129658</c:v>
                </c:pt>
                <c:pt idx="54" formatCode="0">
                  <c:v>3552.24646983312</c:v>
                </c:pt>
                <c:pt idx="55" formatCode="0">
                  <c:v>3490.6290115532734</c:v>
                </c:pt>
                <c:pt idx="56" formatCode="0">
                  <c:v>3432.0924261874202</c:v>
                </c:pt>
                <c:pt idx="57" formatCode="0">
                  <c:v>3361.232349165597</c:v>
                </c:pt>
                <c:pt idx="58" formatCode="0">
                  <c:v>3268.8061617458284</c:v>
                </c:pt>
                <c:pt idx="59" formatCode="0">
                  <c:v>3151.7329910141207</c:v>
                </c:pt>
                <c:pt idx="60" formatCode="0">
                  <c:v>3013.0937098844674</c:v>
                </c:pt>
                <c:pt idx="61" formatCode="0">
                  <c:v>2852.8883183568682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3F9-E049-9FC9-69D2743B3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44127"/>
        <c:axId val="1892161375"/>
      </c:scatterChart>
      <c:valAx>
        <c:axId val="1892144127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Velocity (mph)</a:t>
                </a:r>
              </a:p>
            </c:rich>
          </c:tx>
          <c:layout>
            <c:manualLayout>
              <c:xMode val="edge"/>
              <c:yMode val="edge"/>
              <c:x val="0.43523731844276436"/>
              <c:y val="0.91879752949096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61375"/>
        <c:crosses val="autoZero"/>
        <c:crossBetween val="midCat"/>
        <c:majorUnit val="25"/>
      </c:valAx>
      <c:valAx>
        <c:axId val="1892161375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Available Tractive Force (N)</a:t>
                </a:r>
              </a:p>
            </c:rich>
          </c:tx>
          <c:layout>
            <c:manualLayout>
              <c:xMode val="edge"/>
              <c:yMode val="edge"/>
              <c:x val="3.5592307933619852E-2"/>
              <c:y val="0.253727131692181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44127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66317984753897785"/>
          <c:y val="0.13868102918361971"/>
          <c:w val="0.25249402390438241"/>
          <c:h val="0.12109690273192084"/>
        </c:manualLayout>
      </c:layout>
      <c:overlay val="1"/>
      <c:spPr>
        <a:solidFill>
          <a:schemeClr val="bg1"/>
        </a:solidFill>
        <a:ln>
          <a:solidFill>
            <a:schemeClr val="accent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13" Type="http://schemas.openxmlformats.org/officeDocument/2006/relationships/image" Target="../media/image8.png"/><Relationship Id="rId18" Type="http://schemas.openxmlformats.org/officeDocument/2006/relationships/customXml" Target="../ink/ink10.xml"/><Relationship Id="rId26" Type="http://schemas.openxmlformats.org/officeDocument/2006/relationships/image" Target="../media/image15.png"/><Relationship Id="rId3" Type="http://schemas.openxmlformats.org/officeDocument/2006/relationships/customXml" Target="../ink/ink2.xml"/><Relationship Id="rId21" Type="http://schemas.openxmlformats.org/officeDocument/2006/relationships/customXml" Target="../ink/ink13.xml"/><Relationship Id="rId7" Type="http://schemas.openxmlformats.org/officeDocument/2006/relationships/image" Target="../media/image5.png"/><Relationship Id="rId12" Type="http://schemas.openxmlformats.org/officeDocument/2006/relationships/customXml" Target="../ink/ink7.xml"/><Relationship Id="rId17" Type="http://schemas.openxmlformats.org/officeDocument/2006/relationships/image" Target="../media/image10.png"/><Relationship Id="rId25" Type="http://schemas.openxmlformats.org/officeDocument/2006/relationships/image" Target="../media/image14.png"/><Relationship Id="rId2" Type="http://schemas.openxmlformats.org/officeDocument/2006/relationships/image" Target="../media/image3.png"/><Relationship Id="rId16" Type="http://schemas.openxmlformats.org/officeDocument/2006/relationships/customXml" Target="../ink/ink9.xml"/><Relationship Id="rId20" Type="http://schemas.openxmlformats.org/officeDocument/2006/relationships/customXml" Target="../ink/ink12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image" Target="../media/image7.png"/><Relationship Id="rId24" Type="http://schemas.openxmlformats.org/officeDocument/2006/relationships/image" Target="../media/image13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23" Type="http://schemas.openxmlformats.org/officeDocument/2006/relationships/image" Target="../media/image12.png"/><Relationship Id="rId10" Type="http://schemas.openxmlformats.org/officeDocument/2006/relationships/customXml" Target="../ink/ink6.xml"/><Relationship Id="rId19" Type="http://schemas.openxmlformats.org/officeDocument/2006/relationships/customXml" Target="../ink/ink11.xml"/><Relationship Id="rId4" Type="http://schemas.openxmlformats.org/officeDocument/2006/relationships/customXml" Target="../ink/ink3.xml"/><Relationship Id="rId9" Type="http://schemas.openxmlformats.org/officeDocument/2006/relationships/image" Target="../media/image6.png"/><Relationship Id="rId14" Type="http://schemas.openxmlformats.org/officeDocument/2006/relationships/customXml" Target="../ink/ink8.xml"/><Relationship Id="rId22" Type="http://schemas.openxmlformats.org/officeDocument/2006/relationships/image" Target="../media/image11.png"/><Relationship Id="rId27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1.xml"/><Relationship Id="rId21" Type="http://schemas.openxmlformats.org/officeDocument/2006/relationships/image" Target="../media/image26.png"/><Relationship Id="rId34" Type="http://schemas.openxmlformats.org/officeDocument/2006/relationships/customXml" Target="../ink/ink25.xml"/><Relationship Id="rId42" Type="http://schemas.openxmlformats.org/officeDocument/2006/relationships/customXml" Target="../ink/ink29.xml"/><Relationship Id="rId47" Type="http://schemas.openxmlformats.org/officeDocument/2006/relationships/image" Target="../media/image39.png"/><Relationship Id="rId50" Type="http://schemas.openxmlformats.org/officeDocument/2006/relationships/image" Target="../media/image41.png"/><Relationship Id="rId55" Type="http://schemas.openxmlformats.org/officeDocument/2006/relationships/image" Target="../media/image46.png"/><Relationship Id="rId63" Type="http://schemas.openxmlformats.org/officeDocument/2006/relationships/image" Target="../media/image50.png"/><Relationship Id="rId7" Type="http://schemas.openxmlformats.org/officeDocument/2006/relationships/image" Target="../media/image23.jpeg"/><Relationship Id="rId2" Type="http://schemas.openxmlformats.org/officeDocument/2006/relationships/image" Target="../media/image18.png"/><Relationship Id="rId16" Type="http://schemas.openxmlformats.org/officeDocument/2006/relationships/customXml" Target="../ink/ink16.xml"/><Relationship Id="rId29" Type="http://schemas.openxmlformats.org/officeDocument/2006/relationships/image" Target="../media/image30.png"/><Relationship Id="rId11" Type="http://schemas.openxmlformats.org/officeDocument/2006/relationships/image" Target="../media/image27.jpeg"/><Relationship Id="rId24" Type="http://schemas.openxmlformats.org/officeDocument/2006/relationships/customXml" Target="../ink/ink20.xml"/><Relationship Id="rId32" Type="http://schemas.openxmlformats.org/officeDocument/2006/relationships/customXml" Target="../ink/ink24.xml"/><Relationship Id="rId37" Type="http://schemas.openxmlformats.org/officeDocument/2006/relationships/image" Target="../media/image34.png"/><Relationship Id="rId40" Type="http://schemas.openxmlformats.org/officeDocument/2006/relationships/customXml" Target="../ink/ink28.xml"/><Relationship Id="rId45" Type="http://schemas.openxmlformats.org/officeDocument/2006/relationships/image" Target="../media/image38.png"/><Relationship Id="rId53" Type="http://schemas.openxmlformats.org/officeDocument/2006/relationships/image" Target="../media/image44.png"/><Relationship Id="rId58" Type="http://schemas.openxmlformats.org/officeDocument/2006/relationships/customXml" Target="../ink/ink34.xml"/><Relationship Id="rId66" Type="http://schemas.openxmlformats.org/officeDocument/2006/relationships/customXml" Target="../ink/ink38.xml"/><Relationship Id="rId5" Type="http://schemas.openxmlformats.org/officeDocument/2006/relationships/image" Target="../media/image21.jpeg"/><Relationship Id="rId61" Type="http://schemas.openxmlformats.org/officeDocument/2006/relationships/image" Target="../media/image49.png"/><Relationship Id="rId19" Type="http://schemas.openxmlformats.org/officeDocument/2006/relationships/image" Target="../media/image250.png"/><Relationship Id="rId14" Type="http://schemas.openxmlformats.org/officeDocument/2006/relationships/customXml" Target="../ink/ink15.xml"/><Relationship Id="rId22" Type="http://schemas.openxmlformats.org/officeDocument/2006/relationships/customXml" Target="../ink/ink19.xml"/><Relationship Id="rId27" Type="http://schemas.openxmlformats.org/officeDocument/2006/relationships/image" Target="../media/image29.png"/><Relationship Id="rId30" Type="http://schemas.openxmlformats.org/officeDocument/2006/relationships/customXml" Target="../ink/ink23.xml"/><Relationship Id="rId35" Type="http://schemas.openxmlformats.org/officeDocument/2006/relationships/image" Target="../media/image33.png"/><Relationship Id="rId43" Type="http://schemas.openxmlformats.org/officeDocument/2006/relationships/image" Target="../media/image37.png"/><Relationship Id="rId48" Type="http://schemas.openxmlformats.org/officeDocument/2006/relationships/customXml" Target="../ink/ink32.xml"/><Relationship Id="rId56" Type="http://schemas.openxmlformats.org/officeDocument/2006/relationships/customXml" Target="../ink/ink33.xml"/><Relationship Id="rId64" Type="http://schemas.openxmlformats.org/officeDocument/2006/relationships/customXml" Target="../ink/ink37.xml"/><Relationship Id="rId8" Type="http://schemas.openxmlformats.org/officeDocument/2006/relationships/image" Target="../media/image24.png"/><Relationship Id="rId51" Type="http://schemas.openxmlformats.org/officeDocument/2006/relationships/image" Target="../media/image42.png"/><Relationship Id="rId3" Type="http://schemas.openxmlformats.org/officeDocument/2006/relationships/image" Target="../media/image19.png"/><Relationship Id="rId12" Type="http://schemas.openxmlformats.org/officeDocument/2006/relationships/customXml" Target="../ink/ink14.xml"/><Relationship Id="rId17" Type="http://schemas.openxmlformats.org/officeDocument/2006/relationships/image" Target="../media/image240.png"/><Relationship Id="rId25" Type="http://schemas.openxmlformats.org/officeDocument/2006/relationships/image" Target="../media/image28.png"/><Relationship Id="rId33" Type="http://schemas.openxmlformats.org/officeDocument/2006/relationships/image" Target="../media/image32.png"/><Relationship Id="rId38" Type="http://schemas.openxmlformats.org/officeDocument/2006/relationships/customXml" Target="../ink/ink27.xml"/><Relationship Id="rId46" Type="http://schemas.openxmlformats.org/officeDocument/2006/relationships/customXml" Target="../ink/ink31.xml"/><Relationship Id="rId59" Type="http://schemas.openxmlformats.org/officeDocument/2006/relationships/image" Target="../media/image48.png"/><Relationship Id="rId67" Type="http://schemas.openxmlformats.org/officeDocument/2006/relationships/image" Target="../media/image52.png"/><Relationship Id="rId20" Type="http://schemas.openxmlformats.org/officeDocument/2006/relationships/customXml" Target="../ink/ink18.xml"/><Relationship Id="rId41" Type="http://schemas.openxmlformats.org/officeDocument/2006/relationships/image" Target="../media/image36.png"/><Relationship Id="rId54" Type="http://schemas.openxmlformats.org/officeDocument/2006/relationships/image" Target="../media/image45.png"/><Relationship Id="rId62" Type="http://schemas.openxmlformats.org/officeDocument/2006/relationships/customXml" Target="../ink/ink36.xml"/><Relationship Id="rId1" Type="http://schemas.openxmlformats.org/officeDocument/2006/relationships/image" Target="../media/image17.png"/><Relationship Id="rId6" Type="http://schemas.openxmlformats.org/officeDocument/2006/relationships/image" Target="../media/image22.jpeg"/><Relationship Id="rId15" Type="http://schemas.openxmlformats.org/officeDocument/2006/relationships/image" Target="../media/image23.png"/><Relationship Id="rId23" Type="http://schemas.openxmlformats.org/officeDocument/2006/relationships/image" Target="../media/image27.png"/><Relationship Id="rId28" Type="http://schemas.openxmlformats.org/officeDocument/2006/relationships/customXml" Target="../ink/ink22.xml"/><Relationship Id="rId36" Type="http://schemas.openxmlformats.org/officeDocument/2006/relationships/customXml" Target="../ink/ink26.xml"/><Relationship Id="rId49" Type="http://schemas.openxmlformats.org/officeDocument/2006/relationships/image" Target="../media/image40.png"/><Relationship Id="rId57" Type="http://schemas.openxmlformats.org/officeDocument/2006/relationships/image" Target="../media/image47.png"/><Relationship Id="rId10" Type="http://schemas.openxmlformats.org/officeDocument/2006/relationships/image" Target="../media/image26.jpeg"/><Relationship Id="rId31" Type="http://schemas.openxmlformats.org/officeDocument/2006/relationships/image" Target="../media/image31.png"/><Relationship Id="rId44" Type="http://schemas.openxmlformats.org/officeDocument/2006/relationships/customXml" Target="../ink/ink30.xml"/><Relationship Id="rId52" Type="http://schemas.openxmlformats.org/officeDocument/2006/relationships/image" Target="../media/image43.png"/><Relationship Id="rId60" Type="http://schemas.openxmlformats.org/officeDocument/2006/relationships/customXml" Target="../ink/ink35.xml"/><Relationship Id="rId65" Type="http://schemas.openxmlformats.org/officeDocument/2006/relationships/image" Target="../media/image51.png"/><Relationship Id="rId4" Type="http://schemas.openxmlformats.org/officeDocument/2006/relationships/image" Target="../media/image20.jpeg"/><Relationship Id="rId9" Type="http://schemas.openxmlformats.org/officeDocument/2006/relationships/image" Target="../media/image25.png"/><Relationship Id="rId13" Type="http://schemas.openxmlformats.org/officeDocument/2006/relationships/image" Target="../media/image22.png"/><Relationship Id="rId18" Type="http://schemas.openxmlformats.org/officeDocument/2006/relationships/customXml" Target="../ink/ink17.xml"/><Relationship Id="rId39" Type="http://schemas.openxmlformats.org/officeDocument/2006/relationships/image" Target="../media/image3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3" Type="http://schemas.openxmlformats.org/officeDocument/2006/relationships/customXml" Target="../ink/ink40.xml"/><Relationship Id="rId7" Type="http://schemas.openxmlformats.org/officeDocument/2006/relationships/image" Target="../media/image11.png"/><Relationship Id="rId2" Type="http://schemas.openxmlformats.org/officeDocument/2006/relationships/image" Target="../media/image470.png"/><Relationship Id="rId1" Type="http://schemas.openxmlformats.org/officeDocument/2006/relationships/customXml" Target="../ink/ink39.xml"/><Relationship Id="rId6" Type="http://schemas.openxmlformats.org/officeDocument/2006/relationships/image" Target="../media/image4.png"/><Relationship Id="rId5" Type="http://schemas.openxmlformats.org/officeDocument/2006/relationships/customXml" Target="../ink/ink41.xml"/><Relationship Id="rId4" Type="http://schemas.openxmlformats.org/officeDocument/2006/relationships/image" Target="../media/image48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ustomXml" Target="../ink/ink45.xml"/><Relationship Id="rId7" Type="http://schemas.openxmlformats.org/officeDocument/2006/relationships/customXml" Target="../ink/ink44.xml"/><Relationship Id="rId12" Type="http://schemas.openxmlformats.org/officeDocument/2006/relationships/image" Target="../media/image11.png"/><Relationship Id="rId2" Type="http://schemas.openxmlformats.org/officeDocument/2006/relationships/image" Target="../media/image470.png"/><Relationship Id="rId1" Type="http://schemas.openxmlformats.org/officeDocument/2006/relationships/customXml" Target="../ink/ink42.xml"/><Relationship Id="rId6" Type="http://schemas.openxmlformats.org/officeDocument/2006/relationships/customXml" Target="../ink/ink43.xml"/><Relationship Id="rId11" Type="http://schemas.openxmlformats.org/officeDocument/2006/relationships/image" Target="../media/image6.png"/><Relationship Id="rId5" Type="http://schemas.openxmlformats.org/officeDocument/2006/relationships/image" Target="../media/image4.png"/><Relationship Id="rId10" Type="http://schemas.openxmlformats.org/officeDocument/2006/relationships/customXml" Target="../ink/ink46.xml"/><Relationship Id="rId4" Type="http://schemas.openxmlformats.org/officeDocument/2006/relationships/image" Target="../media/image480.png"/><Relationship Id="rId9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ustomXml" Target="../ink/ink50.xml"/><Relationship Id="rId13" Type="http://schemas.openxmlformats.org/officeDocument/2006/relationships/image" Target="../media/image8.png"/><Relationship Id="rId7" Type="http://schemas.openxmlformats.org/officeDocument/2006/relationships/customXml" Target="../ink/ink49.xml"/><Relationship Id="rId12" Type="http://schemas.openxmlformats.org/officeDocument/2006/relationships/customXml" Target="../ink/ink51.xml"/><Relationship Id="rId2" Type="http://schemas.openxmlformats.org/officeDocument/2006/relationships/image" Target="../media/image470.png"/><Relationship Id="rId1" Type="http://schemas.openxmlformats.org/officeDocument/2006/relationships/customXml" Target="../ink/ink47.xml"/><Relationship Id="rId6" Type="http://schemas.openxmlformats.org/officeDocument/2006/relationships/customXml" Target="../ink/ink48.xm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4" Type="http://schemas.openxmlformats.org/officeDocument/2006/relationships/image" Target="../media/image480.png"/><Relationship Id="rId1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8" Type="http://schemas.openxmlformats.org/officeDocument/2006/relationships/customXml" Target="../ink/ink56.xml"/><Relationship Id="rId3" Type="http://schemas.openxmlformats.org/officeDocument/2006/relationships/customXml" Target="../ink/ink53.xml"/><Relationship Id="rId21" Type="http://schemas.openxmlformats.org/officeDocument/2006/relationships/customXml" Target="../ink/ink59.xml"/><Relationship Id="rId17" Type="http://schemas.openxmlformats.org/officeDocument/2006/relationships/image" Target="../media/image10.png"/><Relationship Id="rId2" Type="http://schemas.openxmlformats.org/officeDocument/2006/relationships/image" Target="../media/image470.png"/><Relationship Id="rId16" Type="http://schemas.openxmlformats.org/officeDocument/2006/relationships/customXml" Target="../ink/ink55.xml"/><Relationship Id="rId20" Type="http://schemas.openxmlformats.org/officeDocument/2006/relationships/customXml" Target="../ink/ink58.xml"/><Relationship Id="rId1" Type="http://schemas.openxmlformats.org/officeDocument/2006/relationships/customXml" Target="../ink/ink52.xml"/><Relationship Id="rId5" Type="http://schemas.openxmlformats.org/officeDocument/2006/relationships/customXml" Target="../ink/ink54.xml"/><Relationship Id="rId15" Type="http://schemas.openxmlformats.org/officeDocument/2006/relationships/image" Target="../media/image9.png"/><Relationship Id="rId19" Type="http://schemas.openxmlformats.org/officeDocument/2006/relationships/customXml" Target="../ink/ink57.xml"/><Relationship Id="rId4" Type="http://schemas.openxmlformats.org/officeDocument/2006/relationships/image" Target="../media/image480.png"/><Relationship Id="rId22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8" Type="http://schemas.openxmlformats.org/officeDocument/2006/relationships/image" Target="../media/image11.png"/><Relationship Id="rId3" Type="http://schemas.openxmlformats.org/officeDocument/2006/relationships/customXml" Target="../ink/ink61.xml"/><Relationship Id="rId17" Type="http://schemas.openxmlformats.org/officeDocument/2006/relationships/image" Target="../media/image10.png"/><Relationship Id="rId2" Type="http://schemas.openxmlformats.org/officeDocument/2006/relationships/image" Target="../media/image470.png"/><Relationship Id="rId16" Type="http://schemas.openxmlformats.org/officeDocument/2006/relationships/customXml" Target="../ink/ink63.xml"/><Relationship Id="rId1" Type="http://schemas.openxmlformats.org/officeDocument/2006/relationships/customXml" Target="../ink/ink60.xml"/><Relationship Id="rId5" Type="http://schemas.openxmlformats.org/officeDocument/2006/relationships/customXml" Target="../ink/ink62.xml"/><Relationship Id="rId15" Type="http://schemas.openxmlformats.org/officeDocument/2006/relationships/image" Target="../media/image9.png"/><Relationship Id="rId4" Type="http://schemas.openxmlformats.org/officeDocument/2006/relationships/image" Target="../media/image48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ustomXml" Target="../ink/ink65.xml"/><Relationship Id="rId17" Type="http://schemas.openxmlformats.org/officeDocument/2006/relationships/image" Target="../media/image10.png"/><Relationship Id="rId2" Type="http://schemas.openxmlformats.org/officeDocument/2006/relationships/image" Target="../media/image470.png"/><Relationship Id="rId16" Type="http://schemas.openxmlformats.org/officeDocument/2006/relationships/customXml" Target="../ink/ink67.xml"/><Relationship Id="rId1" Type="http://schemas.openxmlformats.org/officeDocument/2006/relationships/customXml" Target="../ink/ink64.xml"/><Relationship Id="rId5" Type="http://schemas.openxmlformats.org/officeDocument/2006/relationships/customXml" Target="../ink/ink66.xml"/><Relationship Id="rId15" Type="http://schemas.openxmlformats.org/officeDocument/2006/relationships/image" Target="../media/image9.png"/><Relationship Id="rId4" Type="http://schemas.openxmlformats.org/officeDocument/2006/relationships/image" Target="../media/image480.png"/></Relationships>
</file>

<file path=xl/drawings/_rels/drawing10.xml.rels><?xml version="1.0" encoding="UTF-8" standalone="yes"?>
<Relationships xmlns="http://schemas.openxmlformats.org/package/2006/relationships"><Relationship Id="rId18" Type="http://schemas.openxmlformats.org/officeDocument/2006/relationships/customXml" Target="../ink/ink72.xml"/><Relationship Id="rId3" Type="http://schemas.openxmlformats.org/officeDocument/2006/relationships/customXml" Target="../ink/ink69.xml"/><Relationship Id="rId17" Type="http://schemas.openxmlformats.org/officeDocument/2006/relationships/image" Target="../media/image10.png"/><Relationship Id="rId2" Type="http://schemas.openxmlformats.org/officeDocument/2006/relationships/image" Target="../media/image470.png"/><Relationship Id="rId16" Type="http://schemas.openxmlformats.org/officeDocument/2006/relationships/customXml" Target="../ink/ink71.xml"/><Relationship Id="rId1" Type="http://schemas.openxmlformats.org/officeDocument/2006/relationships/customXml" Target="../ink/ink68.xml"/><Relationship Id="rId5" Type="http://schemas.openxmlformats.org/officeDocument/2006/relationships/customXml" Target="../ink/ink70.xml"/><Relationship Id="rId15" Type="http://schemas.openxmlformats.org/officeDocument/2006/relationships/image" Target="../media/image9.png"/><Relationship Id="rId19" Type="http://schemas.openxmlformats.org/officeDocument/2006/relationships/customXml" Target="../ink/ink73.xml"/><Relationship Id="rId4" Type="http://schemas.openxmlformats.org/officeDocument/2006/relationships/image" Target="../media/image48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ustomXml" Target="../ink/ink75.xml"/><Relationship Id="rId7" Type="http://schemas.openxmlformats.org/officeDocument/2006/relationships/image" Target="../media/image380.png"/><Relationship Id="rId2" Type="http://schemas.openxmlformats.org/officeDocument/2006/relationships/image" Target="../media/image3.png"/><Relationship Id="rId1" Type="http://schemas.openxmlformats.org/officeDocument/2006/relationships/customXml" Target="../ink/ink74.xml"/><Relationship Id="rId6" Type="http://schemas.openxmlformats.org/officeDocument/2006/relationships/customXml" Target="../ink/ink77.xml"/><Relationship Id="rId5" Type="http://schemas.openxmlformats.org/officeDocument/2006/relationships/image" Target="../media/image370.png"/><Relationship Id="rId4" Type="http://schemas.openxmlformats.org/officeDocument/2006/relationships/customXml" Target="../ink/ink7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8</xdr:row>
      <xdr:rowOff>6350</xdr:rowOff>
    </xdr:from>
    <xdr:to>
      <xdr:col>6</xdr:col>
      <xdr:colOff>927100</xdr:colOff>
      <xdr:row>33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1371159</xdr:colOff>
      <xdr:row>21</xdr:row>
      <xdr:rowOff>85849</xdr:rowOff>
    </xdr:from>
    <xdr:to>
      <xdr:col>5</xdr:col>
      <xdr:colOff>1371159</xdr:colOff>
      <xdr:row>29</xdr:row>
      <xdr:rowOff>194812</xdr:rowOff>
    </xdr:to>
    <xdr:cxnSp macro="">
      <xdr:nvCxnSpPr>
        <xdr:cNvPr id="12" name="Straight Connector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7367488" y="4394203"/>
          <a:ext cx="0" cy="1716558"/>
        </a:xfrm>
        <a:prstGeom prst="line">
          <a:avLst/>
        </a:prstGeom>
        <a:ln w="9525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131654</xdr:colOff>
      <xdr:row>19</xdr:row>
      <xdr:rowOff>51657</xdr:rowOff>
    </xdr:from>
    <xdr:to>
      <xdr:col>6</xdr:col>
      <xdr:colOff>1071882</xdr:colOff>
      <xdr:row>29</xdr:row>
      <xdr:rowOff>119391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7714574" y="3991438"/>
          <a:ext cx="940228" cy="2107150"/>
          <a:chOff x="22740930" y="4500033"/>
          <a:chExt cx="927636" cy="211243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22740930" y="6269567"/>
            <a:ext cx="897466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GB" sz="1200">
                <a:solidFill>
                  <a:schemeClr val="accent3"/>
                </a:solidFill>
              </a:rPr>
              <a:t>10</a:t>
            </a:r>
            <a:r>
              <a:rPr lang="en-GB" sz="1200" baseline="0">
                <a:solidFill>
                  <a:schemeClr val="accent3"/>
                </a:solidFill>
              </a:rPr>
              <a:t> kW</a:t>
            </a:r>
            <a:endParaRPr lang="en-GB" sz="1200">
              <a:solidFill>
                <a:schemeClr val="accent3"/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22745162" y="5994400"/>
            <a:ext cx="9017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GB" sz="1200">
                <a:solidFill>
                  <a:schemeClr val="accent3"/>
                </a:solidFill>
              </a:rPr>
              <a:t>20</a:t>
            </a:r>
            <a:r>
              <a:rPr lang="en-GB" sz="1200" baseline="0">
                <a:solidFill>
                  <a:schemeClr val="accent3"/>
                </a:solidFill>
              </a:rPr>
              <a:t> kW</a:t>
            </a:r>
            <a:endParaRPr lang="en-GB" sz="1200">
              <a:solidFill>
                <a:schemeClr val="accent3"/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22753631" y="5736165"/>
            <a:ext cx="90169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GB" sz="1200">
                <a:solidFill>
                  <a:schemeClr val="accent3"/>
                </a:solidFill>
              </a:rPr>
              <a:t>30</a:t>
            </a:r>
            <a:r>
              <a:rPr lang="en-GB" sz="1200" baseline="0">
                <a:solidFill>
                  <a:schemeClr val="accent3"/>
                </a:solidFill>
              </a:rPr>
              <a:t> kW</a:t>
            </a:r>
            <a:endParaRPr lang="en-GB" sz="1200">
              <a:solidFill>
                <a:schemeClr val="accent3"/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22749934" y="5486400"/>
            <a:ext cx="90169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GB" sz="1200">
                <a:solidFill>
                  <a:schemeClr val="accent3"/>
                </a:solidFill>
              </a:rPr>
              <a:t>40</a:t>
            </a:r>
            <a:r>
              <a:rPr lang="en-GB" sz="1200" baseline="0">
                <a:solidFill>
                  <a:schemeClr val="accent3"/>
                </a:solidFill>
              </a:rPr>
              <a:t> kW</a:t>
            </a:r>
            <a:endParaRPr lang="en-GB" sz="1200">
              <a:solidFill>
                <a:schemeClr val="accent3"/>
              </a:solidFill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22754704" y="5249333"/>
            <a:ext cx="905933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GB" sz="1200">
                <a:solidFill>
                  <a:schemeClr val="accent3"/>
                </a:solidFill>
              </a:rPr>
              <a:t>50</a:t>
            </a:r>
            <a:r>
              <a:rPr lang="en-GB" sz="1200" baseline="0">
                <a:solidFill>
                  <a:schemeClr val="accent3"/>
                </a:solidFill>
              </a:rPr>
              <a:t> kW</a:t>
            </a:r>
            <a:endParaRPr lang="en-GB" sz="1200">
              <a:solidFill>
                <a:schemeClr val="accent3"/>
              </a:solidFill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22757863" y="4999564"/>
            <a:ext cx="9017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GB" sz="1200">
                <a:solidFill>
                  <a:schemeClr val="accent3"/>
                </a:solidFill>
              </a:rPr>
              <a:t>60</a:t>
            </a:r>
            <a:r>
              <a:rPr lang="en-GB" sz="1200" baseline="0">
                <a:solidFill>
                  <a:schemeClr val="accent3"/>
                </a:solidFill>
              </a:rPr>
              <a:t> kW</a:t>
            </a:r>
            <a:endParaRPr lang="en-GB" sz="1200">
              <a:solidFill>
                <a:schemeClr val="accent3"/>
              </a:solidFill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22758402" y="4754032"/>
            <a:ext cx="90169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GB" sz="1200">
                <a:solidFill>
                  <a:schemeClr val="accent3"/>
                </a:solidFill>
              </a:rPr>
              <a:t>70</a:t>
            </a:r>
            <a:r>
              <a:rPr lang="en-GB" sz="1200" baseline="0">
                <a:solidFill>
                  <a:schemeClr val="accent3"/>
                </a:solidFill>
              </a:rPr>
              <a:t> kW</a:t>
            </a:r>
            <a:endParaRPr lang="en-GB" sz="1200">
              <a:solidFill>
                <a:schemeClr val="accent3"/>
              </a:solidFill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22766867" y="4500033"/>
            <a:ext cx="901699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GB" sz="1200">
                <a:solidFill>
                  <a:schemeClr val="accent3"/>
                </a:solidFill>
              </a:rPr>
              <a:t>80</a:t>
            </a:r>
            <a:r>
              <a:rPr lang="en-GB" sz="1200" baseline="0">
                <a:solidFill>
                  <a:schemeClr val="accent3"/>
                </a:solidFill>
              </a:rPr>
              <a:t> kW</a:t>
            </a:r>
            <a:endParaRPr lang="en-GB" sz="1200">
              <a:solidFill>
                <a:schemeClr val="accent3"/>
              </a:solidFill>
            </a:endParaRPr>
          </a:p>
        </xdr:txBody>
      </xdr:sp>
    </xdr:grpSp>
    <xdr:clientData/>
  </xdr:twoCellAnchor>
  <xdr:twoCellAnchor>
    <xdr:from>
      <xdr:col>3</xdr:col>
      <xdr:colOff>158476</xdr:colOff>
      <xdr:row>14</xdr:row>
      <xdr:rowOff>138329</xdr:rowOff>
    </xdr:from>
    <xdr:to>
      <xdr:col>4</xdr:col>
      <xdr:colOff>465674</xdr:colOff>
      <xdr:row>23</xdr:row>
      <xdr:rowOff>178352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3041469" y="3058402"/>
          <a:ext cx="1873840" cy="1875497"/>
          <a:chOff x="18447026" y="3567929"/>
          <a:chExt cx="1873271" cy="1866236"/>
        </a:xfrm>
      </xdr:grpSpPr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8447026" y="3567929"/>
            <a:ext cx="1873271" cy="1866236"/>
          </a:xfrm>
          <a:prstGeom prst="ellipse">
            <a:avLst/>
          </a:prstGeom>
          <a:noFill/>
          <a:ln>
            <a:solidFill>
              <a:schemeClr val="accent6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8766422" y="4287466"/>
            <a:ext cx="1215636" cy="4789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GB" sz="1800" b="1">
                <a:solidFill>
                  <a:schemeClr val="accent6"/>
                </a:solidFill>
              </a:rPr>
              <a:t>Min. bsfc</a:t>
            </a:r>
          </a:p>
        </xdr:txBody>
      </xdr:sp>
    </xdr:grpSp>
    <xdr:clientData/>
  </xdr:twoCellAnchor>
  <xdr:twoCellAnchor editAs="oneCell">
    <xdr:from>
      <xdr:col>0</xdr:col>
      <xdr:colOff>618067</xdr:colOff>
      <xdr:row>59</xdr:row>
      <xdr:rowOff>160867</xdr:rowOff>
    </xdr:from>
    <xdr:to>
      <xdr:col>6</xdr:col>
      <xdr:colOff>887425</xdr:colOff>
      <xdr:row>89</xdr:row>
      <xdr:rowOff>8168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067" y="12225867"/>
          <a:ext cx="7825858" cy="5956001"/>
        </a:xfrm>
        <a:prstGeom prst="rect">
          <a:avLst/>
        </a:prstGeom>
      </xdr:spPr>
    </xdr:pic>
    <xdr:clientData/>
  </xdr:twoCellAnchor>
  <xdr:twoCellAnchor editAs="oneCell">
    <xdr:from>
      <xdr:col>0</xdr:col>
      <xdr:colOff>630766</xdr:colOff>
      <xdr:row>91</xdr:row>
      <xdr:rowOff>25400</xdr:rowOff>
    </xdr:from>
    <xdr:to>
      <xdr:col>6</xdr:col>
      <xdr:colOff>850899</xdr:colOff>
      <xdr:row>108</xdr:row>
      <xdr:rowOff>8792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0766" y="18605500"/>
          <a:ext cx="7776633" cy="3437792"/>
        </a:xfrm>
        <a:prstGeom prst="rect">
          <a:avLst/>
        </a:prstGeom>
      </xdr:spPr>
    </xdr:pic>
    <xdr:clientData/>
  </xdr:twoCellAnchor>
  <xdr:twoCellAnchor>
    <xdr:from>
      <xdr:col>0</xdr:col>
      <xdr:colOff>558800</xdr:colOff>
      <xdr:row>34</xdr:row>
      <xdr:rowOff>50800</xdr:rowOff>
    </xdr:from>
    <xdr:to>
      <xdr:col>6</xdr:col>
      <xdr:colOff>971550</xdr:colOff>
      <xdr:row>59</xdr:row>
      <xdr:rowOff>95250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636307</xdr:colOff>
      <xdr:row>40</xdr:row>
      <xdr:rowOff>101190</xdr:rowOff>
    </xdr:from>
    <xdr:to>
      <xdr:col>2</xdr:col>
      <xdr:colOff>358616</xdr:colOff>
      <xdr:row>55</xdr:row>
      <xdr:rowOff>196616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1461343" y="8323745"/>
          <a:ext cx="945959" cy="3154550"/>
          <a:chOff x="1464893" y="8451541"/>
          <a:chExt cx="937042" cy="3203491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GrpSpPr/>
        </xdr:nvGrpSpPr>
        <xdr:grpSpPr>
          <a:xfrm>
            <a:off x="1464893" y="8451541"/>
            <a:ext cx="937042" cy="2610721"/>
            <a:chOff x="1464893" y="8451541"/>
            <a:chExt cx="937042" cy="2610721"/>
          </a:xfrm>
        </xdr:grpSpPr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491402" y="10123425"/>
              <a:ext cx="905231" cy="3485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GB" sz="1200">
                  <a:solidFill>
                    <a:schemeClr val="accent3"/>
                  </a:solidFill>
                </a:rPr>
                <a:t>10</a:t>
              </a:r>
              <a:r>
                <a:rPr lang="en-GB" sz="1200" baseline="0">
                  <a:solidFill>
                    <a:schemeClr val="accent3"/>
                  </a:solidFill>
                </a:rPr>
                <a:t>°</a:t>
              </a:r>
              <a:endParaRPr lang="en-GB" sz="1200">
                <a:solidFill>
                  <a:schemeClr val="accent3"/>
                </a:solidFill>
              </a:endParaRP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1490958" y="9554034"/>
              <a:ext cx="905231" cy="3485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GB" sz="1200">
                  <a:solidFill>
                    <a:schemeClr val="accent3"/>
                  </a:solidFill>
                </a:rPr>
                <a:t>15</a:t>
              </a:r>
              <a:r>
                <a:rPr lang="en-GB" sz="1200" baseline="0">
                  <a:solidFill>
                    <a:schemeClr val="accent3"/>
                  </a:solidFill>
                </a:rPr>
                <a:t>°</a:t>
              </a:r>
              <a:endParaRPr lang="en-GB" sz="1200">
                <a:solidFill>
                  <a:schemeClr val="accent3"/>
                </a:solidFill>
              </a:endParaRPr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 txBox="1"/>
          </xdr:nvSpPr>
          <xdr:spPr>
            <a:xfrm>
              <a:off x="1496704" y="9001168"/>
              <a:ext cx="905231" cy="34856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GB" sz="1200">
                  <a:solidFill>
                    <a:schemeClr val="accent3"/>
                  </a:solidFill>
                </a:rPr>
                <a:t>20</a:t>
              </a:r>
              <a:r>
                <a:rPr lang="en-GB" sz="1200" baseline="0">
                  <a:solidFill>
                    <a:schemeClr val="accent3"/>
                  </a:solidFill>
                </a:rPr>
                <a:t>°</a:t>
              </a:r>
              <a:endParaRPr lang="en-GB" sz="1200">
                <a:solidFill>
                  <a:schemeClr val="accent3"/>
                </a:solidFill>
              </a:endParaRPr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 txBox="1"/>
          </xdr:nvSpPr>
          <xdr:spPr>
            <a:xfrm>
              <a:off x="1485657" y="8451541"/>
              <a:ext cx="905231" cy="3485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GB" sz="1200">
                  <a:solidFill>
                    <a:schemeClr val="accent3"/>
                  </a:solidFill>
                </a:rPr>
                <a:t>25</a:t>
              </a:r>
              <a:r>
                <a:rPr lang="en-GB" sz="1200" baseline="0">
                  <a:solidFill>
                    <a:schemeClr val="accent3"/>
                  </a:solidFill>
                </a:rPr>
                <a:t>°</a:t>
              </a:r>
              <a:endParaRPr lang="en-GB" sz="1200">
                <a:solidFill>
                  <a:schemeClr val="accent3"/>
                </a:solidFill>
              </a:endParaRPr>
            </a:p>
          </xdr:txBody>
        </xdr:sp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 txBox="1"/>
          </xdr:nvSpPr>
          <xdr:spPr>
            <a:xfrm>
              <a:off x="1464893" y="10713694"/>
              <a:ext cx="905231" cy="34856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GB" sz="1200">
                  <a:solidFill>
                    <a:schemeClr val="accent3"/>
                  </a:solidFill>
                </a:rPr>
                <a:t>5</a:t>
              </a:r>
              <a:r>
                <a:rPr lang="en-GB" sz="1200" baseline="0">
                  <a:solidFill>
                    <a:schemeClr val="accent3"/>
                  </a:solidFill>
                </a:rPr>
                <a:t>°</a:t>
              </a:r>
              <a:endParaRPr lang="en-GB" sz="1200">
                <a:solidFill>
                  <a:schemeClr val="accent3"/>
                </a:solidFill>
              </a:endParaRPr>
            </a:p>
          </xdr:txBody>
        </xdr:sp>
      </xdr:grp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/>
        </xdr:nvSpPr>
        <xdr:spPr>
          <a:xfrm>
            <a:off x="1464894" y="11310328"/>
            <a:ext cx="905231" cy="3447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GB" sz="1200" baseline="0">
                <a:solidFill>
                  <a:schemeClr val="accent3"/>
                </a:solidFill>
              </a:rPr>
              <a:t>0°</a:t>
            </a:r>
            <a:endParaRPr lang="en-GB" sz="1200">
              <a:solidFill>
                <a:schemeClr val="accent3"/>
              </a:solidFill>
            </a:endParaRPr>
          </a:p>
        </xdr:txBody>
      </xdr:sp>
    </xdr:grpSp>
    <xdr:clientData/>
  </xdr:twoCellAnchor>
  <xdr:twoCellAnchor>
    <xdr:from>
      <xdr:col>5</xdr:col>
      <xdr:colOff>557542</xdr:colOff>
      <xdr:row>52</xdr:row>
      <xdr:rowOff>53410</xdr:rowOff>
    </xdr:from>
    <xdr:to>
      <xdr:col>5</xdr:col>
      <xdr:colOff>557850</xdr:colOff>
      <xdr:row>56</xdr:row>
      <xdr:rowOff>2213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stCxn id="36" idx="4"/>
        </xdr:cNvCxnSpPr>
      </xdr:nvCxnSpPr>
      <xdr:spPr>
        <a:xfrm flipH="1">
          <a:off x="6549796" y="10812635"/>
          <a:ext cx="308" cy="771620"/>
        </a:xfrm>
        <a:prstGeom prst="line">
          <a:avLst/>
        </a:prstGeom>
        <a:ln w="9525" cap="flat" cmpd="sng" algn="ctr">
          <a:solidFill>
            <a:srgbClr val="FF0000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504439</xdr:colOff>
      <xdr:row>51</xdr:row>
      <xdr:rowOff>148364</xdr:rowOff>
    </xdr:from>
    <xdr:to>
      <xdr:col>5</xdr:col>
      <xdr:colOff>611261</xdr:colOff>
      <xdr:row>52</xdr:row>
      <xdr:rowOff>53410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6492430" y="10516074"/>
          <a:ext cx="106822" cy="10682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422033</xdr:colOff>
      <xdr:row>53</xdr:row>
      <xdr:rowOff>59576</xdr:rowOff>
    </xdr:from>
    <xdr:to>
      <xdr:col>5</xdr:col>
      <xdr:colOff>1328803</xdr:colOff>
      <xdr:row>54</xdr:row>
      <xdr:rowOff>200159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6414287" y="11024506"/>
          <a:ext cx="906770" cy="346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>
              <a:solidFill>
                <a:srgbClr val="FF0000"/>
              </a:solidFill>
            </a:rPr>
            <a:t>V Max.</a:t>
          </a:r>
        </a:p>
      </xdr:txBody>
    </xdr:sp>
    <xdr:clientData/>
  </xdr:twoCellAnchor>
  <xdr:twoCellAnchor>
    <xdr:from>
      <xdr:col>1</xdr:col>
      <xdr:colOff>662876</xdr:colOff>
      <xdr:row>37</xdr:row>
      <xdr:rowOff>196839</xdr:rowOff>
    </xdr:from>
    <xdr:to>
      <xdr:col>2</xdr:col>
      <xdr:colOff>353302</xdr:colOff>
      <xdr:row>39</xdr:row>
      <xdr:rowOff>132940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486516" y="7753073"/>
          <a:ext cx="907288" cy="339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aseline="0">
              <a:solidFill>
                <a:schemeClr val="accent3"/>
              </a:solidFill>
            </a:rPr>
            <a:t>30°</a:t>
          </a:r>
          <a:endParaRPr lang="en-GB" sz="1200">
            <a:solidFill>
              <a:schemeClr val="accent3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23</xdr:row>
      <xdr:rowOff>152580</xdr:rowOff>
    </xdr:from>
    <xdr:to>
      <xdr:col>12</xdr:col>
      <xdr:colOff>360</xdr:colOff>
      <xdr:row>23</xdr:row>
      <xdr:rowOff>152940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/>
          </xdr14:nvContentPartPr>
          <xdr14:nvPr macro=""/>
          <xdr14:xfrm>
            <a:off x="21394440" y="44578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05B9620-B5F4-6C47-8691-33D38B1809A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385440" y="44488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733800</xdr:colOff>
      <xdr:row>19</xdr:row>
      <xdr:rowOff>142260</xdr:rowOff>
    </xdr:from>
    <xdr:to>
      <xdr:col>11</xdr:col>
      <xdr:colOff>734160</xdr:colOff>
      <xdr:row>19</xdr:row>
      <xdr:rowOff>142620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14:cNvPr>
            <xdr14:cNvContentPartPr/>
          </xdr14:nvContentPartPr>
          <xdr14:nvPr macro=""/>
          <xdr14:xfrm>
            <a:off x="20698200" y="383796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76810EA-920C-E748-A0E2-C01FF8D0EB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689560" y="3828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1516500</xdr:colOff>
      <xdr:row>24</xdr:row>
      <xdr:rowOff>87980</xdr:rowOff>
    </xdr:from>
    <xdr:to>
      <xdr:col>10</xdr:col>
      <xdr:colOff>1516860</xdr:colOff>
      <xdr:row>24</xdr:row>
      <xdr:rowOff>88340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BDF58FC-9DC5-FA4A-AD2E-D8203CC5AE1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13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F317F89-5FF3-8143-A38B-4E4579824337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9493383-E53A-674A-9370-4909AAEC440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0C6AE8F-B7DE-8F48-844F-CCA29AE9ABF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16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7E42400-9195-E84F-9F5C-D7E3D09D1B5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E7AF4B4-4C40-D34F-AB5A-A963018C0E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E265A74-6C0D-8C4C-B01A-3E85FE6642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E7AF4B4-4C40-D34F-AB5A-A963018C0E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22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E265A74-6C0D-8C4C-B01A-3E85FE6642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C207E9E-DB32-CF4F-BDD6-69FE71490BF3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E7AF4B4-4C40-D34F-AB5A-A963018C0E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25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29A9DC39-077B-414F-A6AF-EF1502D4EC79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E265A74-6C0D-8C4C-B01A-3E85FE6642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</xdr:col>
      <xdr:colOff>84666</xdr:colOff>
      <xdr:row>55</xdr:row>
      <xdr:rowOff>135467</xdr:rowOff>
    </xdr:from>
    <xdr:to>
      <xdr:col>6</xdr:col>
      <xdr:colOff>370474</xdr:colOff>
      <xdr:row>74</xdr:row>
      <xdr:rowOff>73300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86A32C7-4667-A847-9F01-CFF7CA539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047066" y="11379200"/>
          <a:ext cx="5873808" cy="3798633"/>
        </a:xfrm>
        <a:prstGeom prst="rect">
          <a:avLst/>
        </a:prstGeom>
      </xdr:spPr>
    </xdr:pic>
    <xdr:clientData/>
  </xdr:twoCellAnchor>
  <xdr:twoCellAnchor editAs="oneCell">
    <xdr:from>
      <xdr:col>19</xdr:col>
      <xdr:colOff>107857</xdr:colOff>
      <xdr:row>83</xdr:row>
      <xdr:rowOff>193261</xdr:rowOff>
    </xdr:from>
    <xdr:to>
      <xdr:col>21</xdr:col>
      <xdr:colOff>73757</xdr:colOff>
      <xdr:row>92</xdr:row>
      <xdr:rowOff>16194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1F1F4C5F-562B-A343-8F03-2F18A8DC2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328557" y="396461"/>
          <a:ext cx="3636201" cy="1651733"/>
        </a:xfrm>
        <a:prstGeom prst="rect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  <xdr:twoCellAnchor>
    <xdr:from>
      <xdr:col>9</xdr:col>
      <xdr:colOff>1858927</xdr:colOff>
      <xdr:row>92</xdr:row>
      <xdr:rowOff>132588</xdr:rowOff>
    </xdr:from>
    <xdr:to>
      <xdr:col>19</xdr:col>
      <xdr:colOff>2327634</xdr:colOff>
      <xdr:row>95</xdr:row>
      <xdr:rowOff>77730</xdr:rowOff>
    </xdr:to>
    <xdr:sp macro="" textlink="">
      <xdr:nvSpPr>
        <xdr:cNvPr id="17" name="Minus 16">
          <a:extLst>
            <a:ext uri="{FF2B5EF4-FFF2-40B4-BE49-F238E27FC236}">
              <a16:creationId xmlns:a16="http://schemas.microsoft.com/office/drawing/2014/main" id="{4B9A0FC7-DBEC-4942-A7D0-D36DEE8E2805}"/>
            </a:ext>
          </a:extLst>
        </xdr:cNvPr>
        <xdr:cNvSpPr/>
      </xdr:nvSpPr>
      <xdr:spPr>
        <a:xfrm>
          <a:off x="14967663" y="18992818"/>
          <a:ext cx="18234109" cy="558245"/>
        </a:xfrm>
        <a:prstGeom prst="mathMinus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1573669</xdr:colOff>
      <xdr:row>92</xdr:row>
      <xdr:rowOff>79311</xdr:rowOff>
    </xdr:from>
    <xdr:to>
      <xdr:col>12</xdr:col>
      <xdr:colOff>371078</xdr:colOff>
      <xdr:row>93</xdr:row>
      <xdr:rowOff>176382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A7A6730-1D7A-834F-9121-79F9FFD94854}"/>
            </a:ext>
          </a:extLst>
        </xdr:cNvPr>
        <xdr:cNvSpPr/>
      </xdr:nvSpPr>
      <xdr:spPr>
        <a:xfrm>
          <a:off x="18594589" y="18939541"/>
          <a:ext cx="476144" cy="30143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</a:t>
          </a:r>
        </a:p>
      </xdr:txBody>
    </xdr:sp>
    <xdr:clientData/>
  </xdr:twoCellAnchor>
  <xdr:twoCellAnchor>
    <xdr:from>
      <xdr:col>12</xdr:col>
      <xdr:colOff>692327</xdr:colOff>
      <xdr:row>92</xdr:row>
      <xdr:rowOff>77730</xdr:rowOff>
    </xdr:from>
    <xdr:to>
      <xdr:col>12</xdr:col>
      <xdr:colOff>1033366</xdr:colOff>
      <xdr:row>93</xdr:row>
      <xdr:rowOff>197773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C116B90C-6A50-734B-B3AF-D27FE356078E}"/>
            </a:ext>
          </a:extLst>
        </xdr:cNvPr>
        <xdr:cNvSpPr/>
      </xdr:nvSpPr>
      <xdr:spPr>
        <a:xfrm>
          <a:off x="19391982" y="18937960"/>
          <a:ext cx="341039" cy="3244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</a:t>
          </a:r>
        </a:p>
      </xdr:txBody>
    </xdr:sp>
    <xdr:clientData/>
  </xdr:twoCellAnchor>
  <xdr:twoCellAnchor>
    <xdr:from>
      <xdr:col>13</xdr:col>
      <xdr:colOff>1039800</xdr:colOff>
      <xdr:row>92</xdr:row>
      <xdr:rowOff>76721</xdr:rowOff>
    </xdr:from>
    <xdr:to>
      <xdr:col>13</xdr:col>
      <xdr:colOff>1349776</xdr:colOff>
      <xdr:row>93</xdr:row>
      <xdr:rowOff>168292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C00E678-9C9C-6847-AED8-3BE1CABE9285}"/>
            </a:ext>
          </a:extLst>
        </xdr:cNvPr>
        <xdr:cNvSpPr/>
      </xdr:nvSpPr>
      <xdr:spPr>
        <a:xfrm>
          <a:off x="21447386" y="18936951"/>
          <a:ext cx="309976" cy="29593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3</a:t>
          </a:r>
        </a:p>
      </xdr:txBody>
    </xdr:sp>
    <xdr:clientData/>
  </xdr:twoCellAnchor>
  <xdr:twoCellAnchor>
    <xdr:from>
      <xdr:col>13</xdr:col>
      <xdr:colOff>1832361</xdr:colOff>
      <xdr:row>92</xdr:row>
      <xdr:rowOff>171101</xdr:rowOff>
    </xdr:from>
    <xdr:to>
      <xdr:col>14</xdr:col>
      <xdr:colOff>189770</xdr:colOff>
      <xdr:row>94</xdr:row>
      <xdr:rowOff>102182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5AC5491-780F-E347-860D-10329A6762F1}"/>
            </a:ext>
          </a:extLst>
        </xdr:cNvPr>
        <xdr:cNvSpPr/>
      </xdr:nvSpPr>
      <xdr:spPr>
        <a:xfrm>
          <a:off x="22239947" y="19031331"/>
          <a:ext cx="401087" cy="3398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4</a:t>
          </a:r>
        </a:p>
      </xdr:txBody>
    </xdr:sp>
    <xdr:clientData/>
  </xdr:twoCellAnchor>
  <xdr:twoCellAnchor>
    <xdr:from>
      <xdr:col>16</xdr:col>
      <xdr:colOff>252283</xdr:colOff>
      <xdr:row>92</xdr:row>
      <xdr:rowOff>88731</xdr:rowOff>
    </xdr:from>
    <xdr:to>
      <xdr:col>16</xdr:col>
      <xdr:colOff>572937</xdr:colOff>
      <xdr:row>93</xdr:row>
      <xdr:rowOff>199068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FCDCFF5-E530-FA42-8B4B-910BF17D80B8}"/>
            </a:ext>
          </a:extLst>
        </xdr:cNvPr>
        <xdr:cNvSpPr/>
      </xdr:nvSpPr>
      <xdr:spPr>
        <a:xfrm>
          <a:off x="26265386" y="18948961"/>
          <a:ext cx="320654" cy="31470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5</a:t>
          </a:r>
        </a:p>
      </xdr:txBody>
    </xdr:sp>
    <xdr:clientData/>
  </xdr:twoCellAnchor>
  <xdr:twoCellAnchor>
    <xdr:from>
      <xdr:col>16</xdr:col>
      <xdr:colOff>1153219</xdr:colOff>
      <xdr:row>92</xdr:row>
      <xdr:rowOff>102184</xdr:rowOff>
    </xdr:from>
    <xdr:to>
      <xdr:col>16</xdr:col>
      <xdr:colOff>1475390</xdr:colOff>
      <xdr:row>94</xdr:row>
      <xdr:rowOff>46582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1AAAF42-2C03-8546-8B6F-1F21651C5539}"/>
            </a:ext>
          </a:extLst>
        </xdr:cNvPr>
        <xdr:cNvSpPr/>
      </xdr:nvSpPr>
      <xdr:spPr>
        <a:xfrm>
          <a:off x="27166322" y="18962414"/>
          <a:ext cx="322171" cy="353134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6</a:t>
          </a:r>
        </a:p>
      </xdr:txBody>
    </xdr:sp>
    <xdr:clientData/>
  </xdr:twoCellAnchor>
  <xdr:twoCellAnchor editAs="oneCell">
    <xdr:from>
      <xdr:col>2</xdr:col>
      <xdr:colOff>542958</xdr:colOff>
      <xdr:row>87</xdr:row>
      <xdr:rowOff>33500</xdr:rowOff>
    </xdr:from>
    <xdr:to>
      <xdr:col>4</xdr:col>
      <xdr:colOff>1339782</xdr:colOff>
      <xdr:row>98</xdr:row>
      <xdr:rowOff>167910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8CFDC3C-DC57-624A-B953-8D1DB0D83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56668" y="17936403"/>
          <a:ext cx="3234404" cy="2428604"/>
        </a:xfrm>
        <a:prstGeom prst="rect">
          <a:avLst/>
        </a:prstGeom>
      </xdr:spPr>
    </xdr:pic>
    <xdr:clientData/>
  </xdr:twoCellAnchor>
  <xdr:twoCellAnchor editAs="oneCell">
    <xdr:from>
      <xdr:col>0</xdr:col>
      <xdr:colOff>16934</xdr:colOff>
      <xdr:row>45</xdr:row>
      <xdr:rowOff>59267</xdr:rowOff>
    </xdr:from>
    <xdr:to>
      <xdr:col>0</xdr:col>
      <xdr:colOff>2822582</xdr:colOff>
      <xdr:row>60</xdr:row>
      <xdr:rowOff>42334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4484BB7-E20F-244E-9A82-01D39DB38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934" y="9271000"/>
          <a:ext cx="2805648" cy="3031067"/>
        </a:xfrm>
        <a:prstGeom prst="rect">
          <a:avLst/>
        </a:prstGeom>
      </xdr:spPr>
    </xdr:pic>
    <xdr:clientData/>
  </xdr:twoCellAnchor>
  <xdr:twoCellAnchor editAs="oneCell">
    <xdr:from>
      <xdr:col>21</xdr:col>
      <xdr:colOff>1998134</xdr:colOff>
      <xdr:row>127</xdr:row>
      <xdr:rowOff>33866</xdr:rowOff>
    </xdr:from>
    <xdr:to>
      <xdr:col>26</xdr:col>
      <xdr:colOff>808569</xdr:colOff>
      <xdr:row>170</xdr:row>
      <xdr:rowOff>102008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A70B5B1-8F2B-2344-B57A-684CABEC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6643734" y="25975733"/>
          <a:ext cx="7802034" cy="8805742"/>
        </a:xfrm>
        <a:prstGeom prst="rect">
          <a:avLst/>
        </a:prstGeom>
      </xdr:spPr>
    </xdr:pic>
    <xdr:clientData/>
  </xdr:twoCellAnchor>
  <xdr:twoCellAnchor>
    <xdr:from>
      <xdr:col>28</xdr:col>
      <xdr:colOff>601133</xdr:colOff>
      <xdr:row>95</xdr:row>
      <xdr:rowOff>177800</xdr:rowOff>
    </xdr:from>
    <xdr:to>
      <xdr:col>28</xdr:col>
      <xdr:colOff>635000</xdr:colOff>
      <xdr:row>110</xdr:row>
      <xdr:rowOff>84667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65C4158-CED0-E341-BE38-600784F8C36E}"/>
            </a:ext>
          </a:extLst>
        </xdr:cNvPr>
        <xdr:cNvCxnSpPr/>
      </xdr:nvCxnSpPr>
      <xdr:spPr>
        <a:xfrm flipH="1" flipV="1">
          <a:off x="23918333" y="2413000"/>
          <a:ext cx="33867" cy="30310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169334</xdr:colOff>
      <xdr:row>88</xdr:row>
      <xdr:rowOff>110067</xdr:rowOff>
    </xdr:from>
    <xdr:to>
      <xdr:col>7</xdr:col>
      <xdr:colOff>227542</xdr:colOff>
      <xdr:row>97</xdr:row>
      <xdr:rowOff>177560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E35941F-4985-A44A-ACBC-34483F1C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856134" y="18042467"/>
          <a:ext cx="1734608" cy="1896293"/>
        </a:xfrm>
        <a:prstGeom prst="rect">
          <a:avLst/>
        </a:prstGeom>
      </xdr:spPr>
    </xdr:pic>
    <xdr:clientData/>
  </xdr:twoCellAnchor>
  <xdr:twoCellAnchor>
    <xdr:from>
      <xdr:col>11</xdr:col>
      <xdr:colOff>192397</xdr:colOff>
      <xdr:row>91</xdr:row>
      <xdr:rowOff>183056</xdr:rowOff>
    </xdr:from>
    <xdr:to>
      <xdr:col>11</xdr:col>
      <xdr:colOff>744482</xdr:colOff>
      <xdr:row>93</xdr:row>
      <xdr:rowOff>150649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192D0C08-E6B9-4A4A-9891-9E06D3DD51B6}"/>
            </a:ext>
          </a:extLst>
        </xdr:cNvPr>
        <xdr:cNvSpPr/>
      </xdr:nvSpPr>
      <xdr:spPr>
        <a:xfrm>
          <a:off x="17213317" y="18838918"/>
          <a:ext cx="552085" cy="37632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1559909</xdr:colOff>
      <xdr:row>92</xdr:row>
      <xdr:rowOff>37955</xdr:rowOff>
    </xdr:from>
    <xdr:to>
      <xdr:col>18</xdr:col>
      <xdr:colOff>1898576</xdr:colOff>
      <xdr:row>93</xdr:row>
      <xdr:rowOff>192983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0AFF7AE9-5A19-3F4B-A804-60217E5941A6}"/>
            </a:ext>
          </a:extLst>
        </xdr:cNvPr>
        <xdr:cNvSpPr/>
      </xdr:nvSpPr>
      <xdr:spPr>
        <a:xfrm>
          <a:off x="30419564" y="18898185"/>
          <a:ext cx="338667" cy="35939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72390</xdr:colOff>
      <xdr:row>107</xdr:row>
      <xdr:rowOff>135256</xdr:rowOff>
    </xdr:from>
    <xdr:to>
      <xdr:col>30</xdr:col>
      <xdr:colOff>125729</xdr:colOff>
      <xdr:row>109</xdr:row>
      <xdr:rowOff>36196</xdr:rowOff>
    </xdr:to>
    <xdr:sp macro="" textlink="">
      <xdr:nvSpPr>
        <xdr:cNvPr id="31" name="Left Brace 30">
          <a:extLst>
            <a:ext uri="{FF2B5EF4-FFF2-40B4-BE49-F238E27FC236}">
              <a16:creationId xmlns:a16="http://schemas.microsoft.com/office/drawing/2014/main" id="{B759B387-FAB7-644E-9029-DC19748E234D}"/>
            </a:ext>
          </a:extLst>
        </xdr:cNvPr>
        <xdr:cNvSpPr/>
      </xdr:nvSpPr>
      <xdr:spPr>
        <a:xfrm rot="16200000" flipH="1">
          <a:off x="21910040" y="2313306"/>
          <a:ext cx="320040" cy="5438139"/>
        </a:xfrm>
        <a:prstGeom prst="leftBrace">
          <a:avLst>
            <a:gd name="adj1" fmla="val 8333"/>
            <a:gd name="adj2" fmla="val 49892"/>
          </a:avLst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24</xdr:col>
      <xdr:colOff>560070</xdr:colOff>
      <xdr:row>104</xdr:row>
      <xdr:rowOff>26670</xdr:rowOff>
    </xdr:from>
    <xdr:to>
      <xdr:col>27</xdr:col>
      <xdr:colOff>270510</xdr:colOff>
      <xdr:row>107</xdr:row>
      <xdr:rowOff>102870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2AD767B-9015-9349-A631-0F370846FDE9}"/>
            </a:ext>
          </a:extLst>
        </xdr:cNvPr>
        <xdr:cNvSpPr txBox="1"/>
      </xdr:nvSpPr>
      <xdr:spPr>
        <a:xfrm>
          <a:off x="21184870" y="4154170"/>
          <a:ext cx="1729740" cy="6858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/>
            <a:t>Modified Bearing Life </a:t>
          </a:r>
          <a:br>
            <a:rPr lang="en-GB" sz="1200"/>
          </a:br>
          <a:r>
            <a:rPr lang="en-GB" sz="1050"/>
            <a:t>-if bearings lubricated-</a:t>
          </a:r>
        </a:p>
        <a:p>
          <a:pPr algn="ctr"/>
          <a:r>
            <a:rPr lang="en-GB" sz="1050"/>
            <a:t>*values</a:t>
          </a:r>
          <a:r>
            <a:rPr lang="en-GB" sz="1050" baseline="0"/>
            <a:t> from SKF*</a:t>
          </a:r>
          <a:endParaRPr lang="en-GB" sz="105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774700</xdr:colOff>
      <xdr:row>3</xdr:row>
      <xdr:rowOff>165100</xdr:rowOff>
    </xdr:from>
    <xdr:to>
      <xdr:col>7</xdr:col>
      <xdr:colOff>736600</xdr:colOff>
      <xdr:row>29</xdr:row>
      <xdr:rowOff>52405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700" y="774700"/>
          <a:ext cx="5740400" cy="5170505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3</xdr:row>
      <xdr:rowOff>93134</xdr:rowOff>
    </xdr:from>
    <xdr:to>
      <xdr:col>18</xdr:col>
      <xdr:colOff>482600</xdr:colOff>
      <xdr:row>31</xdr:row>
      <xdr:rowOff>149352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70800" y="702734"/>
          <a:ext cx="7899400" cy="5745818"/>
        </a:xfrm>
        <a:prstGeom prst="rect">
          <a:avLst/>
        </a:prstGeom>
      </xdr:spPr>
    </xdr:pic>
    <xdr:clientData/>
  </xdr:twoCellAnchor>
  <xdr:twoCellAnchor editAs="oneCell">
    <xdr:from>
      <xdr:col>10</xdr:col>
      <xdr:colOff>574675</xdr:colOff>
      <xdr:row>117</xdr:row>
      <xdr:rowOff>123825</xdr:rowOff>
    </xdr:from>
    <xdr:to>
      <xdr:col>18</xdr:col>
      <xdr:colOff>175363</xdr:colOff>
      <xdr:row>136</xdr:row>
      <xdr:rowOff>157495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88425" y="24269700"/>
          <a:ext cx="6331688" cy="3954795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508000</xdr:colOff>
      <xdr:row>52</xdr:row>
      <xdr:rowOff>162490</xdr:rowOff>
    </xdr:from>
    <xdr:to>
      <xdr:col>7</xdr:col>
      <xdr:colOff>342900</xdr:colOff>
      <xdr:row>67</xdr:row>
      <xdr:rowOff>150858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000" y="10728890"/>
          <a:ext cx="5702300" cy="3036368"/>
        </a:xfrm>
        <a:prstGeom prst="rect">
          <a:avLst/>
        </a:prstGeom>
      </xdr:spPr>
    </xdr:pic>
    <xdr:clientData/>
  </xdr:twoCellAnchor>
  <xdr:twoCellAnchor editAs="oneCell">
    <xdr:from>
      <xdr:col>7</xdr:col>
      <xdr:colOff>749300</xdr:colOff>
      <xdr:row>51</xdr:row>
      <xdr:rowOff>195468</xdr:rowOff>
    </xdr:from>
    <xdr:to>
      <xdr:col>15</xdr:col>
      <xdr:colOff>431800</xdr:colOff>
      <xdr:row>67</xdr:row>
      <xdr:rowOff>131943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16700" y="10558668"/>
          <a:ext cx="6388100" cy="3187675"/>
        </a:xfrm>
        <a:prstGeom prst="rect">
          <a:avLst/>
        </a:prstGeom>
      </xdr:spPr>
    </xdr:pic>
    <xdr:clientData/>
  </xdr:twoCellAnchor>
  <xdr:twoCellAnchor editAs="oneCell">
    <xdr:from>
      <xdr:col>0</xdr:col>
      <xdr:colOff>584200</xdr:colOff>
      <xdr:row>70</xdr:row>
      <xdr:rowOff>63501</xdr:rowOff>
    </xdr:from>
    <xdr:to>
      <xdr:col>5</xdr:col>
      <xdr:colOff>455931</xdr:colOff>
      <xdr:row>81</xdr:row>
      <xdr:rowOff>50801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4200" y="14287501"/>
          <a:ext cx="4062731" cy="22225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69</xdr:row>
      <xdr:rowOff>58560</xdr:rowOff>
    </xdr:from>
    <xdr:to>
      <xdr:col>13</xdr:col>
      <xdr:colOff>419100</xdr:colOff>
      <xdr:row>85</xdr:row>
      <xdr:rowOff>1153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18300" y="14079360"/>
          <a:ext cx="4597400" cy="3192639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90</xdr:row>
      <xdr:rowOff>152400</xdr:rowOff>
    </xdr:from>
    <xdr:to>
      <xdr:col>10</xdr:col>
      <xdr:colOff>482534</xdr:colOff>
      <xdr:row>140</xdr:row>
      <xdr:rowOff>50800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52600" y="18440400"/>
          <a:ext cx="7111934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146</xdr:row>
      <xdr:rowOff>88900</xdr:rowOff>
    </xdr:from>
    <xdr:to>
      <xdr:col>11</xdr:col>
      <xdr:colOff>25334</xdr:colOff>
      <xdr:row>195</xdr:row>
      <xdr:rowOff>190500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33600" y="29756100"/>
          <a:ext cx="7111934" cy="10058400"/>
        </a:xfrm>
        <a:prstGeom prst="rect">
          <a:avLst/>
        </a:prstGeom>
      </xdr:spPr>
    </xdr:pic>
    <xdr:clientData/>
  </xdr:twoCellAnchor>
  <xdr:twoCellAnchor editAs="oneCell">
    <xdr:from>
      <xdr:col>19</xdr:col>
      <xdr:colOff>650845</xdr:colOff>
      <xdr:row>18</xdr:row>
      <xdr:rowOff>17280</xdr:rowOff>
    </xdr:from>
    <xdr:to>
      <xdr:col>24</xdr:col>
      <xdr:colOff>462614</xdr:colOff>
      <xdr:row>40</xdr:row>
      <xdr:rowOff>29980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73796" y="3764821"/>
          <a:ext cx="3975703" cy="4593028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31</xdr:row>
      <xdr:rowOff>36735</xdr:rowOff>
    </xdr:from>
    <xdr:to>
      <xdr:col>6</xdr:col>
      <xdr:colOff>533400</xdr:colOff>
      <xdr:row>49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5700" y="6335935"/>
          <a:ext cx="4406900" cy="3697065"/>
        </a:xfrm>
        <a:prstGeom prst="rect">
          <a:avLst/>
        </a:prstGeom>
      </xdr:spPr>
    </xdr:pic>
    <xdr:clientData/>
  </xdr:twoCellAnchor>
  <xdr:twoCellAnchor editAs="oneCell">
    <xdr:from>
      <xdr:col>11</xdr:col>
      <xdr:colOff>494400</xdr:colOff>
      <xdr:row>128</xdr:row>
      <xdr:rowOff>45400</xdr:rowOff>
    </xdr:from>
    <xdr:to>
      <xdr:col>11</xdr:col>
      <xdr:colOff>560280</xdr:colOff>
      <xdr:row>133</xdr:row>
      <xdr:rowOff>138560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14:cNvPr>
            <xdr14:cNvContentPartPr/>
          </xdr14:nvContentPartPr>
          <xdr14:nvPr macro=""/>
          <xdr14:xfrm>
            <a:off x="9714600" y="26055000"/>
            <a:ext cx="65880" cy="11091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303C806-C749-BA18-4FB4-5EA012BBB1C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705600" y="26001000"/>
              <a:ext cx="83520" cy="12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530400</xdr:colOff>
      <xdr:row>125</xdr:row>
      <xdr:rowOff>87640</xdr:rowOff>
    </xdr:from>
    <xdr:to>
      <xdr:col>11</xdr:col>
      <xdr:colOff>555240</xdr:colOff>
      <xdr:row>128</xdr:row>
      <xdr:rowOff>45760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14:cNvPr>
            <xdr14:cNvContentPartPr/>
          </xdr14:nvContentPartPr>
          <xdr14:nvPr macro=""/>
          <xdr14:xfrm>
            <a:off x="9750600" y="25487640"/>
            <a:ext cx="24840" cy="567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F74D8D48-B4F0-3788-2D6E-68BF2958B78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741600" y="25434000"/>
              <a:ext cx="42480" cy="67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573960</xdr:colOff>
      <xdr:row>125</xdr:row>
      <xdr:rowOff>77920</xdr:rowOff>
    </xdr:from>
    <xdr:to>
      <xdr:col>14</xdr:col>
      <xdr:colOff>680880</xdr:colOff>
      <xdr:row>127</xdr:row>
      <xdr:rowOff>21800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14:cNvPr>
            <xdr14:cNvContentPartPr/>
          </xdr14:nvContentPartPr>
          <xdr14:nvPr macro=""/>
          <xdr14:xfrm>
            <a:off x="9794160" y="25477920"/>
            <a:ext cx="2621520" cy="3502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261A38C-5921-844D-3A47-99CB21F5B78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9785520" y="25424280"/>
              <a:ext cx="2639160" cy="45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667200</xdr:colOff>
      <xdr:row>126</xdr:row>
      <xdr:rowOff>175680</xdr:rowOff>
    </xdr:from>
    <xdr:to>
      <xdr:col>14</xdr:col>
      <xdr:colOff>731280</xdr:colOff>
      <xdr:row>133</xdr:row>
      <xdr:rowOff>185000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14:cNvPr>
            <xdr14:cNvContentPartPr/>
          </xdr14:nvContentPartPr>
          <xdr14:nvPr macro=""/>
          <xdr14:xfrm>
            <a:off x="12402000" y="25778880"/>
            <a:ext cx="64080" cy="1431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48A62B87-88E7-7A4E-00FA-F2331D04BF6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2393000" y="25725240"/>
              <a:ext cx="81720" cy="153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410815</xdr:colOff>
      <xdr:row>124</xdr:row>
      <xdr:rowOff>51172</xdr:rowOff>
    </xdr:from>
    <xdr:to>
      <xdr:col>7</xdr:col>
      <xdr:colOff>459775</xdr:colOff>
      <xdr:row>128</xdr:row>
      <xdr:rowOff>114824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14:cNvPr>
            <xdr14:cNvContentPartPr/>
          </xdr14:nvContentPartPr>
          <xdr14:nvPr macro=""/>
          <xdr14:xfrm>
            <a:off x="6291360" y="25174440"/>
            <a:ext cx="48960" cy="8740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42B5947E-FE07-C28D-058A-22A5BA76A28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282360" y="25165440"/>
              <a:ext cx="66600" cy="89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504704</xdr:colOff>
      <xdr:row>130</xdr:row>
      <xdr:rowOff>57369</xdr:rowOff>
    </xdr:from>
    <xdr:to>
      <xdr:col>14</xdr:col>
      <xdr:colOff>705711</xdr:colOff>
      <xdr:row>131</xdr:row>
      <xdr:rowOff>18922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14:cNvPr>
            <xdr14:cNvContentPartPr/>
          </xdr14:nvContentPartPr>
          <xdr14:nvPr macro=""/>
          <xdr14:xfrm>
            <a:off x="9745560" y="26396280"/>
            <a:ext cx="2721240" cy="1641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E49CB8D-9A82-E15F-1900-B1EF1FD74A7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736560" y="26387280"/>
              <a:ext cx="273888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186231</xdr:colOff>
      <xdr:row>130</xdr:row>
      <xdr:rowOff>157809</xdr:rowOff>
    </xdr:from>
    <xdr:to>
      <xdr:col>14</xdr:col>
      <xdr:colOff>227991</xdr:colOff>
      <xdr:row>133</xdr:row>
      <xdr:rowOff>164508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14:cNvPr>
            <xdr14:cNvContentPartPr/>
          </xdr14:nvContentPartPr>
          <xdr14:nvPr macro=""/>
          <xdr14:xfrm>
            <a:off x="11947320" y="26496720"/>
            <a:ext cx="41760" cy="6145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0AE5B2D5-DE49-ECCD-EE1F-B387780C745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938680" y="26487720"/>
              <a:ext cx="59400" cy="63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711966</xdr:colOff>
      <xdr:row>123</xdr:row>
      <xdr:rowOff>149337</xdr:rowOff>
    </xdr:from>
    <xdr:to>
      <xdr:col>7</xdr:col>
      <xdr:colOff>416027</xdr:colOff>
      <xdr:row>124</xdr:row>
      <xdr:rowOff>67918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14:cNvPr>
            <xdr14:cNvContentPartPr/>
          </xdr14:nvContentPartPr>
          <xdr14:nvPr macro=""/>
          <xdr14:xfrm>
            <a:off x="5755680" y="25440480"/>
            <a:ext cx="544680" cy="1242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513A17BB-EE4A-0EC2-5896-742777ABB22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746680" y="25431480"/>
              <a:ext cx="56232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128189</xdr:colOff>
      <xdr:row>138</xdr:row>
      <xdr:rowOff>98422</xdr:rowOff>
    </xdr:from>
    <xdr:to>
      <xdr:col>12</xdr:col>
      <xdr:colOff>833429</xdr:colOff>
      <xdr:row>138</xdr:row>
      <xdr:rowOff>125422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14:cNvPr>
            <xdr14:cNvContentPartPr/>
          </xdr14:nvContentPartPr>
          <xdr14:nvPr macro=""/>
          <xdr14:xfrm>
            <a:off x="10152360" y="28215000"/>
            <a:ext cx="705240" cy="270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C13C91C-E16E-9F34-94E5-35950F6F9FA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098720" y="28107360"/>
              <a:ext cx="81288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555296</xdr:colOff>
      <xdr:row>130</xdr:row>
      <xdr:rowOff>9009</xdr:rowOff>
    </xdr:from>
    <xdr:to>
      <xdr:col>12</xdr:col>
      <xdr:colOff>486749</xdr:colOff>
      <xdr:row>133</xdr:row>
      <xdr:rowOff>148739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0000000-0008-0000-0300-00001B000000}"/>
                </a:ext>
              </a:extLst>
            </xdr14:cNvPr>
            <xdr14:cNvContentPartPr/>
          </xdr14:nvContentPartPr>
          <xdr14:nvPr macro=""/>
          <xdr14:xfrm>
            <a:off x="9744120" y="26495640"/>
            <a:ext cx="766800" cy="7509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A99032CB-A322-F408-2721-C5767D5B689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9735480" y="26486640"/>
              <a:ext cx="784440" cy="76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575946</xdr:colOff>
      <xdr:row>130</xdr:row>
      <xdr:rowOff>97929</xdr:rowOff>
    </xdr:from>
    <xdr:to>
      <xdr:col>15</xdr:col>
      <xdr:colOff>591426</xdr:colOff>
      <xdr:row>133</xdr:row>
      <xdr:rowOff>179339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14:cNvPr>
            <xdr14:cNvContentPartPr/>
          </xdr14:nvContentPartPr>
          <xdr14:nvPr macro=""/>
          <xdr14:xfrm>
            <a:off x="13106160" y="26584560"/>
            <a:ext cx="15480" cy="6926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1C595732-4489-9532-53DD-0815CC577C1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3097160" y="26575920"/>
              <a:ext cx="33120" cy="71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95069</xdr:colOff>
      <xdr:row>130</xdr:row>
      <xdr:rowOff>83529</xdr:rowOff>
    </xdr:from>
    <xdr:to>
      <xdr:col>15</xdr:col>
      <xdr:colOff>665586</xdr:colOff>
      <xdr:row>130</xdr:row>
      <xdr:rowOff>185049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14:cNvPr>
            <xdr14:cNvContentPartPr/>
          </xdr14:nvContentPartPr>
          <xdr14:nvPr macro=""/>
          <xdr14:xfrm>
            <a:off x="10119240" y="26570160"/>
            <a:ext cx="3076560" cy="1015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21249F9-A7A6-6B70-386B-1AA514E1BFE1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0110600" y="26561520"/>
              <a:ext cx="309420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791226</xdr:colOff>
      <xdr:row>133</xdr:row>
      <xdr:rowOff>26699</xdr:rowOff>
    </xdr:from>
    <xdr:to>
      <xdr:col>15</xdr:col>
      <xdr:colOff>791586</xdr:colOff>
      <xdr:row>133</xdr:row>
      <xdr:rowOff>54779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14:cNvPr>
            <xdr14:cNvContentPartPr/>
          </xdr14:nvContentPartPr>
          <xdr14:nvPr macro=""/>
          <xdr14:xfrm>
            <a:off x="13321440" y="27124560"/>
            <a:ext cx="360" cy="280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CDE5A103-953D-6D8A-BB39-E63222A4ADF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3312800" y="27115920"/>
              <a:ext cx="18000" cy="4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456786</xdr:colOff>
      <xdr:row>127</xdr:row>
      <xdr:rowOff>54679</xdr:rowOff>
    </xdr:from>
    <xdr:to>
      <xdr:col>16</xdr:col>
      <xdr:colOff>283479</xdr:colOff>
      <xdr:row>130</xdr:row>
      <xdr:rowOff>105489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14:cNvPr>
            <xdr14:cNvContentPartPr/>
          </xdr14:nvContentPartPr>
          <xdr14:nvPr macro=""/>
          <xdr14:xfrm>
            <a:off x="12987000" y="25930080"/>
            <a:ext cx="662040" cy="6620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60B85DA3-F623-3FDC-5E5B-7CFB8014A65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978360" y="25921085"/>
              <a:ext cx="679680" cy="679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800816</xdr:colOff>
      <xdr:row>130</xdr:row>
      <xdr:rowOff>185769</xdr:rowOff>
    </xdr:from>
    <xdr:to>
      <xdr:col>15</xdr:col>
      <xdr:colOff>361746</xdr:colOff>
      <xdr:row>133</xdr:row>
      <xdr:rowOff>195539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14:cNvPr>
            <xdr14:cNvContentPartPr/>
          </xdr14:nvContentPartPr>
          <xdr14:nvPr macro=""/>
          <xdr14:xfrm>
            <a:off x="9989640" y="26672400"/>
            <a:ext cx="2902320" cy="6210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0BE7C3AB-F55D-E1BA-E92B-8B1E18085EA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981000" y="26663400"/>
              <a:ext cx="2919960" cy="63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155914</xdr:colOff>
      <xdr:row>131</xdr:row>
      <xdr:rowOff>142762</xdr:rowOff>
    </xdr:from>
    <xdr:to>
      <xdr:col>15</xdr:col>
      <xdr:colOff>62953</xdr:colOff>
      <xdr:row>133</xdr:row>
      <xdr:rowOff>141908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14:cNvPr>
            <xdr14:cNvContentPartPr/>
          </xdr14:nvContentPartPr>
          <xdr14:nvPr macro=""/>
          <xdr14:xfrm>
            <a:off x="10221840" y="26844120"/>
            <a:ext cx="2423520" cy="4068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6D3D801-BDAE-C79E-AE2B-B17B62D5BF7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213200" y="26835120"/>
              <a:ext cx="2441160" cy="42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625403</xdr:colOff>
      <xdr:row>125</xdr:row>
      <xdr:rowOff>12089</xdr:rowOff>
    </xdr:from>
    <xdr:to>
      <xdr:col>7</xdr:col>
      <xdr:colOff>649883</xdr:colOff>
      <xdr:row>128</xdr:row>
      <xdr:rowOff>138408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14:cNvPr>
            <xdr14:cNvContentPartPr/>
          </xdr14:nvContentPartPr>
          <xdr14:nvPr macro=""/>
          <xdr14:xfrm>
            <a:off x="6507000" y="25363800"/>
            <a:ext cx="24480" cy="7347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696F740-4146-8E5D-EC0D-8BBFE88F70F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498000" y="25354800"/>
              <a:ext cx="42120" cy="75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717191</xdr:colOff>
      <xdr:row>125</xdr:row>
      <xdr:rowOff>11009</xdr:rowOff>
    </xdr:from>
    <xdr:to>
      <xdr:col>7</xdr:col>
      <xdr:colOff>642683</xdr:colOff>
      <xdr:row>125</xdr:row>
      <xdr:rowOff>46649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14:cNvPr>
            <xdr14:cNvContentPartPr/>
          </xdr14:nvContentPartPr>
          <xdr14:nvPr macro=""/>
          <xdr14:xfrm>
            <a:off x="5758560" y="25362720"/>
            <a:ext cx="765720" cy="356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8ADEB37A-00B0-6E11-F3D0-17A6C69DE03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749560" y="25353720"/>
              <a:ext cx="783360" cy="5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493810</xdr:colOff>
      <xdr:row>124</xdr:row>
      <xdr:rowOff>111503</xdr:rowOff>
    </xdr:from>
    <xdr:to>
      <xdr:col>7</xdr:col>
      <xdr:colOff>554650</xdr:colOff>
      <xdr:row>128</xdr:row>
      <xdr:rowOff>164583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14:cNvPr>
            <xdr14:cNvContentPartPr/>
          </xdr14:nvContentPartPr>
          <xdr14:nvPr macro=""/>
          <xdr14:xfrm>
            <a:off x="6349680" y="25372800"/>
            <a:ext cx="60840" cy="8679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EAFC245-0FBF-7F0D-6515-B1E6296CB49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6341040" y="25364160"/>
              <a:ext cx="78480" cy="88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375226</xdr:colOff>
      <xdr:row>201</xdr:row>
      <xdr:rowOff>26576</xdr:rowOff>
    </xdr:from>
    <xdr:to>
      <xdr:col>11</xdr:col>
      <xdr:colOff>113914</xdr:colOff>
      <xdr:row>220</xdr:row>
      <xdr:rowOff>70208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049317" y="40637712"/>
          <a:ext cx="7272097" cy="3882496"/>
        </a:xfrm>
        <a:prstGeom prst="rect">
          <a:avLst/>
        </a:prstGeom>
      </xdr:spPr>
    </xdr:pic>
    <xdr:clientData/>
  </xdr:twoCellAnchor>
  <xdr:twoCellAnchor editAs="oneCell">
    <xdr:from>
      <xdr:col>2</xdr:col>
      <xdr:colOff>298256</xdr:colOff>
      <xdr:row>221</xdr:row>
      <xdr:rowOff>45818</xdr:rowOff>
    </xdr:from>
    <xdr:to>
      <xdr:col>11</xdr:col>
      <xdr:colOff>537247</xdr:colOff>
      <xdr:row>241</xdr:row>
      <xdr:rowOff>71024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72347" y="44697863"/>
          <a:ext cx="7772400" cy="4066116"/>
        </a:xfrm>
        <a:prstGeom prst="rect">
          <a:avLst/>
        </a:prstGeom>
      </xdr:spPr>
    </xdr:pic>
    <xdr:clientData/>
  </xdr:twoCellAnchor>
  <xdr:twoCellAnchor editAs="oneCell">
    <xdr:from>
      <xdr:col>2</xdr:col>
      <xdr:colOff>430161</xdr:colOff>
      <xdr:row>244</xdr:row>
      <xdr:rowOff>184356</xdr:rowOff>
    </xdr:from>
    <xdr:to>
      <xdr:col>11</xdr:col>
      <xdr:colOff>644012</xdr:colOff>
      <xdr:row>277</xdr:row>
      <xdr:rowOff>56683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09838" y="50165001"/>
          <a:ext cx="7772400" cy="6632005"/>
        </a:xfrm>
        <a:prstGeom prst="rect">
          <a:avLst/>
        </a:prstGeom>
      </xdr:spPr>
    </xdr:pic>
    <xdr:clientData/>
  </xdr:twoCellAnchor>
  <xdr:twoCellAnchor editAs="oneCell">
    <xdr:from>
      <xdr:col>15</xdr:col>
      <xdr:colOff>512096</xdr:colOff>
      <xdr:row>247</xdr:row>
      <xdr:rowOff>163871</xdr:rowOff>
    </xdr:from>
    <xdr:to>
      <xdr:col>24</xdr:col>
      <xdr:colOff>725948</xdr:colOff>
      <xdr:row>280</xdr:row>
      <xdr:rowOff>114178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3109677" y="50759032"/>
          <a:ext cx="7772400" cy="6709985"/>
        </a:xfrm>
        <a:prstGeom prst="rect">
          <a:avLst/>
        </a:prstGeom>
      </xdr:spPr>
    </xdr:pic>
    <xdr:clientData/>
  </xdr:twoCellAnchor>
  <xdr:twoCellAnchor editAs="oneCell">
    <xdr:from>
      <xdr:col>13</xdr:col>
      <xdr:colOff>62650</xdr:colOff>
      <xdr:row>142</xdr:row>
      <xdr:rowOff>123902</xdr:rowOff>
    </xdr:from>
    <xdr:to>
      <xdr:col>19</xdr:col>
      <xdr:colOff>209516</xdr:colOff>
      <xdr:row>166</xdr:row>
      <xdr:rowOff>147883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35089" y="28714390"/>
          <a:ext cx="5164915" cy="485617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143</xdr:row>
      <xdr:rowOff>1</xdr:rowOff>
    </xdr:from>
    <xdr:to>
      <xdr:col>25</xdr:col>
      <xdr:colOff>301960</xdr:colOff>
      <xdr:row>168</xdr:row>
      <xdr:rowOff>30976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5890488" y="28791830"/>
          <a:ext cx="5320009" cy="5064512"/>
        </a:xfrm>
        <a:prstGeom prst="rect">
          <a:avLst/>
        </a:prstGeom>
      </xdr:spPr>
    </xdr:pic>
    <xdr:clientData/>
  </xdr:twoCellAnchor>
  <xdr:twoCellAnchor>
    <xdr:from>
      <xdr:col>14</xdr:col>
      <xdr:colOff>287867</xdr:colOff>
      <xdr:row>126</xdr:row>
      <xdr:rowOff>76200</xdr:rowOff>
    </xdr:from>
    <xdr:to>
      <xdr:col>18</xdr:col>
      <xdr:colOff>93133</xdr:colOff>
      <xdr:row>133</xdr:row>
      <xdr:rowOff>110067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1BC4A9A-D878-3DD3-4838-D7AC593F6DBD}"/>
            </a:ext>
          </a:extLst>
        </xdr:cNvPr>
        <xdr:cNvCxnSpPr/>
      </xdr:nvCxnSpPr>
      <xdr:spPr>
        <a:xfrm flipV="1">
          <a:off x="12022667" y="25679400"/>
          <a:ext cx="3158066" cy="1456267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129</xdr:row>
      <xdr:rowOff>16933</xdr:rowOff>
    </xdr:from>
    <xdr:to>
      <xdr:col>11</xdr:col>
      <xdr:colOff>465667</xdr:colOff>
      <xdr:row>129</xdr:row>
      <xdr:rowOff>169333</xdr:rowOff>
    </xdr:to>
    <xdr:sp macro="" textlink="">
      <xdr:nvSpPr>
        <xdr:cNvPr id="38" name="Arc 37">
          <a:extLst>
            <a:ext uri="{FF2B5EF4-FFF2-40B4-BE49-F238E27FC236}">
              <a16:creationId xmlns:a16="http://schemas.microsoft.com/office/drawing/2014/main" id="{BDA685A8-F726-0CE8-BD41-0F358A55D2C0}"/>
            </a:ext>
          </a:extLst>
        </xdr:cNvPr>
        <xdr:cNvSpPr/>
      </xdr:nvSpPr>
      <xdr:spPr>
        <a:xfrm>
          <a:off x="9271000" y="26229733"/>
          <a:ext cx="414867" cy="15240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228600</xdr:colOff>
      <xdr:row>127</xdr:row>
      <xdr:rowOff>50800</xdr:rowOff>
    </xdr:from>
    <xdr:to>
      <xdr:col>17</xdr:col>
      <xdr:colOff>194733</xdr:colOff>
      <xdr:row>131</xdr:row>
      <xdr:rowOff>8467</xdr:rowOff>
    </xdr:to>
    <xdr:sp macro="" textlink="">
      <xdr:nvSpPr>
        <xdr:cNvPr id="39" name="Arc 38">
          <a:extLst>
            <a:ext uri="{FF2B5EF4-FFF2-40B4-BE49-F238E27FC236}">
              <a16:creationId xmlns:a16="http://schemas.microsoft.com/office/drawing/2014/main" id="{287C7FF6-8ED7-CA90-1518-C0D4A996700B}"/>
            </a:ext>
          </a:extLst>
        </xdr:cNvPr>
        <xdr:cNvSpPr/>
      </xdr:nvSpPr>
      <xdr:spPr>
        <a:xfrm>
          <a:off x="11963400" y="25857200"/>
          <a:ext cx="2480733" cy="770467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11</xdr:col>
      <xdr:colOff>746400</xdr:colOff>
      <xdr:row>133</xdr:row>
      <xdr:rowOff>126320</xdr:rowOff>
    </xdr:from>
    <xdr:to>
      <xdr:col>11</xdr:col>
      <xdr:colOff>746760</xdr:colOff>
      <xdr:row>133</xdr:row>
      <xdr:rowOff>126680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9C164D56-23AB-89CD-2F01-8C1B60AE69CD}"/>
                </a:ext>
              </a:extLst>
            </xdr14:cNvPr>
            <xdr14:cNvContentPartPr/>
          </xdr14:nvContentPartPr>
          <xdr14:nvPr macro=""/>
          <xdr14:xfrm>
            <a:off x="9966600" y="27151920"/>
            <a:ext cx="360" cy="3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9C164D56-23AB-89CD-2F01-8C1B60AE69C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957960" y="27143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698520</xdr:colOff>
      <xdr:row>131</xdr:row>
      <xdr:rowOff>172720</xdr:rowOff>
    </xdr:from>
    <xdr:to>
      <xdr:col>15</xdr:col>
      <xdr:colOff>18000</xdr:colOff>
      <xdr:row>133</xdr:row>
      <xdr:rowOff>121640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3D94B058-7770-61B5-A4C2-5260E77EA2DC}"/>
                </a:ext>
              </a:extLst>
            </xdr14:cNvPr>
            <xdr14:cNvContentPartPr/>
          </xdr14:nvContentPartPr>
          <xdr14:nvPr macro=""/>
          <xdr14:xfrm>
            <a:off x="9918720" y="26791920"/>
            <a:ext cx="2672280" cy="3553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3D94B058-7770-61B5-A4C2-5260E77EA2D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910189" y="26783681"/>
              <a:ext cx="2689697" cy="372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244560</xdr:colOff>
      <xdr:row>147</xdr:row>
      <xdr:rowOff>112920</xdr:rowOff>
    </xdr:from>
    <xdr:to>
      <xdr:col>20</xdr:col>
      <xdr:colOff>269760</xdr:colOff>
      <xdr:row>154</xdr:row>
      <xdr:rowOff>12800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3CB1FB2A-07BE-F8DD-9CB5-36B5EE4548CD}"/>
                </a:ext>
              </a:extLst>
            </xdr14:cNvPr>
            <xdr14:cNvContentPartPr/>
          </xdr14:nvContentPartPr>
          <xdr14:nvPr macro=""/>
          <xdr14:xfrm>
            <a:off x="17008560" y="29983320"/>
            <a:ext cx="25200" cy="13222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3CB1FB2A-07BE-F8DD-9CB5-36B5EE4548CD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6999920" y="29974707"/>
              <a:ext cx="42840" cy="1339162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254000</xdr:colOff>
      <xdr:row>117</xdr:row>
      <xdr:rowOff>186267</xdr:rowOff>
    </xdr:from>
    <xdr:to>
      <xdr:col>18</xdr:col>
      <xdr:colOff>541867</xdr:colOff>
      <xdr:row>133</xdr:row>
      <xdr:rowOff>93133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DA869908-58FC-3660-A5F7-2F99447D5B22}"/>
            </a:ext>
          </a:extLst>
        </xdr:cNvPr>
        <xdr:cNvCxnSpPr/>
      </xdr:nvCxnSpPr>
      <xdr:spPr>
        <a:xfrm flipV="1">
          <a:off x="11988800" y="23960667"/>
          <a:ext cx="3640667" cy="31580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354600</xdr:colOff>
      <xdr:row>131</xdr:row>
      <xdr:rowOff>178120</xdr:rowOff>
    </xdr:from>
    <xdr:to>
      <xdr:col>15</xdr:col>
      <xdr:colOff>65880</xdr:colOff>
      <xdr:row>133</xdr:row>
      <xdr:rowOff>110840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6B67AEF-5BC7-7E5E-F064-7CC218B401B9}"/>
                </a:ext>
              </a:extLst>
            </xdr14:cNvPr>
            <xdr14:cNvContentPartPr/>
          </xdr14:nvContentPartPr>
          <xdr14:nvPr macro=""/>
          <xdr14:xfrm>
            <a:off x="10413000" y="26797320"/>
            <a:ext cx="2225880" cy="3391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6B67AEF-5BC7-7E5E-F064-7CC218B401B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404102" y="26788756"/>
              <a:ext cx="2243320" cy="3559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372960</xdr:colOff>
      <xdr:row>131</xdr:row>
      <xdr:rowOff>200800</xdr:rowOff>
    </xdr:from>
    <xdr:to>
      <xdr:col>15</xdr:col>
      <xdr:colOff>546480</xdr:colOff>
      <xdr:row>132</xdr:row>
      <xdr:rowOff>89760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01FA4CDC-3026-73FD-A9EB-0E0564EFFF8C}"/>
                </a:ext>
              </a:extLst>
            </xdr14:cNvPr>
            <xdr14:cNvContentPartPr/>
          </xdr14:nvContentPartPr>
          <xdr14:nvPr macro=""/>
          <xdr14:xfrm>
            <a:off x="10431360" y="26820000"/>
            <a:ext cx="2688120" cy="921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01FA4CDC-3026-73FD-A9EB-0E0564EFFF8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422445" y="26812101"/>
              <a:ext cx="2705594" cy="1082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567360</xdr:colOff>
      <xdr:row>132</xdr:row>
      <xdr:rowOff>50160</xdr:rowOff>
    </xdr:from>
    <xdr:to>
      <xdr:col>15</xdr:col>
      <xdr:colOff>592560</xdr:colOff>
      <xdr:row>134</xdr:row>
      <xdr:rowOff>12400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E96E1D67-28EA-9881-C073-7F0CA1CCEB70}"/>
                </a:ext>
              </a:extLst>
            </xdr14:cNvPr>
            <xdr14:cNvContentPartPr/>
          </xdr14:nvContentPartPr>
          <xdr14:nvPr macro=""/>
          <xdr14:xfrm>
            <a:off x="13140360" y="26872560"/>
            <a:ext cx="25200" cy="3686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E96E1D67-28EA-9881-C073-7F0CA1CCEB7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3131360" y="26863920"/>
              <a:ext cx="42840" cy="386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736600</xdr:colOff>
      <xdr:row>16</xdr:row>
      <xdr:rowOff>139700</xdr:rowOff>
    </xdr:from>
    <xdr:to>
      <xdr:col>3</xdr:col>
      <xdr:colOff>736960</xdr:colOff>
      <xdr:row>16</xdr:row>
      <xdr:rowOff>140060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14:cNvPr>
            <xdr14:cNvContentPartPr/>
          </xdr14:nvContentPartPr>
          <xdr14:nvPr macro=""/>
          <xdr14:xfrm>
            <a:off x="17761207" y="378763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76810EA-920C-E748-A0E2-C01FF8D0EB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52207" y="37786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685800</xdr:colOff>
      <xdr:row>20</xdr:row>
      <xdr:rowOff>88900</xdr:rowOff>
    </xdr:from>
    <xdr:to>
      <xdr:col>3</xdr:col>
      <xdr:colOff>686160</xdr:colOff>
      <xdr:row>20</xdr:row>
      <xdr:rowOff>89260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14:cNvPr>
            <xdr14:cNvContentPartPr/>
          </xdr14:nvContentPartPr>
          <xdr14:nvPr macro=""/>
          <xdr14:xfrm>
            <a:off x="16921130" y="45329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BDF58FC-9DC5-FA4A-AD2E-D8203CC5AE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912130" y="44789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1516500</xdr:colOff>
      <xdr:row>24</xdr:row>
      <xdr:rowOff>87980</xdr:rowOff>
    </xdr:from>
    <xdr:to>
      <xdr:col>10</xdr:col>
      <xdr:colOff>1516860</xdr:colOff>
      <xdr:row>24</xdr:row>
      <xdr:rowOff>88340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15AAD3F-8AD9-924F-8B6F-D143153B099A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BDF58FC-9DC5-FA4A-AD2E-D8203CC5AE1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493058</xdr:colOff>
      <xdr:row>0</xdr:row>
      <xdr:rowOff>132662</xdr:rowOff>
    </xdr:from>
    <xdr:to>
      <xdr:col>21</xdr:col>
      <xdr:colOff>540870</xdr:colOff>
      <xdr:row>19</xdr:row>
      <xdr:rowOff>19766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614AAB-8A83-0BEA-84BA-7EBF48950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975293" y="132662"/>
          <a:ext cx="5800165" cy="386145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24</xdr:col>
      <xdr:colOff>432547</xdr:colOff>
      <xdr:row>44</xdr:row>
      <xdr:rowOff>53041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D4E445F-31AB-6E86-8440-D5D3EF3D0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47529" y="4392706"/>
          <a:ext cx="6184900" cy="48641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1516500</xdr:colOff>
      <xdr:row>24</xdr:row>
      <xdr:rowOff>87980</xdr:rowOff>
    </xdr:from>
    <xdr:to>
      <xdr:col>11</xdr:col>
      <xdr:colOff>1516860</xdr:colOff>
      <xdr:row>24</xdr:row>
      <xdr:rowOff>88340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C15F1D1-5214-3847-AB81-97627CC50A3E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BDF58FC-9DC5-FA4A-AD2E-D8203CC5AE1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736600</xdr:colOff>
      <xdr:row>16</xdr:row>
      <xdr:rowOff>139700</xdr:rowOff>
    </xdr:from>
    <xdr:to>
      <xdr:col>3</xdr:col>
      <xdr:colOff>736960</xdr:colOff>
      <xdr:row>16</xdr:row>
      <xdr:rowOff>140060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E3E6501-FC9B-2146-8FC1-D6B0A43D09F7}"/>
                </a:ext>
              </a:extLst>
            </xdr14:cNvPr>
            <xdr14:cNvContentPartPr/>
          </xdr14:nvContentPartPr>
          <xdr14:nvPr macro=""/>
          <xdr14:xfrm>
            <a:off x="17761207" y="378763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76810EA-920C-E748-A0E2-C01FF8D0EB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52207" y="37786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685800</xdr:colOff>
      <xdr:row>20</xdr:row>
      <xdr:rowOff>88900</xdr:rowOff>
    </xdr:from>
    <xdr:to>
      <xdr:col>3</xdr:col>
      <xdr:colOff>686160</xdr:colOff>
      <xdr:row>20</xdr:row>
      <xdr:rowOff>89260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EAA8F68-0AA1-1F4B-A41C-8F7CB69D7C9D}"/>
                </a:ext>
              </a:extLst>
            </xdr14:cNvPr>
            <xdr14:cNvContentPartPr/>
          </xdr14:nvContentPartPr>
          <xdr14:nvPr macro=""/>
          <xdr14:xfrm>
            <a:off x="16921130" y="45329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BDF58FC-9DC5-FA4A-AD2E-D8203CC5AE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912130" y="44789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C952856-30FB-814A-9631-13D006D13D73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F317F89-5FF3-8143-A38B-4E457982433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B9426F3-91F2-3343-B7F7-42FF97900E74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9493383-E53A-674A-9370-4909AAEC440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16</xdr:col>
      <xdr:colOff>635000</xdr:colOff>
      <xdr:row>0</xdr:row>
      <xdr:rowOff>0</xdr:rowOff>
    </xdr:from>
    <xdr:to>
      <xdr:col>23</xdr:col>
      <xdr:colOff>665032</xdr:colOff>
      <xdr:row>18</xdr:row>
      <xdr:rowOff>82684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91444E-A4DE-5140-9047-0C55CCA69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986500" y="0"/>
          <a:ext cx="5808532" cy="37783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1516500</xdr:colOff>
      <xdr:row>24</xdr:row>
      <xdr:rowOff>87980</xdr:rowOff>
    </xdr:from>
    <xdr:to>
      <xdr:col>11</xdr:col>
      <xdr:colOff>1516860</xdr:colOff>
      <xdr:row>24</xdr:row>
      <xdr:rowOff>88340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96B9DB9-4FB0-334D-B252-F111FA56726C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BDF58FC-9DC5-FA4A-AD2E-D8203CC5AE1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736600</xdr:colOff>
      <xdr:row>16</xdr:row>
      <xdr:rowOff>139700</xdr:rowOff>
    </xdr:from>
    <xdr:to>
      <xdr:col>3</xdr:col>
      <xdr:colOff>736960</xdr:colOff>
      <xdr:row>16</xdr:row>
      <xdr:rowOff>140060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95A9DA0-FF7C-CE40-A534-0A2137E095A3}"/>
                </a:ext>
              </a:extLst>
            </xdr14:cNvPr>
            <xdr14:cNvContentPartPr/>
          </xdr14:nvContentPartPr>
          <xdr14:nvPr macro=""/>
          <xdr14:xfrm>
            <a:off x="17761207" y="378763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76810EA-920C-E748-A0E2-C01FF8D0EB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52207" y="37786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685800</xdr:colOff>
      <xdr:row>20</xdr:row>
      <xdr:rowOff>88900</xdr:rowOff>
    </xdr:from>
    <xdr:to>
      <xdr:col>3</xdr:col>
      <xdr:colOff>686160</xdr:colOff>
      <xdr:row>20</xdr:row>
      <xdr:rowOff>89260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EDAF1B1-6DA2-394C-8D16-608BBD4CF65F}"/>
                </a:ext>
              </a:extLst>
            </xdr14:cNvPr>
            <xdr14:cNvContentPartPr/>
          </xdr14:nvContentPartPr>
          <xdr14:nvPr macro=""/>
          <xdr14:xfrm>
            <a:off x="16921130" y="45329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BDF58FC-9DC5-FA4A-AD2E-D8203CC5AE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912130" y="44789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177A8D7-2D82-994F-9654-7A01AF153215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0C6AE8F-B7DE-8F48-844F-CCA29AE9ABF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4F56078-36DE-F34A-982D-A3282EF398D7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7E42400-9195-E84F-9F5C-D7E3D09D1B5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16</xdr:col>
      <xdr:colOff>647700</xdr:colOff>
      <xdr:row>8</xdr:row>
      <xdr:rowOff>127000</xdr:rowOff>
    </xdr:from>
    <xdr:to>
      <xdr:col>23</xdr:col>
      <xdr:colOff>677732</xdr:colOff>
      <xdr:row>27</xdr:row>
      <xdr:rowOff>44584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C0FDF3-7F8F-0141-831F-ED393B83E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875500" y="1790700"/>
          <a:ext cx="5808532" cy="37783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736600</xdr:colOff>
      <xdr:row>16</xdr:row>
      <xdr:rowOff>139700</xdr:rowOff>
    </xdr:from>
    <xdr:to>
      <xdr:col>3</xdr:col>
      <xdr:colOff>736960</xdr:colOff>
      <xdr:row>16</xdr:row>
      <xdr:rowOff>140060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DF7992F-E3CA-D943-97C7-900869A9D944}"/>
                </a:ext>
              </a:extLst>
            </xdr14:cNvPr>
            <xdr14:cNvContentPartPr/>
          </xdr14:nvContentPartPr>
          <xdr14:nvPr macro=""/>
          <xdr14:xfrm>
            <a:off x="17761207" y="378763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76810EA-920C-E748-A0E2-C01FF8D0EB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52207" y="37786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685800</xdr:colOff>
      <xdr:row>20</xdr:row>
      <xdr:rowOff>88900</xdr:rowOff>
    </xdr:from>
    <xdr:to>
      <xdr:col>3</xdr:col>
      <xdr:colOff>686160</xdr:colOff>
      <xdr:row>20</xdr:row>
      <xdr:rowOff>89260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C77CCE6-186A-AF40-9C10-24527C990290}"/>
                </a:ext>
              </a:extLst>
            </xdr14:cNvPr>
            <xdr14:cNvContentPartPr/>
          </xdr14:nvContentPartPr>
          <xdr14:nvPr macro=""/>
          <xdr14:xfrm>
            <a:off x="16921130" y="45329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BDF58FC-9DC5-FA4A-AD2E-D8203CC5AE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912130" y="44789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5B794FA-7FCE-B04C-BDE3-2D4FAED585B7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E7AF4B4-4C40-D34F-AB5A-A963018C0E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FAB82174-9641-9B4C-ADB7-1B3A0ECC98C2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E265A74-6C0D-8C4C-B01A-3E85FE6642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B817C79-67B9-B348-902A-7CCA4DA84A9B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E7AF4B4-4C40-D34F-AB5A-A963018C0E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7D4F9EF-FC41-8F4F-835E-0904A8F062C5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E265A74-6C0D-8C4C-B01A-3E85FE6642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649C599-3E3C-EF48-9C19-A92758F6D8A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E7AF4B4-4C40-D34F-AB5A-A963018C0E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4EC102A8-AEEF-164A-80A9-BA17FFF2FC8A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E265A74-6C0D-8C4C-B01A-3E85FE6642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17</xdr:col>
      <xdr:colOff>0</xdr:colOff>
      <xdr:row>11</xdr:row>
      <xdr:rowOff>0</xdr:rowOff>
    </xdr:from>
    <xdr:to>
      <xdr:col>24</xdr:col>
      <xdr:colOff>30032</xdr:colOff>
      <xdr:row>29</xdr:row>
      <xdr:rowOff>120784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FE509E4-8ED4-D743-BD84-A31913E80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386300" y="2273300"/>
          <a:ext cx="5808532" cy="377838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736600</xdr:colOff>
      <xdr:row>16</xdr:row>
      <xdr:rowOff>139700</xdr:rowOff>
    </xdr:from>
    <xdr:to>
      <xdr:col>3</xdr:col>
      <xdr:colOff>736960</xdr:colOff>
      <xdr:row>16</xdr:row>
      <xdr:rowOff>140060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E0CB9DC-B6FE-7648-B3AE-E99F3161A6E3}"/>
                </a:ext>
              </a:extLst>
            </xdr14:cNvPr>
            <xdr14:cNvContentPartPr/>
          </xdr14:nvContentPartPr>
          <xdr14:nvPr macro=""/>
          <xdr14:xfrm>
            <a:off x="17761207" y="378763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76810EA-920C-E748-A0E2-C01FF8D0EB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52207" y="37786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685800</xdr:colOff>
      <xdr:row>20</xdr:row>
      <xdr:rowOff>88900</xdr:rowOff>
    </xdr:from>
    <xdr:to>
      <xdr:col>3</xdr:col>
      <xdr:colOff>686160</xdr:colOff>
      <xdr:row>20</xdr:row>
      <xdr:rowOff>89260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A7157A5-DE0F-F64B-B379-943476941B46}"/>
                </a:ext>
              </a:extLst>
            </xdr14:cNvPr>
            <xdr14:cNvContentPartPr/>
          </xdr14:nvContentPartPr>
          <xdr14:nvPr macro=""/>
          <xdr14:xfrm>
            <a:off x="16921130" y="45329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BDF58FC-9DC5-FA4A-AD2E-D8203CC5AE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912130" y="44789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10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8136155-F7FA-A54F-8328-A8F977636FE8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E7AF4B4-4C40-D34F-AB5A-A963018C0E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24F7220-9656-0643-A796-77EC2EB94AD1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E265A74-6C0D-8C4C-B01A-3E85FE6642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16</xdr:col>
      <xdr:colOff>0</xdr:colOff>
      <xdr:row>9</xdr:row>
      <xdr:rowOff>0</xdr:rowOff>
    </xdr:from>
    <xdr:to>
      <xdr:col>23</xdr:col>
      <xdr:colOff>30032</xdr:colOff>
      <xdr:row>27</xdr:row>
      <xdr:rowOff>120784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6ACA45-2E7A-A646-BDEE-9EC7ABCBF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364200" y="1866900"/>
          <a:ext cx="5808532" cy="377838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736600</xdr:colOff>
      <xdr:row>16</xdr:row>
      <xdr:rowOff>139700</xdr:rowOff>
    </xdr:from>
    <xdr:to>
      <xdr:col>3</xdr:col>
      <xdr:colOff>736960</xdr:colOff>
      <xdr:row>16</xdr:row>
      <xdr:rowOff>140060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019E2D3-23CF-6C4F-849E-FEBA0D148438}"/>
                </a:ext>
              </a:extLst>
            </xdr14:cNvPr>
            <xdr14:cNvContentPartPr/>
          </xdr14:nvContentPartPr>
          <xdr14:nvPr macro=""/>
          <xdr14:xfrm>
            <a:off x="17761207" y="378763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76810EA-920C-E748-A0E2-C01FF8D0EB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52207" y="37786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685800</xdr:colOff>
      <xdr:row>20</xdr:row>
      <xdr:rowOff>88900</xdr:rowOff>
    </xdr:from>
    <xdr:to>
      <xdr:col>3</xdr:col>
      <xdr:colOff>686160</xdr:colOff>
      <xdr:row>20</xdr:row>
      <xdr:rowOff>89260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C8D4312-BFA0-2F42-B755-F9060A0D3444}"/>
                </a:ext>
              </a:extLst>
            </xdr14:cNvPr>
            <xdr14:cNvContentPartPr/>
          </xdr14:nvContentPartPr>
          <xdr14:nvPr macro=""/>
          <xdr14:xfrm>
            <a:off x="16921130" y="45329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BDF58FC-9DC5-FA4A-AD2E-D8203CC5AE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912130" y="44789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10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8B1A886-EE6D-3148-9510-5F0E909DF825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E7AF4B4-4C40-D34F-AB5A-A963018C0E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1516500</xdr:colOff>
      <xdr:row>24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5C4B109-B8F4-C54A-888E-B6D36079EB1D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E265A74-6C0D-8C4C-B01A-3E85FE6642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736600</xdr:colOff>
      <xdr:row>16</xdr:row>
      <xdr:rowOff>139700</xdr:rowOff>
    </xdr:from>
    <xdr:to>
      <xdr:col>3</xdr:col>
      <xdr:colOff>736960</xdr:colOff>
      <xdr:row>16</xdr:row>
      <xdr:rowOff>140060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B45EC97-2473-7649-BD3C-6FA9BF43597C}"/>
                </a:ext>
              </a:extLst>
            </xdr14:cNvPr>
            <xdr14:cNvContentPartPr/>
          </xdr14:nvContentPartPr>
          <xdr14:nvPr macro=""/>
          <xdr14:xfrm>
            <a:off x="17761207" y="378763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76810EA-920C-E748-A0E2-C01FF8D0EB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52207" y="37786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685800</xdr:colOff>
      <xdr:row>20</xdr:row>
      <xdr:rowOff>88900</xdr:rowOff>
    </xdr:from>
    <xdr:to>
      <xdr:col>3</xdr:col>
      <xdr:colOff>686160</xdr:colOff>
      <xdr:row>20</xdr:row>
      <xdr:rowOff>89260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27ACE4D-F28C-3340-BA1F-7224B9E33E5B}"/>
                </a:ext>
              </a:extLst>
            </xdr14:cNvPr>
            <xdr14:cNvContentPartPr/>
          </xdr14:nvContentPartPr>
          <xdr14:nvPr macro=""/>
          <xdr14:xfrm>
            <a:off x="16921130" y="45329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BDF58FC-9DC5-FA4A-AD2E-D8203CC5AE1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912130" y="44789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1516500</xdr:colOff>
      <xdr:row>22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612A934-1976-3248-BB87-17FBAC5D9C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E7AF4B4-4C40-D34F-AB5A-A963018C0E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E789AE9-D658-5C4D-BFF1-F943DE035FAB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E265A74-6C0D-8C4C-B01A-3E85FE6642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1516500</xdr:colOff>
      <xdr:row>22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4A8D061-90D3-FF4E-A83E-2C896924A5D2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8E7AF4B4-4C40-D34F-AB5A-A963018C0E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14</xdr:col>
      <xdr:colOff>1516500</xdr:colOff>
      <xdr:row>23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ECED13B-57A7-AA40-9E26-C36098AB0C15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E265A74-6C0D-8C4C-B01A-3E85FE66427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107857</xdr:colOff>
      <xdr:row>1</xdr:row>
      <xdr:rowOff>193261</xdr:rowOff>
    </xdr:from>
    <xdr:to>
      <xdr:col>22</xdr:col>
      <xdr:colOff>378558</xdr:colOff>
      <xdr:row>10</xdr:row>
      <xdr:rowOff>16194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5158D1F-4F58-8C4B-B587-3D1B207F3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2057" y="396461"/>
          <a:ext cx="3657368" cy="1651733"/>
        </a:xfrm>
        <a:prstGeom prst="rect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  <xdr:twoCellAnchor>
    <xdr:from>
      <xdr:col>13</xdr:col>
      <xdr:colOff>574330</xdr:colOff>
      <xdr:row>14</xdr:row>
      <xdr:rowOff>161784</xdr:rowOff>
    </xdr:from>
    <xdr:to>
      <xdr:col>23</xdr:col>
      <xdr:colOff>590508</xdr:colOff>
      <xdr:row>17</xdr:row>
      <xdr:rowOff>48535</xdr:rowOff>
    </xdr:to>
    <xdr:sp macro="" textlink="">
      <xdr:nvSpPr>
        <xdr:cNvPr id="4" name="Minus 3">
          <a:extLst>
            <a:ext uri="{FF2B5EF4-FFF2-40B4-BE49-F238E27FC236}">
              <a16:creationId xmlns:a16="http://schemas.microsoft.com/office/drawing/2014/main" id="{6767CED7-82CD-7934-8191-6BB7E1CF052C}"/>
            </a:ext>
          </a:extLst>
        </xdr:cNvPr>
        <xdr:cNvSpPr/>
      </xdr:nvSpPr>
      <xdr:spPr>
        <a:xfrm>
          <a:off x="7061846" y="2992994"/>
          <a:ext cx="6730191" cy="525796"/>
        </a:xfrm>
        <a:prstGeom prst="mathMinus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493439</xdr:colOff>
      <xdr:row>14</xdr:row>
      <xdr:rowOff>64713</xdr:rowOff>
    </xdr:from>
    <xdr:to>
      <xdr:col>16</xdr:col>
      <xdr:colOff>137514</xdr:colOff>
      <xdr:row>15</xdr:row>
      <xdr:rowOff>161784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FD42077-C286-EC3C-37AF-C8AE5E02FA35}"/>
            </a:ext>
          </a:extLst>
        </xdr:cNvPr>
        <xdr:cNvSpPr/>
      </xdr:nvSpPr>
      <xdr:spPr>
        <a:xfrm>
          <a:off x="8323757" y="2895923"/>
          <a:ext cx="315477" cy="2993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</a:t>
          </a:r>
        </a:p>
      </xdr:txBody>
    </xdr:sp>
    <xdr:clientData/>
  </xdr:twoCellAnchor>
  <xdr:twoCellAnchor>
    <xdr:from>
      <xdr:col>16</xdr:col>
      <xdr:colOff>225201</xdr:colOff>
      <xdr:row>14</xdr:row>
      <xdr:rowOff>48535</xdr:rowOff>
    </xdr:from>
    <xdr:to>
      <xdr:col>16</xdr:col>
      <xdr:colOff>566240</xdr:colOff>
      <xdr:row>15</xdr:row>
      <xdr:rowOff>168578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76F1567-7ACF-6147-8637-36996BBAD268}"/>
            </a:ext>
          </a:extLst>
        </xdr:cNvPr>
        <xdr:cNvSpPr/>
      </xdr:nvSpPr>
      <xdr:spPr>
        <a:xfrm>
          <a:off x="8726921" y="2879745"/>
          <a:ext cx="341039" cy="32227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2</a:t>
          </a:r>
        </a:p>
      </xdr:txBody>
    </xdr:sp>
    <xdr:clientData/>
  </xdr:twoCellAnchor>
  <xdr:twoCellAnchor>
    <xdr:from>
      <xdr:col>17</xdr:col>
      <xdr:colOff>207731</xdr:colOff>
      <xdr:row>14</xdr:row>
      <xdr:rowOff>62124</xdr:rowOff>
    </xdr:from>
    <xdr:to>
      <xdr:col>17</xdr:col>
      <xdr:colOff>517707</xdr:colOff>
      <xdr:row>15</xdr:row>
      <xdr:rowOff>153695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8C8E1D0-B5DA-B941-9C09-42F08D2C2815}"/>
            </a:ext>
          </a:extLst>
        </xdr:cNvPr>
        <xdr:cNvSpPr/>
      </xdr:nvSpPr>
      <xdr:spPr>
        <a:xfrm>
          <a:off x="9380852" y="2893334"/>
          <a:ext cx="309976" cy="2938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3</a:t>
          </a:r>
        </a:p>
      </xdr:txBody>
    </xdr:sp>
    <xdr:clientData/>
  </xdr:twoCellAnchor>
  <xdr:twoCellAnchor>
    <xdr:from>
      <xdr:col>17</xdr:col>
      <xdr:colOff>562360</xdr:colOff>
      <xdr:row>14</xdr:row>
      <xdr:rowOff>68918</xdr:rowOff>
    </xdr:from>
    <xdr:to>
      <xdr:col>18</xdr:col>
      <xdr:colOff>210319</xdr:colOff>
      <xdr:row>15</xdr:row>
      <xdr:rowOff>186050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F08AA82-B5E4-9D47-B79B-7D6242DB9302}"/>
            </a:ext>
          </a:extLst>
        </xdr:cNvPr>
        <xdr:cNvSpPr/>
      </xdr:nvSpPr>
      <xdr:spPr>
        <a:xfrm>
          <a:off x="9735481" y="2900128"/>
          <a:ext cx="319360" cy="3193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4</a:t>
          </a:r>
        </a:p>
      </xdr:txBody>
    </xdr:sp>
    <xdr:clientData/>
  </xdr:twoCellAnchor>
  <xdr:twoCellAnchor>
    <xdr:from>
      <xdr:col>19</xdr:col>
      <xdr:colOff>164696</xdr:colOff>
      <xdr:row>14</xdr:row>
      <xdr:rowOff>59536</xdr:rowOff>
    </xdr:from>
    <xdr:to>
      <xdr:col>19</xdr:col>
      <xdr:colOff>485350</xdr:colOff>
      <xdr:row>15</xdr:row>
      <xdr:rowOff>169873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2C7F0BF-290A-E942-8689-4F54DA0CAAD5}"/>
            </a:ext>
          </a:extLst>
        </xdr:cNvPr>
        <xdr:cNvSpPr/>
      </xdr:nvSpPr>
      <xdr:spPr>
        <a:xfrm>
          <a:off x="10680620" y="2890746"/>
          <a:ext cx="320654" cy="312566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5</a:t>
          </a:r>
        </a:p>
      </xdr:txBody>
    </xdr:sp>
    <xdr:clientData/>
  </xdr:twoCellAnchor>
  <xdr:twoCellAnchor>
    <xdr:from>
      <xdr:col>19</xdr:col>
      <xdr:colOff>567859</xdr:colOff>
      <xdr:row>14</xdr:row>
      <xdr:rowOff>58241</xdr:rowOff>
    </xdr:from>
    <xdr:to>
      <xdr:col>20</xdr:col>
      <xdr:colOff>234585</xdr:colOff>
      <xdr:row>15</xdr:row>
      <xdr:rowOff>177961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4D5960E-E357-EF42-8B65-5840B7792379}"/>
            </a:ext>
          </a:extLst>
        </xdr:cNvPr>
        <xdr:cNvSpPr/>
      </xdr:nvSpPr>
      <xdr:spPr>
        <a:xfrm>
          <a:off x="11083783" y="2889451"/>
          <a:ext cx="338127" cy="32194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6</a:t>
          </a:r>
        </a:p>
      </xdr:txBody>
    </xdr:sp>
    <xdr:clientData/>
  </xdr:twoCellAnchor>
  <xdr:twoCellAnchor editAs="oneCell">
    <xdr:from>
      <xdr:col>3</xdr:col>
      <xdr:colOff>169332</xdr:colOff>
      <xdr:row>0</xdr:row>
      <xdr:rowOff>168966</xdr:rowOff>
    </xdr:from>
    <xdr:to>
      <xdr:col>6</xdr:col>
      <xdr:colOff>817033</xdr:colOff>
      <xdr:row>12</xdr:row>
      <xdr:rowOff>139505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9546C45-404F-D927-1C42-DE863BE86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7199" y="168966"/>
          <a:ext cx="3221567" cy="2408939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0</xdr:row>
      <xdr:rowOff>8467</xdr:rowOff>
    </xdr:from>
    <xdr:to>
      <xdr:col>12</xdr:col>
      <xdr:colOff>164048</xdr:colOff>
      <xdr:row>14</xdr:row>
      <xdr:rowOff>194734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2B3C4D4-DACF-8B4A-147D-805D28C4A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0" y="8467"/>
          <a:ext cx="2822581" cy="3031067"/>
        </a:xfrm>
        <a:prstGeom prst="rect">
          <a:avLst/>
        </a:prstGeom>
      </xdr:spPr>
    </xdr:pic>
    <xdr:clientData/>
  </xdr:twoCellAnchor>
  <xdr:twoCellAnchor editAs="oneCell">
    <xdr:from>
      <xdr:col>25</xdr:col>
      <xdr:colOff>169333</xdr:colOff>
      <xdr:row>0</xdr:row>
      <xdr:rowOff>152400</xdr:rowOff>
    </xdr:from>
    <xdr:to>
      <xdr:col>36</xdr:col>
      <xdr:colOff>491067</xdr:colOff>
      <xdr:row>42</xdr:row>
      <xdr:rowOff>186372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24CF99-FD95-10A3-D1F5-9FE1E4118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72200" y="152400"/>
          <a:ext cx="7772400" cy="8695372"/>
        </a:xfrm>
        <a:prstGeom prst="rect">
          <a:avLst/>
        </a:prstGeom>
      </xdr:spPr>
    </xdr:pic>
    <xdr:clientData/>
  </xdr:twoCellAnchor>
  <xdr:twoCellAnchor>
    <xdr:from>
      <xdr:col>32</xdr:col>
      <xdr:colOff>601133</xdr:colOff>
      <xdr:row>11</xdr:row>
      <xdr:rowOff>177800</xdr:rowOff>
    </xdr:from>
    <xdr:to>
      <xdr:col>32</xdr:col>
      <xdr:colOff>635000</xdr:colOff>
      <xdr:row>26</xdr:row>
      <xdr:rowOff>84667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6E3D72EA-E6DB-7FA6-3DA9-5E6D28B826D8}"/>
            </a:ext>
          </a:extLst>
        </xdr:cNvPr>
        <xdr:cNvCxnSpPr/>
      </xdr:nvCxnSpPr>
      <xdr:spPr>
        <a:xfrm flipH="1" flipV="1">
          <a:off x="24045333" y="2413000"/>
          <a:ext cx="33867" cy="30056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127001</xdr:colOff>
      <xdr:row>7</xdr:row>
      <xdr:rowOff>135467</xdr:rowOff>
    </xdr:from>
    <xdr:to>
      <xdr:col>14</xdr:col>
      <xdr:colOff>528109</xdr:colOff>
      <xdr:row>16</xdr:row>
      <xdr:rowOff>101360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E656748-676B-4249-822B-AC0A4C844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24534" y="1557867"/>
          <a:ext cx="1755775" cy="1848979"/>
        </a:xfrm>
        <a:prstGeom prst="rect">
          <a:avLst/>
        </a:prstGeom>
      </xdr:spPr>
    </xdr:pic>
    <xdr:clientData/>
  </xdr:twoCellAnchor>
  <xdr:twoCellAnchor>
    <xdr:from>
      <xdr:col>14</xdr:col>
      <xdr:colOff>601133</xdr:colOff>
      <xdr:row>14</xdr:row>
      <xdr:rowOff>110067</xdr:rowOff>
    </xdr:from>
    <xdr:to>
      <xdr:col>15</xdr:col>
      <xdr:colOff>262467</xdr:colOff>
      <xdr:row>16</xdr:row>
      <xdr:rowOff>33867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56E71AEC-183B-81EA-94B1-5195E734F7FD}"/>
            </a:ext>
          </a:extLst>
        </xdr:cNvPr>
        <xdr:cNvSpPr/>
      </xdr:nvSpPr>
      <xdr:spPr>
        <a:xfrm>
          <a:off x="11853333" y="2954867"/>
          <a:ext cx="338667" cy="347133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143932</xdr:colOff>
      <xdr:row>14</xdr:row>
      <xdr:rowOff>169334</xdr:rowOff>
    </xdr:from>
    <xdr:to>
      <xdr:col>22</xdr:col>
      <xdr:colOff>482599</xdr:colOff>
      <xdr:row>16</xdr:row>
      <xdr:rowOff>76201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99DFF1FF-EE3E-D549-BA11-72C8611506C5}"/>
            </a:ext>
          </a:extLst>
        </xdr:cNvPr>
        <xdr:cNvSpPr/>
      </xdr:nvSpPr>
      <xdr:spPr>
        <a:xfrm>
          <a:off x="16814799" y="3014134"/>
          <a:ext cx="338667" cy="3302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26</xdr:col>
      <xdr:colOff>72390</xdr:colOff>
      <xdr:row>23</xdr:row>
      <xdr:rowOff>135256</xdr:rowOff>
    </xdr:from>
    <xdr:to>
      <xdr:col>34</xdr:col>
      <xdr:colOff>125729</xdr:colOff>
      <xdr:row>25</xdr:row>
      <xdr:rowOff>36196</xdr:rowOff>
    </xdr:to>
    <xdr:sp macro="" textlink="">
      <xdr:nvSpPr>
        <xdr:cNvPr id="20" name="Left Brace 19">
          <a:extLst>
            <a:ext uri="{FF2B5EF4-FFF2-40B4-BE49-F238E27FC236}">
              <a16:creationId xmlns:a16="http://schemas.microsoft.com/office/drawing/2014/main" id="{2F5EA22D-A853-084E-A013-A449536190C3}"/>
            </a:ext>
          </a:extLst>
        </xdr:cNvPr>
        <xdr:cNvSpPr/>
      </xdr:nvSpPr>
      <xdr:spPr>
        <a:xfrm rot="16200000" flipH="1">
          <a:off x="14664690" y="351156"/>
          <a:ext cx="281940" cy="5666739"/>
        </a:xfrm>
        <a:prstGeom prst="leftBrace">
          <a:avLst>
            <a:gd name="adj1" fmla="val 8333"/>
            <a:gd name="adj2" fmla="val 49892"/>
          </a:avLst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560070</xdr:colOff>
      <xdr:row>20</xdr:row>
      <xdr:rowOff>26670</xdr:rowOff>
    </xdr:from>
    <xdr:to>
      <xdr:col>31</xdr:col>
      <xdr:colOff>270510</xdr:colOff>
      <xdr:row>23</xdr:row>
      <xdr:rowOff>102870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3E8B16-A22A-7143-9C48-4DD3A3EF2054}"/>
            </a:ext>
          </a:extLst>
        </xdr:cNvPr>
        <xdr:cNvSpPr txBox="1"/>
      </xdr:nvSpPr>
      <xdr:spPr>
        <a:xfrm>
          <a:off x="13844270" y="2312670"/>
          <a:ext cx="1920240" cy="6985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/>
            <a:t>Modified Bearing Life </a:t>
          </a:r>
          <a:br>
            <a:rPr lang="en-GB" sz="1200"/>
          </a:br>
          <a:r>
            <a:rPr lang="en-GB" sz="1050"/>
            <a:t>-if bearings lubricated-</a:t>
          </a:r>
        </a:p>
        <a:p>
          <a:pPr algn="ctr"/>
          <a:r>
            <a:rPr lang="en-GB" sz="1050"/>
            <a:t>*values</a:t>
          </a:r>
          <a:r>
            <a:rPr lang="en-GB" sz="1050" baseline="0"/>
            <a:t> from SKF*</a:t>
          </a:r>
          <a:endParaRPr lang="en-GB" sz="105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591840</xdr:colOff>
      <xdr:row>21</xdr:row>
      <xdr:rowOff>152580</xdr:rowOff>
    </xdr:from>
    <xdr:to>
      <xdr:col>14</xdr:col>
      <xdr:colOff>592200</xdr:colOff>
      <xdr:row>21</xdr:row>
      <xdr:rowOff>152940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14:cNvPr>
            <xdr14:cNvContentPartPr/>
          </xdr14:nvContentPartPr>
          <xdr14:nvPr macro=""/>
          <xdr14:xfrm>
            <a:off x="21394440" y="44578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F935F94-87E6-BF36-7912-226AB9E1EFD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385440" y="44488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733800</xdr:colOff>
      <xdr:row>18</xdr:row>
      <xdr:rowOff>142260</xdr:rowOff>
    </xdr:from>
    <xdr:to>
      <xdr:col>13</xdr:col>
      <xdr:colOff>734160</xdr:colOff>
      <xdr:row>18</xdr:row>
      <xdr:rowOff>142620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000000-0008-0000-0900-000003000000}"/>
                </a:ext>
              </a:extLst>
            </xdr14:cNvPr>
            <xdr14:cNvContentPartPr/>
          </xdr14:nvContentPartPr>
          <xdr14:nvPr macro=""/>
          <xdr14:xfrm>
            <a:off x="20698200" y="383796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8C5B37E-1235-F851-7368-18674AFC752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689560" y="38289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1516500</xdr:colOff>
      <xdr:row>22</xdr:row>
      <xdr:rowOff>87980</xdr:rowOff>
    </xdr:from>
    <xdr:to>
      <xdr:col>12</xdr:col>
      <xdr:colOff>1516860</xdr:colOff>
      <xdr:row>22</xdr:row>
      <xdr:rowOff>88340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3F76745-6B65-6266-FB36-EE95A0984F8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20</xdr:col>
      <xdr:colOff>1516500</xdr:colOff>
      <xdr:row>21</xdr:row>
      <xdr:rowOff>87980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0000000-0008-0000-0900-000006000000}"/>
                </a:ext>
              </a:extLst>
            </xdr14:cNvPr>
            <xdr14:cNvContentPartPr/>
          </xdr14:nvContentPartPr>
          <xdr14:nvPr macro=""/>
          <xdr14:xfrm>
            <a:off x="19461600" y="45964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B937F80-658D-284A-B75D-AF40D0131B2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9452960" y="454248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Users/wisdom/Downloads/Calculations.xlsx" TargetMode="External"/><Relationship Id="rId1" Type="http://schemas.openxmlformats.org/officeDocument/2006/relationships/externalLinkPath" Target="/Users/wisdom/Downloads/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vel and Load Calculations"/>
      <sheetName val="Stress Analysis"/>
      <sheetName val="Bearings"/>
    </sheetNames>
    <sheetDataSet>
      <sheetData sheetId="0"/>
      <sheetData sheetId="1"/>
      <sheetData sheetId="2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19:40.29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19:40.29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19:40.293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19:40.294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29:35.749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34:08.986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34:08.987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48:15.779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48:15.780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6T10:56:48.419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6T10:56:48.420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7:36:30.418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7:36:30.419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8:00:11.238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170 3080 16383,'0'-10'0,"0"1"0,0 2 0,0 2 0,0-2 0,0-1 0,0-1 0,1-2 0,1 2 0,0 0 0,-1 2 0,0 3 0,1-1 0,-1-1 0,1 0 0,-2-1 0,0 0 0,0 1 0,0-1 0,0-2 0,0 0 0,0 0 0,0 2 0,0 1 0,0-1 0,0 2 0,0-1 0,0-1 0,0-1 0,0 0 0,0 2 0,0-1 0,0 0 0,0 1 0,0 0 0,0-2 0,0 0 0,0 0 0,0 0 0,0 2 0,0 0 0,0 0 0,0 0 0,0 1 0,0-1 0,0-1 0,0-2 0,0-2 0,0-1 0,0 0 0,0 3 0,0 0 0,0 1 0,0 2 0,0-1 0,0-1 0,0-2 0,0 0 0,0 0 0,0 0 0,0 0 0,0-1 0,0 0 0,0 3 0,0 1 0,0 0 0,0 1 0,0-1 0,0 1 0,0-2 0,0-1 0,0 0 0,0-1 0,0 0 0,-1 0 0,0 1 0,-1-3 0,-1 1 0,1-1 0,-1-1 0,0 0 0,-1-1 0,1 1 0,-1-1 0,1-2 0,1 0 0,-2-3 0,2 1 0,0 0 0,0-1 0,2 3 0,0-2 0,0 2 0,0-2 0,-2 0 0,0 0 0,1 2 0,-1 0 0,1 0 0,-1 2 0,0-3 0,0 0 0,0 1 0,-1 0 0,2 1 0,-1 1 0,0 1 0,0 1 0,-1 2 0,1 0 0,1-1 0,-1-3 0,2-3 0,-1-9 0,-2-2 0,-2 1 0,-2 2 0,0 6 0,-1 1 0,1 2 0,0 2 0,1 0 0,-1 2 0,0 0 0,0 1 0,1 3 0,-1 0 0,1 2 0,1-1 0,2 1 0,0 1 0,2 1 0,-1 0 0,0 0 0,2-2 0,0 0 0,0 1 0,0 0 0,0-1 0,0 0 0,0-3 0,0 1 0,0-1 0,0 3 0,0 0 0,0-2 0,0 0 0,0-2 0,0-4 0,0-3 0,2-1 0,1-2 0,2 2 0,3-1 0,2 0 0,-1 1 0,0-1 0,-2 3 0,1 0 0,1 5 0,-1 1 0,0 2 0,-4 2 0,0 1 0,-1-1 0,-1 0 0,1-1 0,-1-2 0,0 0 0,-1-2 0,-1-1 0,0-1 0,0 2 0,0-1 0,0 0 0,0-2 0,0 1 0,0 2 0,0 0 0,0 1 0,0 1 0,0-2 0,0 0 0,0-1 0,0-2 0,0-1 0,0-1 0,0-1 0,0 1 0,0 2 0,0 1 0,0 1 0,0 1 0,0-2 0,0 0 0,0-1 0,-1 0 0,-1 1 0,0-1 0,0 1 0,2 0 0,0-1 0,0 0 0,0-1 0,0 1 0,0 0 0,0 0 0,0 0 0,0 1 0,0 1 0,0 0 0,0 0 0,0-1 0,0-1 0,0 2 0,0 0 0,0 0 0,0 0 0,0-2 0,0 0 0,0 2 0,0 2 0,0 1 0,0-1 0,0-4 0,0 0 0,0-1 0,0-1 0,0 0 0,0-1 0,0 1 0,0-2 0,0-1 0,0 1 0,0-3 0,0 2 0,0-1 0,0 1 0,0 1 0,0 0 0,0 1 0,0 2 0,0 0 0,0 0 0,0 1 0,0 0 0,0 1 0,0-3 0,0 0 0,0 0 0,0 3 0,0 0 0,0 1 0,0 1 0,0-3 0,0 0 0,0 2 0,0 0 0,0 2 0,0 0 0,0 0 0,0 1 0,0 4 0,0 2 0</inkml:trace>
  <inkml:trace contextRef="#ctx0" brushRef="#br0" timeOffset="407">100 0 16383,'0'0'0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8:00:15.445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0 1577 16383,'0'-6'0,"0"-1"0,0 1 0,0 0 0,0 0 0,0 1 0,1-2 0,1 1 0,0 0 0,-1 0 0,-1-2 0,0-2 0,0-1 0,0-3 0,0 0 0,0 2 0,0 1 0,0 1 0,0 2 0,0 1 0,0 1 0,1 2 0,1-1 0,-1-1 0,1 0 0,-1-3 0,1-2 0,0-2 0,1-1 0,-2 0 0,3-2 0,-1 4 0,-1 1 0,0 0 0,0 1 0,0-1 0,0 0 0,1 0 0,1-6 0,-1 4 0,1-2 0,-3 5 0,1 0 0,-1 1 0,0 0 0,-1 2 0,0-1 0,0-1 0,0 1 0,0 1 0,0 0 0,0 1 0,0-2 0,0-1 0,0 1 0,0-3 0,0 2 0,0-1 0,0 3 0,0 0 0,0 1 0,0-1 0,0 1 0,0 0 0,0-1 0,0 2 0,0-2 0,0-3 0,0 0 0,0-4 0,0-1 0,0-1 0,0-2 0,0-3 0,0 1 0,0-2 0,0-1 0,0 2 0,0 1 0,0 2 0,0 4 0,0-2 0,0 6 0,0-2 0,0 2 0,0 0 0,0 1 0,0-2 0,0 3 0,1-1 0,0 0 0,1 1 0,-1-2 0,-1 3 0,0 0 0,0 0 0,0 1 0,0 0 0,0-1 0,0 1 0,0 1 0,0-3 0,0 2 0,0 0 0,0 1 0,0-3 0,0 0 0,0 1 0,0-2 0,0 0 0,1-2 0,1 2 0,-1 1 0,1-2 0,-2 1 0,0-2 0,0 2 0,0-4 0,0 4 0,0-4 0,0 2 0,0-2 0,0 2 0,0-2 0,0 2 0,0 0 0,0 2 0,0-2 0,0 3 0,0-3 0,0 0 0,0 0 0,0 0 0,0-1 0,0 1 0,0-2 0,0 4 0,0-1 0,0 2 0,0 0 0,0-1 0,0 1 0,0 2 0,0-2 0,0 0 0,0 0 0,0 1 0,0 1 0,0 0 0,0 0 0,0 0 0,0 0 0,0 0 0,0 0 0,0 0 0,0 1 0,0-2 0,0 0 0,0 1 0,0 0 0,0-1 0,0 1 0,0-1 0,0 0 0,0 0 0,0 0 0,0 2 0,0 1 0,0 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8:00:29.513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66 16383,'9'0'0,"4"0"0,9 0 0,9 0 0,13 0 0,9 0 0,9 2 0,6 3 0,4 3 0,7 1 0,6 0 0,8-3 0,-2-4 0,5-2 0,3 0 0,-48 0 0,4 0 0,3 0 0,2 0 0,0 0 0,0 0 0,5 1 0,-1 0 0,-4 1 0,0 1 0,-3 1 0,-2 0 0,-4 1 0,0-1 0,38 8 0,-7-3 0,-6 2 0,-9 1 0,-8 0 0,4 1 0,-8-3 0,-6 1 0,-8-3 0,-6 1 0,-9-2 0,-6-2 0,-7 0 0,-3-4 0,-2-1 0,-3 0 0,1 0 0,0 0 0,0 0 0,0 0 0,0-5 0,0-2 0,1-4 0,3 4 0,5 2 0,11 4 0,4 1 0,3 0 0,2 0 0,-2 0 0,-6 0 0,-6 0 0,-6 0 0,-3 0 0,-4 0 0,-1 0 0,-1 0 0,0 0 0,0 0 0,-1 0 0,0 0 0,1 0 0,0 0 0,-1 0 0,3 0 0,2 0 0,1 0 0,2 0 0,1 0 0,0-3 0,0-2 0,3 1 0,-3-2 0,2 2 0,2-2 0,1 3 0,4-3 0,2-1 0,8-1 0,1 0 0,3 0 0,4 2 0,0 1 0,1 2 0,6-1 0,-4 0 0,1 3 0,-5-2 0,-2 3 0,-2 0 0,-3 0 0,-1 0 0,-2 0 0,-3 0 0,-2 0 0,3 0 0,-3 0 0,-2 0 0,1 0 0,0 0 0,0 0 0,2 0 0,2 0 0,-2 0 0,-3 0 0,-3 0 0,0 0 0,-2 0 0,0 1 0,-5 1 0,-3-1 0,-1 0 0,-3-1 0,-2 0 0,1 0 0,5 0 0,11 0 0,11-1 0,3-1 0,0 0 0,1 0 0,-1 2 0,3 0 0,6 0 0,-3 0 0,0 0 0,3 0 0,-5 0 0,5 0 0,-8 0 0,-7 0 0,2 0 0,-8 1 0,2 1 0,-6 0 0,0 0 0,-6 1 0,-1-1 0,-2 0 0,0-2 0,0 0 0,0 0 0,1 0 0,1 0 0,2 0 0,0 0 0,0 0 0,2 0 0,-1 0 0,-2 0 0,-1 0 0,0 0 0,3 0 0,0 0 0,-2 0 0,1 0 0,0-2 0,2 0 0,3-2 0,-2 0 0,0-1 0,5-1 0,4 0 0,6 2 0,-2 0 0,0 0 0,-1 0 0,-3 0 0,1 2 0,-3-1 0,-3 1 0,-2 1 0,-2-1 0,0 1 0,0-1 0,-2-2 0,1 1 0,0 1 0,-3-1 0,-2 1 0,-2-1 0,0-3 0,3-2 0,2-6 0,-1 0 0,-2 4 0,-5 4 0,-3 6 0,3 0 0,1 0 0,0 0 0,1 0 0,-1 0 0,0 1 0,-1 0 0,0 2 0,0 0 0,2-1 0,0-1 0,2 1 0,0 0 0,-3 1 0,2-1 0,-3 0 0,2 0 0,-1 0 0,1 0 0,1-1 0,-1 1 0,1-1 0,1 1 0,1 1 0,1-2 0,-2 2 0,0 0 0,0 0 0,-2 1 0,0-3 0,-2 1 0,-1-1 0,-1 1 0,0-1 0,0 0 0,1 0 0,1 1 0,0-1 0,0 1 0,1-2 0,-2 1 0,0 1 0,-1-1 0,0 1 0,4-2 0,1 0 0,3 0 0,-1 0 0,0 0 0,-2 0 0,2 0 0,1 0 0,-2 0 0,-2 0 0,-1 0 0,-1 0 0,1 0 0,-1 0 0,0 0 0,0 0 0,1 0 0,-1 0 0,2 0 0,1 0 0,3 0 0,4 2 0,-1 0 0,1 0 0,2-1 0,-2 1 0,2-1 0,3 1 0,-4 0 0,4-1 0,-3 1 0,1-1 0,2 3 0,-2-1 0,4-1 0,0 1 0,-2-1 0,0 0 0,-1 1 0,-2-2 0,0 2 0,-1 1 0,-3-2 0,-1 0 0,-3-1 0,-3-1 0,1 0 0,-2 2 0,1-1 0,-3 1 0,-3-1 0,2-1 0,2 0 0,7 0 0,6 0 0,2 0 0,0 0 0,-3 0 0,1 0 0,-3 1 0,-1 1 0,0 2 0,-5-1 0,1 0 0,-1 0 0,0-2 0,-3 1 0,1-2 0,-1 0 0,0 0 0,2 0 0,3 0 0,5 0 0,4 0 0,2 0 0,-2 0 0,1 0 0,-1 0 0,0 0 0,1 0 0,-2 0 0,-2 0 0,-3 0 0,2 0 0,-3 0 0,2 0 0,1 0 0,-2 0 0,1 0 0,-3 0 0,0 0 0,-1 0 0,-1 0 0,2 0 0,0 0 0,2 0 0,0 0 0,-1 0 0,1 0 0,-2 0 0,-1 0 0,-1 0 0,-1-1 0,-1 0 0,-1-2 0,0 0 0,0 1 0,-1-1 0,1 0 0,-1 2 0,0 0 0,-1-1 0,0 0 0,-2-1 0,1 0 0,-1 0 0,-1 0 0,1 0 0,-1-1 0,-1 0 0,-1-2 0,0 0 0,1 1 0,1 1 0,0 2 0,-1 3 0,-1 2 0,0 3 0,0-1 0,0 1 0,0 0 0,0-2 0,0 3 0,0-1 0,0 0 0,0 0 0,0 0 0,0 0 0,0-2 0,0 2 0,0 0 0,0-1 0,0 1 0,0 0 0,0 2 0,0 0 0,0 1 0,0 2 0,0 0 0,0 1 0,0-2 0,0 0 0,0 0 0,0-1 0,0-1 0,0-3 0,0 2 0,0-1 0,0-1 0,0 2 0,0-1 0,0 0 0,0-2 0,0 2 0,0 0 0,0-2 0,0 2 0,0 2 0,0-2 0,0 3 0,0-1 0,0-1 0,0 1 0,0-2 0,0 0 0,0 1 0,1-2 0,1-2 0,0 1 0,-1 0 0,-1 3 0,0-2 0,0 0 0,0 2 0,0 0 0,0 0 0,0 4 0,0-2 0,0 2 0,0-2 0,0 1 0,0-4 0,0 0 0,0 1 0,0-2 0,0 0 0,0 2 0,0-2 0,0 0 0,0 1 0,0 1 0,0-2 0,0 2 0,0 0 0,0-2 0,0 1 0,0 2 0,0-2 0,0-1 0,0 2 0,0 0 0,0-2 0,0 1 0,0 1 0,0-2 0,0 1 0,0-1 0,0 1 0,0 0 0,0-1 0,0 2 0,0-2 0,0 0 0,0 1 0,0 0 0,0-1 0,0 1 0,0 1 0,0-2 0,0 0 0,0 1 0,0 0 0,0-1 0,0 0 0,0 2 0,0-2 0,0 1 0,0 0 0,0 0 0,0 0 0,0 1 0,0 0 0,0 0 0,0 0 0,0-1 0,0 0 0,0 0 0,0 1 0,0 0 0,0 2 0,1 1 0,1 2 0,1-1 0,1 1 0,0-1 0,-1-3 0,-1 1 0,-2-3 0,2 0 0,-2-2 0,1-1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8:00:44.777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47 1 16383,'0'10'0,"0"2"0,0 0 0,0 0 0,0-1 0,0 1 0,0 0 0,0 1 0,0-1 0,0 1 0,-1-3 0,-1 1 0,0 0 0,1-4 0,1 1 0,0-2 0,0 0 0,0 2 0,0 0 0,0-2 0,-2 3 0,1-2 0,-1 0 0,0 3 0,1-1 0,-1-2 0,0 3 0,0-1 0,0-2 0,0 1 0,1 0 0,0-3 0,1 1 0,-1 1 0,-1 0 0,0-2 0,1 0 0,1 2 0,0-1 0,0-1 0,0 1 0,0 0 0,0 0 0,0 1 0,0 0 0,0 0 0,0 0 0,0 0 0,0-1 0,0 1 0,0-2 0,0 2 0,0 0 0,0-1 0,0-1 0,0 2 0,0-1 0,0-1 0,0 2 0,0 2 0,0-1 0,0-1 0,0-1 0,0 0 0,0-1 0,0 0 0,0 1 0,0 0 0,0 0 0,0 0 0,0 0 0,0 1 0,0 0 0,0-1 0,0 0 0,0 0 0,0 0 0,0 1 0,0-1 0,0 0 0,0 1 0,0 2 0,0-2 0,0 2 0,0-1 0,0 0 0,0-2 0,0 0 0,0 1 0,0-2 0,0 1 0,0 2 0,0 2 0,0 3 0,0 2 0,1 1 0,3-1 0,0-4 0,1 1 0,-1-4 0,-2-2 0,2 3 0,-1-2 0,-1-2 0,0 2 0,0 0 0,0-1 0,-1 0 0,0 0 0,-1 0 0,0 0 0,0-1 0,0 1 0,0 0 0,0 0 0,0 0 0,0 0 0,0 0 0,0 0 0,0 0 0,0 1 0,0 0 0,0 1 0,0 2 0,0 1 0,0 0 0,0 2 0,0 1 0,0 2 0,0 1 0,0-4 0,0 3 0,0-1 0,0-1 0,0-1 0,-2 0 0,0-2 0,-1 0 0,0-3 0,1-3 0,0 0 0,1 1 0,-1 0 0,0-1 0,0 0 0,0 4 0,0-2 0,2 1 0,-1 0 0,1-1 0,0-1 0,0 1 0,-1-2 0,-1 1 0,0-3 0,1 2 0,1 1 0,-2 0 0,1 1 0,-1-3 0,1 2 0,1-1 0,0 1 0,0 0 0,0 0 0,0 0 0,0 0 0,0-1 0,0 2 0,0-1 0,0-1 0,0-1 0,0 3 0,0 2 0,-2-1 0,1 1 0,-1 1 0,0-1 0,2-1 0,0 1 0,-2-1 0,1-1 0,-1 0 0,0-2 0,2 1 0,0 6 0,0 7 0,0 7 0,0 4 0,0 0 0,0 6 0,0-5 0,0 1 0,0-3 0,2-7 0,-1 0 0,2-3 0,1 0 0,-2-2 0,0-1 0,0 1 0,0-1 0,2 3 0,-1-1 0,1 1 0,0-1 0,0 0 0,1 1 0,-1-4 0,1 0 0,-2-1 0,0-1 0,0-2 0,0 0 0,0-1 0,-1-1 0,1 2 0,-1 0 0,0-1 0,-1 1 0,1-2 0,0 3 0,0-1 0,-1 3 0,-1 1 0,0 1 0,0 2 0,2 0 0,0 0 0,0-1 0,-1 2 0,-1-1 0,0-5 0,0 3 0,0-3 0,0 2 0,0 0 0,0 0 0,0-2 0,0 1 0,0-1 0,0 2 0,0-2 0,0 2 0,0-3 0,0 1 0,0-4 0,0 2 0,0-2 0,0 1 0,0 2 0,0 0 0,0 3 0,0 0 0,0-2 0,0-2 0,0 0 0,0 0 0,0-2 0,0 0 0,0-2 0,0-1 0,0 0 0,1 0 0,1 0 0,-1 4 0,0 7 0,-1 9 0,0 3 0,0 1 0,0-1 0,0-4 0,0 0 0,0-4 0,0-3 0,0-2 0,0-3 0,0 1 0,0-3 0,0 2 0,0-2 0,0 3 0,0 2 0,0 0 0,0 0 0,0-1 0,0 1 0,0 0 0,0 1 0,0-5 0,0 1 0,2-3 0,-1-1 0,1-1 0,-1-2 0,-1 0 0,0 2 0,0 0 0,2 0 0,-1 2 0,1-3 0,0 1 0,0 4 0,1-4 0,0 3 0,-1-1 0,0-1 0,0 0 0,0 1 0,1 1 0,-2-1 0,1 3 0,1-2 0,-1 3 0,1-1 0,1 4 0,-1-1 0,0 1 0,-1 1 0,1-2 0,-1 0 0,0-2 0,-1-1 0,0-1 0,1 1 0,-1-2 0,2 3 0,-1-2 0,0 1 0,-1-2 0,1 2 0,0-3 0,-1 1 0,1 1 0,-2-1 0,0 1 0,0 0 0,0-2 0,0 3 0,0-4 0,0 1 0,0 0 0,0-3 0,0 2 0,0-2 0,0 1 0,0 2 0,0-1 0,0 1 0,0-1 0,0-1 0,0-2 0,0 1 0,0-1 0,0 0 0,0 2 0,0 0 0,-1 0 0,-1 0 0,0-1 0,0-1 0,0 2 0,-1 0 0,0-2 0,0 2 0,0-3 0,2 1 0,-1 0 0,0 0 0,1-1 0,-1-1 0,0 0 0,1 2 0,-1 0 0,-1 1 0,0-2 0,0 0 0,0-1 0,1 0 0,-1 1 0,2-1 0,-2 2 0,0 0 0,1 0 0,-1-1 0,1 0 0,-1-2 0,2-1 0,-1-1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8:07:47.0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135 2434 24575,'-3'-45'0,"2"28"0,-3-25 0,4 39 0,0-1 0,0 1 0,0-1 0,0-1 0,0 1 0,0-2 0,0 2 0,0 1 0,0 0 0,0 0 0,0-1 0,0-3 0,0 1 0,0 1 0,0-2 0,-1 0 0,0 2 0,0 0 0,0 2 0,1-1 0,0 0 0,0-2 0,-2 1 0,1 0 0,-1 1 0,1-3 0,-1 1 0,1 0 0,-1 2 0,1-1 0,0-1 0,-1 2 0,1-2 0,-1 2 0,1-3 0,-1 0 0,0 0 0,0 1 0,-1-3 0,1 2 0,1 0 0,-1 0 0,0 0 0,0-1 0,1 0 0,-1 0 0,0-2 0,-1 1 0,1 0 0,0 0 0,1 1 0,0 0 0,-1 0 0,1-1 0,-1-1 0,1 0 0,0 1 0,1-3 0,-1 1 0,1-3 0,0 1 0,0-3 0,0 1 0,0-2 0,0 1 0,0 1 0,0-1 0,0 1 0,0 1 0,0 1 0,0 0 0,0 0 0,0 0 0,0 0 0,0 1 0,0-2 0,0-1 0,0-1 0,0 0 0,0 0 0,0 2 0,0-1 0,0 1 0,0-1 0,0-1 0,0 2 0,0 0 0,0 1 0,0-1 0,1 1 0,1-1 0,1 3 0,0 0 0,-1 4 0,-1-1 0,0 3 0,-1 0 0,0-2 0,0-1 0,0-6 0,-1-3 0,-1 0 0,1 2 0,-1 4 0,1 0 0,0-1 0,-1 0 0,1-1 0,0 3 0,0-1 0,1 2 0,-1 0 0,0-2 0,0 5 0,0 0 0,1-1 0,0 2 0,0 0 0,-1-1 0,0 1 0,0-1 0,-1 1 0,1 2 0,0-2 0,0 0 0,0-2 0,-1 2 0,2 1 0,-1 0 0,0 0 0,0-1 0,0 1 0,1 1 0,0-1 0,0 2 0,0-2 0,0-2 0,0 2 0,0 0 0,0 0 0,0 0 0,0 0 0,0-3 0,0 2 0,0-1 0,0 1 0,0-1 0,0 1 0,0 2 0,0-1 0,0-1 0,0 0 0,0 1 0,0-2 0,0 0 0,0 1 0,0 0 0,0 1 0,-1 1 0,0-1 0,0 1 0,0-1 0,1 0 0,0 0 0,0 1 0,0-1 0,0 1 0,0-1 0,0 0 0,0 0 0,0 0 0,0-1 0,0-1 0,0-1 0,0 3 0,0-2 0,0 0 0,0 0 0,0-1 0,0 0 0,0 0 0,0-2 0,0 2 0,0 0 0,0-2 0,0 2 0,0-1 0,0-2 0,0 3 0,0-1 0,0-1 0,0 2 0,0 1 0,0-1 0,0 2 0,0-1 0,0 2 0,0 0 0,0-1 0,0 2 0,0-1 0,0-2 0,0-1 0,0-3 0,0-1 0,0 0 0,0 1 0,0 0 0,0 3 0,0 0 0,0 2 0,0-1 0,0 1 0,0-2 0,0 0 0,0 0 0,0 0 0,0 1 0,0 0 0,0 0 0,0 0 0,0 0 0,0 0 0,0 0 0,0 1 0,0 0 0,0-1 0,0-1 0,-1 1 0,0 0 0,0 1 0,0-1 0,1 1 0,0 0 0,0-1 0,0 0 0,-1-1 0,0 2 0,0-1 0,1 0 0,-1-1 0,1 2 0,0-2 0,0 0 0,0 0 0,0 2 0,0-1 0,0-2 0,0 2 0,0 0 0,0 1 0,0-1 0,0 0 0,0 1 0,0 1 0,-1-1 0,1 0 0,-1 1 0,0 0 0,0 0 0,0 0 0,-1 2 0,0-3 0,1 0 0,0-2 0,1-2 0,0-4 0,0 2 0,0-1 0,0 2 0,0 1 0,0-1 0,0 2 0,0-2 0,0 0 0,0 1 0,0-1 0,0 2 0,0-1 0,0 1 0,0 0 0,-2 0 0,1 0 0,0 0 0,1-1 0,0 2 0,0 1 0,0-2 0,0 2 0,0 0 0,0 1 0,0-1 0,0 1 0,0 1 0,0 0 0,-1-1 0,0-1 0,0 1 0,1-1 0,-1 2 0,0-2 0,0 2 0,0-1 0,1 0 0,-1 2 0,0-2 0,0-1 0,0 1 0,1-1 0,0 2 0,0-3 0,0 1 0,0 2 0,0-1 0,0 2 0,0-2 0,0 0 0,0 1 0,0 0 0,0 0 0,0 1 0,0-1 0,0 0 0,-1 2 0,0-1 0,0 1 0,0 0 0,0 0 0,0-1 0,0-1 0,1 0 0,0-1 0,0 3 0,0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8:08:12.4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0 162 24575,'18'0'0,"13"-1"0,25-5 0,13-1 0,29-5-781,-41 5 0,0 2 781,-3 1 0,0 1 0,2-2 0,-1 2 0,40 3 0,-12 0 0,-2 0 363,-7 0-363,-6 0 0,2 1 0,-6 2 0,-1 2 0,-5 1 1182,-3 0-1182,-7 1 17,-5-2-17,-5 0 0,-6 2 0,-3-2 0,-10-1 0,-3 1 0,-6-1 0,-2-1 0,-4-1 0,0-1 0,0 0 0,-1-1 0,2 0 0,-4-1 0,1 0 0,5 0 0,11 0 0,11 1 0,11 0 0,8 0 0,2 0 0,0 0 0,5 0 0,-6 0 0,-10 1 0,0 1 0,-13 1 0,1 4 0,1 0 0,-5-1 0,-4 1 0,-6-2 0,-5 0 0,-2 0 0,-1-2 0,-1-1 0,-1-1 0,-1 1 0,1-1 0,1-1 0,1 1 0,3-1 0,3 0 0,0 0 0,1 0 0,0 0 0,-1 0 0,-1 0 0,5 0 0,1 0 0,-3 0 0,-3 0 0,-7 0 0,-1 0 0,7 0 0,11 0 0,5 0 0,14 0 0,0 0 0,3 2 0,9 0 0,-3 3 0,7-2 0,-4 2 0,-4-1 0,-3 1 0,0 0 0,-1 0 0,-4 0 0,-4-2 0,-1 1 0,-7-1 0,-4 0 0,-2-2 0,-3 1 0,-1 1 0,-4-2 0,-1 0 0,0-1 0,1 0 0,4 0 0,4 0 0,2 0 0,5 1 0,0-1 0,-2 1 0,-1 1 0,-2-2 0,-2 0 0,-2 0 0,-5 0 0,-6 0 0,-3 0 0,-1 0 0,2 0 0,7 0 0,8 0 0,3 1 0,5 1 0,2 2 0,6 4 0,1-2 0,2 3 0,1-3 0,1 0 0,0 0 0,-1-1 0,-3-3 0,-3-1 0,3 1 0,-8-2 0,-3 0 0,-1 0 0,3 0 0,5 0 0,2 0 0,4 0 0,2 0 0,7 0 0,0 0 0,-1 0 0,-4 0 0,-1 0 0,-3 0 0,0 0 0,-3 0 0,-7 0 0,-5 0 0,-2 0 0,-7 0 0,-2 0 0,-4 0 0,-6 0 0,-3 0 0,2 0 0,4 0 0,10 0 0,5 1 0,3 1 0,1 2 0,0 1 0,0 0 0,1 3 0,-2 0 0,-2-1 0,-2 0 0,-3-1 0,-2 1 0,-3-2 0,-2 0 0,0-2 0,-3 2 0,0-2 0,-1 1 0,0-1 0,1-1 0,0-1 0,1 3 0,0-2 0,1-1 0,0 0 0,-1 0 0,2-1 0,-1 0 0,3 0 0,0 0 0,0 0 0,2 0 0,2-1 0,4-3 0,-1-1 0,0-2 0,0 0 0,-1 1 0,3-1 0,0 0 0,-1 1 0,-1 1 0,-1 1 0,-2-1 0,-2 2 0,-1 1 0,2-2 0,1 1 0,-1-2 0,0 1 0,2 0 0,-3-1 0,3-2 0,0 2 0,-1-1 0,-1 1 0,-2 0 0,-1 2 0,-2-1 0,-1-1 0,0 2 0,0 0 0,-1 1 0,1 1 0,0-1 0,0 0 0,0-1 0,0 2 0,1 0 0,0 0 0,0 0 0,0 0 0,1-1 0,1 0 0,2 0 0,1-1 0,-3-3 0,-7 2 0,-2 2 0,-1 2 0,8 0 0,4 0 0,2 0 0,1 0 0,-2 0 0,1 0 0,0 0 0,-1 0 0,0 0 0,-1 0 0,-1 0 0,1 1 0,0 0 0,0 0 0,1 0 0,-1-1 0,2 0 0,0 0 0,0 0 0,-1 0 0,2 0 0,2 0 0,1 0 0,1 0 0,-4 0 0,1 0 0,-2-1 0,0-1 0,-1 0 0,-2-1 0,-3 1 0,0-2 0,0 1 0,0 0 0,2-1 0,-1 2 0,0-2 0,-1 1 0,0 1 0,1-1 0,0 0 0,1 0 0,1 1 0,1-3 0,0 2 0,2 0 0,-2 0 0,-1 1 0,0 0 0,-3 0 0,0 0 0,-2 2 0,-1-1 0,-1 0 0,0 0 0,1 0 0,-1 1 0,1 0 0,-2 0 0,-1 0 0,-1 0 0,0 0 0,0 0 0,-1-1 0,2-1 0,2-2 0,1-2 0,1-1 0,-1 1 0,-2 1 0,-1 4 0,1 1 0,-1 0 0,3-2 0,0 0 0,1-1 0,0-1 0,2 0 0,0 1 0,0 1 0,0-1 0,-1-1 0,1-2 0,-2 2 0,0 2 0,-1 0 0,0-1 0,-1 0 0,1-1 0,1 0 0,1 1 0,-1 0 0,1 0 0,-1-1 0,2 1 0,-2 1 0,0-1 0,-1 1 0,1 0 0,0 0 0,1-1 0,-1 2 0,-1-1 0,0 1 0,0-1 0,0 0 0,-1 0 0,0 1 0,0-1 0,0 0 0,1 1 0,0-2 0,1 1 0,1 0 0,0 0 0,-1 0 0,2 0 0,1 0 0,-1 0 0,0-1 0,1 1 0,-2-1 0,1 2 0,0-1 0,-1 1 0,-2 0 0,0-1 0,-1 2 0,-1-1 0,0 0 0,0 0 0,0-1 0,0 1 0,1 0 0,-2 0 0,1 0 0,0 0 0,0 0 0,2-1 0,0 1 0,1 0 0,0 0 0,-1-1 0,2 1 0,0 1 0,-1 0 0,1 0 0,0 0 0,-1 0 0,1 0 0,-2 0 0,-1 0 0,-1 0 0,0 0 0,0 0 0,0 0 0,0 0 0,-1 0 0,0 0 0,0-1 0,0-1 0,-1 2 0,2 0 0,-1 0 0,-1-1 0,-1 1 0,-1 0 0,1-1 0,-2-1 0,1 1 0,0-1 0,-1 0 0,1 0 0,0 1 0,0-1 0,-1 0 0,1 0 0,0 1 0,0 0 0,0 0 0,1 1 0,0 0 0,0 0 0,2 0 0,-1 0 0,1-2 0,-2 0 0,-2 1 0,-3 4 0,0-1 0,-2 3 0,3-4 0,0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8:08:24.4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116 0 24575,'0'17'0,"0"4"0,-2 8 0,1 3 0,-2 3 0,1-5 0,0-5 0,-1-2 0,0-1 0,0 0 0,0 1 0,1-1 0,1-2 0,0-1 0,0 0 0,0 1 0,0-2 0,-1 0 0,-1-2 0,1 1 0,-1 0 0,0 0 0,1-1 0,-1-1 0,0-4 0,0 1 0,1-3 0,0-1 0,0-1 0,1-3 0,0-1 0,-1 1 0,1 0 0,-1-2 0,0 2 0,2 5 0,-1 4 0,1 6 0,0 5 0,0 4 0,0-1 0,0 0 0,0-3 0,0-2 0,0-3 0,0-3 0,0 0 0,0-3 0,0-1 0,0-1 0,0-2 0,0 1 0,0-3 0,0 1 0,0-2 0,0 1 0,0-2 0,0 0 0,0 1 0,0 0 0,0 1 0,0 1 0,0 0 0,0 0 0,0 0 0,0 0 0,0 1 0,0 0 0,0-3 0,0 1 0,0 0 0,0 1 0,0-2 0,0 1 0,0 1 0,0-3 0,0 3 0,0 2 0,0-2 0,-1 3 0,-1-2 0,0 1 0,0 3 0,1 1 0,-2-1 0,0 3 0,-1-1 0,0-1 0,1-1 0,0 1 0,0-1 0,0-1 0,1 0 0,0-1 0,0-2 0,1-1 0,0-1 0,0 0 0,0 0 0,0 0 0,0 2 0,1 2 0,0 0 0,0 2 0,0 0 0,0 0 0,0 1 0,0-1 0,1-3 0,0-1 0,0 0 0,0-3 0,-1 0 0,0 0 0,1-1 0,0-2 0,0 0 0,-1 1 0,0-1 0,0 1 0,0-1 0,0 1 0,0-2 0,0 1 0,0 1 0,0 1 0,0-2 0,0 2 0,0-1 0,0 4 0,0 2 0,0-1 0,0 4 0,0-4 0,0 4 0,0-4 0,1-1 0,0-2 0,-1-2 0,1 0 0,-1-1 0,0 1 0,0 1 0,0-2 0,0 1 0,0 0 0,0-1 0,0 0 0,0 1 0,0 0 0,0-1 0,0 0 0,0 0 0,0 1 0,0-1 0,0 4 0,0-1 0,0 1 0,0-1 0,0 0 0,0-1 0,0 0 0,0-1 0,0-1 0,0 1 0,0-2 0,0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8:09:20.1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1512 345 24575,'0'-8'0,"0"0"0,0 0 0,0 1 0,0 0 0,0-2 0,0 2 0,0 0 0,0 2 0,0 1 0,0 0 0,0-3 0,0 0 0,0 0 0,0 1 0,0 1 0,0 0 0,0 0 0,0-3 0,0-3 0,0-1 0,0-2 0,0-1 0,0-1 0,-1 0 0,-1 3 0,1 0 0,-1 2 0,2 2 0,-1-1 0,-1 1 0,-1 1 0,1 1 0,0-1 0,0 2 0,1 0 0,1 0 0,0 1 0,0-2 0,0 1 0,0 1 0,-1 0 0,1 3 0,0 1 0,-3 4 0,1 0 0,-2 1 0,2-1 0,1 0 0,0 0 0,0 0 0,-4-1 0,-6-1 0,-2-1 0,-4 0 0,-4 0 0,1 0 0,-2 0 0,-1 0 0,3 0 0,-2 0 0,0 0 0,-2 0 0,-2 0 0,1 1 0,-1 2 0,0 0 0,2 0 0,0 0 0,4-2 0,2 1 0,0-1 0,2-1 0,1 0 0,3 0 0,0 0 0,1 0 0,-1 0 0,-1 0 0,-1 0 0,-1 0 0,1 0 0,0 0 0,-1 0 0,0 0 0,-1 0 0,1 0 0,0 0 0,0 0 0,0 0 0,1 0 0,-1 0 0,1 0 0,0 0 0,-2 0 0,1 0 0,1 0 0,2 0 0,-1 0 0,-1 0 0,0 0 0,0 0 0,1 0 0,-1 0 0,1 0 0,1 0 0,0 0 0,1 0 0,-1 0 0,1 0 0,-1 0 0,2 0 0,1 0 0,1 0 0,0 0 0,-1 0 0,0 0 0,1 0 0,0 0 0,-1 0 0,0 0 0,0 0 0,0 0 0,1 0 0,0 0 0,-1 0 0,1 0 0,0 0 0,1 0 0,0 0 0,1 0 0,-2 0 0,1 0 0,0 0 0,0 0 0,0 0 0,0 0 0,0 0 0,0 0 0,0 0 0,0 0 0,0 0 0,-1 0 0,0 0 0,1 0 0,-1 0 0,0 0 0,0 0 0,0 0 0,0 0 0,0 0 0,1 0 0,-1 0 0,2 0 0,-1 0 0,-1 0 0,0 0 0,0 0 0,0 0 0,0 0 0,2 0 0,-1 0 0,2 0 0,-1 0 0,0 0 0,1-1 0,-1 0 0,0 0 0,1 0 0,1 1 0,-1-1 0,1 0 0,-1 0 0,1 0 0,-1 0 0,1 1 0,-1-1 0,1 0 0,0 0 0,0 0 0,0 1 0,0 0 0,0 0 0,0 0 0,-1 0 0,1 1 0,0 0 0,1 1 0,1-1 0,1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4-03-02T19:21:32.422"/>
    </inkml:context>
    <inkml:brush xml:id="br0">
      <inkml:brushProperty name="width" value="0.3" units="cm"/>
      <inkml:brushProperty name="height" value="0.6" units="cm"/>
      <inkml:brushProperty name="color" value="#F0ADED"/>
      <inkml:brushProperty name="tip" value="rectangle"/>
      <inkml:brushProperty name="rasterOp" value="maskPen"/>
    </inkml:brush>
  </inkml:definitions>
  <inkml:trace contextRef="#ctx0" brushRef="#br0">1 34,'74'-7,"-1"1,-26 0,1 2,3-1,-4 3,5-1,-7 3,-6 0,-5 0,-2 0,-2 1,-4 3,-2 3,-4 1,-3-1,-3-1,-2 1,5 1,-4-1,4 0,-2-1,0-4,2 1,0-3,2 0,-2 0,7 0,-4 0,2 0,4 0,-2 0,2-1,2-2,2-1,6-3,4 2,0-1,-1 1,0 0,-3 2,0-1,1 2,-2 0,0 0,-1 2,-1 0,1-1,0 1,0 0,-1 0,-3 0,1 2,-1 1,-4 2,0 0,-6-1,-2-1,-1-1,-3 1,1 0,2 0,-4-1,4-1,-1-1,-2 0,4 0,-5-2,3-2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22:12.289"/>
    </inkml:context>
    <inkml:brush xml:id="br0">
      <inkml:brushProperty name="width" value="0.05" units="cm"/>
      <inkml:brushProperty name="height" value="0.05" units="cm"/>
      <inkml:brushProperty name="color" value="#F880E7"/>
    </inkml:brush>
  </inkml:definitions>
  <inkml:trace contextRef="#ctx0" brushRef="#br0">40 2081 24575,'0'-10'0,"-1"-7"0,-1-4 0,1-1 0,-3 2 0,2 7 0,-1-1 0,1 2 0,-1 3 0,1-1 0,0 0 0,-1 3 0,1-4 0,0 3 0,0 1 0,1 1 0,-1-2 0,1 1 0,0 0 0,-1 2 0,1-2 0,1-1 0,0 1 0,0 0 0,0-2 0,0-1 0,0 2 0,0-2 0,0 2 0,0 2 0,0 3 0,0-3 0,0 0 0,0-3 0,0 1 0,0 1 0,0-2 0,0 0 0,0 1 0,0-2 0,0-1 0,0 2 0,0 0 0,0-1 0,0 2 0,0-2 0,0 2 0,0 1 0,0 1 0,0 0 0,0-2 0,0 0 0,0-1 0,0 1 0,0 0 0,0-2 0,0-1 0,0 0 0,0 1 0,0 1 0,0-1 0,0 0 0,0-1 0,0 0 0,0 0 0,0 0 0,0-1 0,0-2 0,0 0 0,0-2 0,0 2 0,0-1 0,1 1 0,0-2 0,2 2 0,0-3 0,-1 4 0,-1-3 0,-1 2 0,0 1 0,0-1 0,0 3 0,0-1 0,0 2 0,0-2 0,0-1 0,0 0 0,0-1 0,2 3 0,-1-2 0,1 0 0,-1 1 0,0-1 0,0 2 0,0-1 0,2-2 0,-2 0 0,1-1 0,1 0 0,-1 0 0,-1 0 0,2-1 0,-3-1 0,0 0 0,0 2 0,0-3 0,0 3 0,0-1 0,0 0 0,0 1 0,0 3 0,0-2 0,0 3 0,0-1 0,0-1 0,0 4 0,0-1 0,0-2 0,0 1 0,0-3 0,0 2 0,0-3 0,0 3 0,0-3 0,0 1 0,0-1 0,0 1 0,0 0 0,0 1 0,0 0 0,0 0 0,0 0 0,0 0 0,0 2 0,0 0 0,0-1 0,0 0 0,0 1 0,0 0 0,0 1 0,0 0 0,0 2 0,0-2 0,0 2 0,0 0 0,0 0 0,0 0 0,0 1 0,0-1 0,0 2 0,0-2 0,-2 1 0,0 0 0,1 1 0,-1-2 0,0 3 0,1 1 0,0-1 0,1 1 0,-1 0 0,0-1 0,-1 0 0,1 0 0,1 0 0,0 1 0,0-1 0,-1 0 0,0 0 0,2 2 0,1 2 0,5 1 0,7 0 0,8 0 0,6 0 0,3-1 0,0-2 0,-2-2 0,0 0 0,2-2 0,2 1 0,0 1 0,-1 0 0,-4 2 0,-2-2 0,-2 2 0,2-1 0,-4 1 0,2 0 0,0 0 0,0 2 0,1-1 0,2-1 0,0 2 0,6-1 0,3-3 0,3 1 0,-1-1 0,2 0 0,-5 1 0,3 0 0,-1 2 0,-4-2 0,2 2 0,-2-1 0,3 0 0,1 0 0,5-2 0,-3 1 0,7-1 0,-3 2 0,-1-3 0,3 1 0,-8-1 0,3-1 0,-1 1 0,-3 0 0,3-2 0,-5 0 0,1 2 0,-3-2 0,-1-1 0,0-2 0,-1-2 0,3-3 0,-4 1 0,-11 5 0,-10 4 0,-11 5 0,0 0 0,-1-2 0,0 0 0,3 0 0,6 2 0,9 1 0,8 2 0,11 2 0,-1 1 0,1 1 0,-1-1 0,-7-2 0,-2 0 0,-2 0 0,-2 0 0,-1 0 0,-3 1 0,-2-1 0,-3 1 0,0-1 0,-4 0 0,-1-1 0,0-1 0,0 0 0,-2-1 0,-1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25:09.078"/>
    </inkml:context>
    <inkml:brush xml:id="br0">
      <inkml:brushProperty name="width" value="0.05" units="cm"/>
      <inkml:brushProperty name="height" value="0.05" units="cm"/>
      <inkml:brushProperty name="color" value="#F880E7"/>
    </inkml:brush>
  </inkml:definitions>
  <inkml:trace contextRef="#ctx0" brushRef="#br0">31 1 24575,'0'13'0,"0"3"0,0 9 0,0-1 0,0 5 0,0-2 0,0-5 0,0 6 0,0-6 0,0 0 0,0-5 0,0-3 0,0 2 0,0-2 0,0 2 0,0-2 0,2 1 0,-1-2 0,0 2 0,1-3 0,-1 2 0,0-4 0,1 1 0,-1-1 0,-1-1 0,0 2 0,0-2 0,0 2 0,0 1 0,0 1 0,0-1 0,0 1 0,0 0 0,0 0 0,0-1 0,0 0 0,0 0 0,0-1 0,0 1 0,0-2 0,0-2 0,0 3 0,0-1 0,0-2 0,-1 1 0,0-1 0,0 0 0,-1 2 0,0-1 0,0-1 0,0 3 0,0 0 0,0-1 0,-1 2 0,0-2 0,-2 0 0,1 1 0,-1-1 0,3 7 0,1 2 0,1 7 0,0 2 0,0 1 0,0 0 0,0-1 0,0-3 0,0-3 0,0-2 0,1-3 0,2-3 0,0-3 0,0-4 0,-1 2 0,0-2 0,1 1 0,-1 0 0,0 1 0,-1 0 0,1-1 0,0 4 0,0-2 0,-1 2 0,1-1 0,-2 0 0,0 3 0,0-2 0,0 3 0,0-3 0,0 2 0,0-1 0,0 2 0,0-2 0,0 2 0,0-3 0,0 0 0,0-2 0,0-1 0,0 1 0,0-1 0,0 2 0,0 2 0,0-1 0,0 1 0,0 0 0,0-1 0,0-1 0,0-1 0,0-1 0,0 1 0,0-2 0,0 2 0,0-1 0,0 1 0,0 0 0,0 1 0,0 0 0,0 0 0,0 1 0,0 0 0,0 2 0,0-2 0,0 0 0,0-1 0,0-3 0,0 3 0,0-3 0,0 1 0,0 0 0,0-1 0,0-1 0,0 1 0,0 1 0,0-3 0,0 1 0,0-2 0,0 1 0,0-1 0,0-2 0,0 1 0,0 0 0,0 1 0,0-1 0,0 2 0,0-2 0,0 1 0,-1-1 0,0 0 0,-1 0 0,1 1 0,1-1 0,0 0 0,0 1 0,-1 0 0,0-1 0,-1 2 0,1-3 0,1 1 0,0 1 0,0 0 0,0 0 0,-1-1 0,0 0 0,0-1 0,0 1 0,0 1 0,0 0 0,0 0 0,-1 1 0,0 1 0,0-1 0,-1 1 0,0-2 0,1-1 0,1-1 0,-1 1 0,1-3 0,1 1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25:17.862"/>
    </inkml:context>
    <inkml:brush xml:id="br0">
      <inkml:brushProperty name="width" value="0.05" units="cm"/>
      <inkml:brushProperty name="height" value="0.05" units="cm"/>
      <inkml:brushProperty name="color" value="#F880E7"/>
    </inkml:brush>
  </inkml:definitions>
  <inkml:trace contextRef="#ctx0" brushRef="#br0">1 51 24575,'23'0'0,"4"0"0,14 0 0,4 0-9831,15 0 8341,19 0 1490,21 0 823,-38 0 0,4 0-823,3 0 0,5 0 0,9 0 0,2 0 326,4 0 1,3 0-327,8 0 0,-1 0-479,-30 0 0,1 0 1,-2 0 478,1 1 0,-2 1 0,0 0 0,23 3 0,-1 1 0,-6 1 0,-1 1 0,-13 1 0,-2 1 0,-10-2 0,-3 1 332,-1 0 0,-1 0-332,29 10 0,-4-1 0,-3 0 1137,-20-2-1137,-8-3 1695,-16-4-1695,-11-2 6696,-4-2-6696,-3-2 266,-2-2-266,0 0 0,-2-1 0,1-1 0,-1-2 0,0-4 0,-2 0 0,-4 1 0,-3 2 0,-4 4 0,1 0 0,5 0 0,12 0 0,11 0 0,15 0 0,5 0 0,5 0 0,8 0 0,-1 0 0,15 0 0,-1 0 0,2 0 0,5 0 0,-3 2 0,6 2 0,2 1 0,-7 0 0,-5-2 0,-2 1 0,1 1 0,4 3 0,-5 0 0,3 0 0,-9 1 0,-2-1 0,-2 0 0,-9 0 0,1 0 0,-3-2 0,0-2 0,-2-2 0,3 1 0,-2-1 0,-1 0 0,0 0 0,-8-2 0,-1 0 0,-3 0 0,-3 0 0,-8 0 0,-3 0 0,-1 0 0,-1-2 0,-4 0 0,-6-1 0,-6 0 0,-3 3 0,-3 0 0,1-1 0,-1-1 0,2 1 0,8 0 0,15 1 0,14-4 0,24-2 0,13-3 0,19-2-561,-38 6 1,1 0 560,3 1 0,1 0 0,1 2 0,1-1 0,1 2 0,0 0 0,-5 1 0,-3 0 0,38 0-407,-4 0 407,-2 0 0,-3 0 0,-1 0 0,-17 0 0,-6 0 0,1 0 0,-7 0 1098,-6 0-1098,-6 0 430,-5 0-430,-6 0 0,-1 0 0,-4 0 0,-3 0 0,-1 0 0,-4 0 0,0 0 0,0 0 0,-4 0 0,1 0 0,-2 0 0,1 0 0,1 0 0,1 0 0,0 0 0,0 0 0,2 0 0,1 0 0,1 0 0,2 0 0,-1 0 0,-1 0 0,3 0 0,1 0 0,1 0 0,3 0 0,0 0 0,-1 0 0,0 0 0,-4-1 0,-6 0 0,-5-1 0,-8 1 0,-8 0 0,2 1 0,-4 0 0,5 0 0,-1 0 0,0 0 0,2 0 0,13 0 0,0-3 0,10 0 0,-9 0 0,-1 0 0,-3 2 0,-2 0 0,1-1 0,-1-1 0,0 2 0,1-1 0,3 0 0,2-1 0,2 0 0,4-1 0,1 2 0,1-1 0,1 0 0,0 0 0,2-2 0,-2 2 0,-2 0 0,2 0 0,-6 2 0,3-1 0,-1 1 0,-1-2 0,-1 2 0,-2-1 0,-2 1 0,0 1 0,0-2 0,0 1 0,2-1 0,1 1 0,1 0 0,0-1 0,2-1 0,-2 0 0,2 0 0,0-1 0,-1 1 0,1-1 0,0 0 0,0 1 0,0-1 0,1 1 0,0 0 0,-2-1 0,2 0 0,-1 0 0,-2 1 0,0-1 0,0 1 0,-1 2 0,0-2 0,1 2 0,0-1 0,1-1 0,0 2 0,2-1 0,0-1 0,0 2 0,-3-1 0,-3 1 0,2 0 0,1-1 0,0 1 0,1-2 0,-1 2 0,-1-1 0,-1 1 0,-1 0 0,-1 1 0,1 0 0,2 0 0,0 0 0,1 0 0,0 0 0,0 0 0,3 0 0,1 0 0,-2 0 0,-2 0 0,0 0 0,-1 0 0,1 0 0,2 0 0,0 0 0,2 0 0,0 0 0,0 0 0,2-1 0,-2-3 0,-1-2 0,-1 0 0,-2 2 0,0 2 0,3 2 0,2 0 0,5-1 0,4 1 0,-6 0 0,-2 0 0,-3 0 0,-2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25:17.872"/>
    </inkml:context>
    <inkml:brush xml:id="br0">
      <inkml:brushProperty name="width" value="0.05" units="cm"/>
      <inkml:brushProperty name="height" value="0.05" units="cm"/>
      <inkml:brushProperty name="color" value="#F880E7"/>
    </inkml:brush>
  </inkml:definitions>
  <inkml:trace contextRef="#ctx0" brushRef="#br0">8 1527 24575,'0'1'0,"0"8"0,0 0 0,0 1 0,0 1 0,0-1 0,0 0 0,0-1 0,0-2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25:20.3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228 1638 24575,'0'-9'0,"0"-1"0,0-2 0,0-8 0,0-16 0,0 2 0,0-48 0,1 42 0,3-26 0,5 37 0,6 2 0,2 4 0,0 1 0,1 9 0,1 0 0,-1 1 0,0 2 0,-1 4 0,-3 1 0,0 2 0,0-1 0,1 1 0,2 0 0,2 1 0,0-1 0,-1 2 0,-2 1 0,1 0 0,-5 0 0,-6 0 0,-2 0 0</inkml:trace>
  <inkml:trace contextRef="#ctx0" brushRef="#br0" timeOffset="1295">1 818 24575,'18'-18'0,"5"-3"0,8-4 0,3-1 0,8-1 0,-3 6 0,2 7 0,1 5 0,-7 3 0,1 3 0,-7 1 0,-7 2 0,-4 0 0,-6 0 0,-1 0 0,-4 0 0,-1 1 0,0 2 0,-3 4 0,-2 3 0,0 7 0,-1-2 0,-1 3 0,-2-2 0,-3 0 0,-1 0 0,-1-3 0,0-2 0,-2 0 0,2-4 0,1 0 0,1-3 0,1 1 0,4-3 0,7-2 0,9-2 0,6-2 0,2 1 0,0 1 0,-1 2 0,-2 0 0,-4 0 0,-1 0 0,-3-1 0,-2 1 0,-3 0 0,-1 1 0,-4 3 0,-1 4 0,-1 3 0,0 4 0,-1 1 0,-3 5 0,-2-2 0,-4-1 0,-3 1 0,-1-1 0,1-3 0,2 0 0,1-6 0,1 0 0,-1-1 0,1-4 0,5-1 0,0-1 0</inkml:trace>
  <inkml:trace contextRef="#ctx0" brushRef="#br0" timeOffset="2229">686 527 24575,'14'-4'0,"6"-2"0,0-3 0,5 0 0,-3 0 0,1 1 0,0 1 0,-1 0 0,-2 1 0,-4 1 0,-2 3 0,-5 1 0,-1 1 0,-3 0 0,-2 0 0,-1 0 0</inkml:trace>
  <inkml:trace contextRef="#ctx0" brushRef="#br0" timeOffset="3583">810 482 24575,'0'33'0,"0"-4"0,0-11 0,0 0 0,0-1 0,0-3 0,0-2 0,0-2 0,0-5 0,0 0 0,0-2 0,3-6 0,8-7 0,11-12 0,9-4 0,7-1 0,4 0 0,-1 6 0,1 3 0,-3 6 0,-5 8 0,-5 2 0,-3 2 0,-7 0 0,0 3 0,-2 0 0,-2 7 0,-3 1 0,-4 1 0,0 4 0,-1 1 0,-2-1 0,-1 3 0,-2-1 0,-2-1 0,-2 3 0,-4 0 0,-4-2 0,-3-1 0,-1-3 0,-1-2 0,-3-3 0,2-1 0,0-2 0,-2 0 0,4-1 0,0-1 0,0-1 0,-2-1 0,1 0 0,1 1 0,-2 0 0,-2 1 0,3-1 0,2-1 0,0 0 0,1 0 0,3-1 0,2-1 0,4 0 0,1 0 0</inkml:trace>
  <inkml:trace contextRef="#ctx0" brushRef="#br0" timeOffset="4908">1345 272 24575,'0'13'0,"0"0"0,0 3 0,-2 1 0,1 1 0,-1-2 0,1-2 0,1 0 0,0 2 0,0-3 0,0 1 0,0 0 0,0-1 0,-1 0 0,0-1 0,-1-2 0,0-1 0,2-1 0,0-1 0,3-4 0,3-4 0,5-4 0,6-5 0,3 0 0,3-1 0,0 0 0,2 0 0,-3-1 0,-1 3 0,-2-1 0,-4 1 0,-2 1 0,-2 0 0,-2-2 0,-2 1 0,0 0 0,-2 1 0,0 1 0,0 1 0,-1 1 0,-2 0 0,-1-1 0,-1 0 0,-1-3 0,-3 1 0,-4-3 0,-4 1 0,-1 2 0,-1-1 0,-2 1 0,-1 3 0,0 3 0,0 0 0,-1 1 0,-1 1 0,-3 0 0,2 0 0,2 0 0,-1 0 0,2 1 0,5 1 0,1 1 0,2 2 0,3 0 0,0-1 0,2-1 0,2-1 0,1 0 0</inkml:trace>
  <inkml:trace contextRef="#ctx0" brushRef="#br0" timeOffset="6403">1676 47 24575,'0'8'0,"0"1"0,0-3 0,0 3 0,0 2 0,0 6 0,0 2 0,0-3 0,0 0 0,0-5 0,0 0 0,0 2 0,0-5 0,0 2 0,0-4 0,0-1 0,0 0 0,0 0 0,1 1 0,1-1 0,2-2 0,1 1 0,0-2 0,0 0 0,-1-1 0,1-1 0,0 0 0,-1 0 0,0 0 0,1 0 0,0 0 0,0 0 0,0 0 0,0 0 0,0 0 0,0 0 0,0-1 0,0-3 0,3 0 0,1-4 0,1-2 0,-1 1 0,1-2 0,0 2 0,-2 2 0,-1 0 0,-3 0 0,1 4 0,-1-1 0,-1 1 0,0 0 0,0-1 0,-2-1 0,1-2 0,-1 0 0,-1 2 0,0-3 0,0-1 0,0-1 0,0-4 0,0 1 0,-2-3 0,-2 4 0,-2-1 0,-2 2 0,0 2 0,2 1 0,1 3 0,-1 1 0,1 2 0,-3 0 0,-2 2 0,-1-1 0,-4 1 0,1 1 0,-5 5 0,-2 3 0,0 3 0,0 2 0,3-2 0,2-1 0,3-3 0,2-1 0,0-1 0,2-2 0,4-2 0,2-1 0</inkml:trace>
  <inkml:trace contextRef="#ctx0" brushRef="#br0" timeOffset="8563">234 1667 24575,'0'11'0,"0"2"0,0-4 0,0 4 0,0-3 0,0 0 0,0-1 0,0-4 0,0 1 0,0-1 0,0 0 0,0 1 0,0-3 0,0 2 0,0 0 0,0 0 0,0 0 0,0 0 0,0-1 0,0 0 0,0 1 0,0-1 0,0 1 0,0 0 0,0 0 0,0-2 0,0-1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20:12:16.73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57 1561 24575,'0'-12'0,"0"2"0,0-1 0,0-1 0,0-1 0,0-1 0,0 1 0,0-2 0,0 2 0,0 1 0,0-1 0,0 4 0,0 1 0,0 0 0,0 2 0,0-3 0,0 2 0,0-2 0,0-1 0,0 2 0,0-2 0,0 1 0,0-1 0,0-2 0,0 4 0,0-2 0,0 1 0,0 1 0,0-2 0,0 2 0,0-2 0,0 2 0,-1 1 0,-2 0 0,2-1 0,0 2 0,1-1 0,0-2 0,0 1 0,0 1 0,0-1 0,0 1 0,0-2 0,0 1 0,0 1 0,0-4 0,0 3 0,0-1 0,0 0 0,0-1 0,0-1 0,0 2 0,0-2 0,0 3 0,0 1 0,0-5 0,0 2 0,0-2 0,0-1 0,0 2 0,-1-1 0,-1 2 0,1-1 0,0 1 0,-1 1 0,1 2 0,0-1 0,0 0 0,1 2 0,0 1 0,0 0 0,0 0 0,0-1 0,0 3 0,0-2 0,0-1 0,-1 0 0,0 0 0,0 0 0,-1 0 0,2 0 0,0 0 0,0-1 0,0 1 0,0 0 0,-2 1 0,1-2 0,-1-2 0,1 2 0,1 0 0,0-1 0,0 1 0,0 1 0,-1-1 0,-1 1 0,1 0 0,0-1 0,1 1 0,0-1 0,0 0 0,0-1 0,0 0 0,0 1 0,0-1 0,0-2 0,0 2 0,0 0 0,0-1 0,0 1 0,0-2 0,-1 3 0,-1-4 0,1 2 0,0 2 0,1-1 0,-1-1 0,-1 4 0,1-2 0,-1-1 0,2 0 0,-2 0 0,1 2 0,0 2 0,1-1 0,-1-1 0,1 1 0,0 0 0,0 0 0,0 1 0,0-1 0,-1-1 0,0 1 0,0 0 0,-1 1 0,2 0 0,0-1 0,0-1 0,0 2 0,0 0 0,0-5 0,0-2 0,0 1 0,0 0 0,0 3 0,0-3 0,0 2 0,0 2 0,0-3 0,1 3 0,1 0 0,-1-1 0,0 1 0,0 1 0,0 1 0,1 2 0,-1-1 0,-1-2 0,2 0 0,-1 0 0,1-3 0,-1 0 0,1 2 0,0-1 0,0-1 0,-1 1 0,1 1 0,-2 2 0,0-2 0,0-1 0,0 0 0,0 2 0,1 2 0,0 1 0,-3 7 0,-1-1 0,-4 6 0,1-5 0,-1 0 0,2-2 0,5-1 0,7-1 0,8 1 0,9-2 0,8 1 0,2 2 0,8 3 0,6 1 0,1-4 0,4-1 0,-2 0 0,7 0 0,-7 0 0,-3 0 0,-2-2 0,-6 0 0,2 0 0,2 0 0,-1 0 0,2 0 0,-2 0 0,-1 0 0,-5 0 0,3 0 0,1 0 0,-1 0 0,-1 0 0,-3 0 0,-1 0 0,-5 0 0,2 0 0,0 0 0,-2 0 0,-2-2 0,-4 1 0,-1-3 0,-1 1 0,-2 2 0,2-1 0,-1 0 0,1 1 0,0-2 0,-2 3 0,-2-1 0,1-1 0,-1 0 0,-1 1 0,-1 1 0,1 0 0,-1-2 0,0 1 0,1-1 0,-2 0 0,0 0 0,-2 2 0,-2-1 0,0 0 0,-2 0 0,0 0 0,-2 0 0,1-1 0,1 2 0,2-2 0,0 1 0,1-2 0,-1 2 0,0-3 0,0 0 0,0 3 0,2-1 0,0 0 0,2 0 0,1 0 0,-2 0 0,0 1 0,0-2 0,0 1 0,0 0 0,4-1 0,2 0 0,1 2 0,5-1 0,3 0 0,1 1 0,2 0 0,-2 0 0,-4-1 0,0 0 0,-3 1 0,-4 0 0,1 1 0,-5-1 0,1-1 0,2-2 0,2-1 0,0-2 0,-1 3 0,-2 2 0,-1 2 0,-1 0 0,0 0 0,3 0 0,1 0 0,1 0 0,2 0 0,0 0 0,-2 0 0,-1 0 0,-1 0 0,-1 0 0,0 0 0,0 0 0,-1 0 0,3 0 0,-1 0 0,0-1 0,1-1 0,-4 0 0,1 0 0,-2 1 0,-1-1 0,1 1 0,0 1 0,2-1 0,0 0 0,1-1 0,2 1 0,2 1 0,0 0 0,2-2 0,2 0 0,-1 0 0,4-1 0,2 1 0,1 0 0,1-1 0,-4 1 0,-3-2 0,-3 1 0,0 1 0,-2 1 0,-3 0 0,-1 0 0,-3-1 0,0 1 0,1-1 0,-1 1 0,1-1 0,2 1 0,1-2 0,3 0 0,1-1 0,0 0 0,1-1 0,0 1 0,-3 1 0,-6-1 0,-2 1 0,-3 2 0,-2-1 0,0 0 0,0-1 0,2-3 0,5-2 0,5-2 0,6-2 0,-2-2 0,-7 5 0,-8 3 0,-8 3 0,-1 0 0,0 1 0,-1-2 0,1 3 0,0-3 0,2 1 0,2 1 0,3 1 0,0 0 0,1 1 0,0 0 0,0 0 0,2 0 0,0 1 0,1 1 0,1 0 0,-1 0 0,1 1 0,-1-1 0,1 0 0,0 3 0,-2-2 0,2 1 0,-2-1 0,1 0 0,0-1 0,-1 0 0,-1 0 0,-1 0 0,-1 1 0,1-2 0,1 2 0,-2-2 0,1 1 0,-1 0 0,0-1 0,0 0 0,0 0 0,0 1 0,0-2 0,0 0 0,0 0 0,1 1 0,-1 0 0,0-1 0,0 1 0,0-1 0,0 0 0,-1 0 0,-1 0 0,1 0 0,1 0 0,0 0 0,1 0 0,2 0 0,1 0 0,1 0 0,2 0 0,0 0 0,0 0 0,2 0 0,-1 0 0,0 0 0,0 0 0,-2 0 0,0 0 0,-2 0 0,3-1 0,0 1 0,2-2 0,-1 1 0,-3 1 0,0 0 0,-2-1 0,-2 0 0,2 0 0,-1 0 0,0-1 0,-1 1 0,0 1 0,1 0 0,1 0 0,0 0 0,1 0 0,0 0 0,-2 0 0,4 0 0,-2 0 0,1 1 0,1 2 0,0 0 0,1 0 0,-2 0 0,0 0 0,1 1 0,1 0 0,0 1 0,0 0 0,0 0 0,2 1 0,1 0 0,0 0 0,-1-2 0,0 1 0,-2-2 0,-2 0 0,-2 0 0,-1-1 0,-1 1 0,0-2 0,1 0 0,-2 0 0,0-1 0,0 1 0,0-1 0,1 0 0,0 0 0,2 0 0,2 0 0,2 0 0,0 0 0,3 0 0,-4-1 0,-2-1 0,-5-1 0,-4-1 0,-1 0 0,0 2 0,3 0 0,3 2 0,4 0 0,2 0 0,-2 0 0,0 0 0,0 0 0,2 0 0,-1 0 0,-2 0 0,-2 0 0,-1 0 0,-1 0 0,1 0 0,-1 0 0,1 0 0,0 0 0,0 0 0,-1 0 0,2 0 0,2 0 0,2 0 0,1 0 0,-2 0 0,1 0 0,-3 0 0,1 0 0,1 0 0,-3 0 0,-1 0 0,0 0 0,0 0 0,0 0 0,0 0 0,-1 0 0,0 0 0,1-1 0,-1 0 0,2 0 0,0 0 0,1 0 0,-1 1 0,-1 0 0,1 0 0,-2 0 0,0-1 0,0-1 0,2 2 0,3-1 0,2 1 0,3-3 0,2 0 0,0 0 0,-2 0 0,-1 3 0,-1 0 0,-1 0 0,-2 0 0,-1 0 0,-1 0 0,0 0 0,0 0 0,-1-1 0,2 0 0,1 0 0,0-1 0,2 2 0,0 0 0,1 0 0,3 0 0,-2 0 0,4 0 0,1-2 0,-2 1 0,0-1 0,0 1 0,-2 1 0,0 0 0,-1 0 0,1 0 0,0 0 0,1 0 0,4-1 0,0 0 0,3-1 0,-4 0 0,0-1 0,-2 2 0,-2-1 0,-2 1 0,-1 0 0,1-2 0,0-1 0,4 1 0,-3-3 0,-4 1 0,-7 0 0,0 3 0,5 1 0,6 0 0,2 1 0,2 1 0,1 1 0,1 3 0,0 2 0,2 0 0,0 0 0,-2 3 0,0-3 0,-2 0 0,0 1 0,0-2 0,-1-1 0,1 0 0,0-1 0,-1-1 0,-1-1 0,-2 0 0,1 0 0,-3-1 0,-1-1 0,-1 0 0,0 1 0,0 0 0,1 1 0,1 3 0,3-1 0,0 1 0,0 1 0,0-1 0,-1 1 0,-1 0 0,-3-1 0,-2-2 0,-2-1 0,0 0 0,0-1 0,-1 0 0,0 1 0,0-1 0,1 0 0,4-1 0,0 0 0,1 0 0,0 0 0,-2 0 0,-3 0 0,-1 0 0,1 0 0,-1 0 0,1 0 0,1 0 0,2 0 0,1 0 0,2 0 0,1 0 0,0 0 0,1 0 0,0 1 0,-3 1 0,1-1 0,-2 1 0,1 0 0,1 0 0,-1-1 0,2 1 0,-1-1 0,-1 1 0,2 0 0,-1-1 0,-1 2 0,-1-2 0,0 0 0,-1 1 0,1-1 0,-1 0 0,-3 0 0,0 1 0,0-2 0,-1 0 0,2 0 0,2 0 0,3 0 0,2 0 0,1 0 0,2 1 0,-3 0 0,2 1 0,-2-2 0,3 1 0,1 2 0,-1-1 0,3 1 0,-1-1 0,-2 1 0,0-2 0,0 1 0,2-1 0,-3 0 0,-2 0 0,-1 0 0,-1 1 0,0-2 0,0 0 0,0 0 0,1 1 0,1 1 0,-1 1 0,1-2 0,0-1 0,-3 0 0,1 0 0,2 0 0,0 0 0,1 0 0,2 0 0,-1 0 0,4 0 0,-2 0 0,1 0 0,-3 0 0,-3 0 0,2 0 0,-1 0 0,3 0 0,0 0 0,-2 0 0,1 0 0,0 0 0,1-1 0,1-1 0,-2 0 0,-1 1 0,0 0 0,-2 1 0,1 0 0,-2 0 0,-1 0 0,0 0 0,-2 0 0,0 0 0,1 0 0,-2 0 0,0 0 0,0 0 0,1 0 0,0 0 0,0 0 0,0 0 0,-1 0 0,0 0 0,-1 0 0,1 0 0,-1 0 0,0 0 0,0 0 0,-1 0 0,1 0 0,3 0 0,3 0 0,4 0 0,12 0 0,7 0 0,2 0 0,-4 0 0,-10 0 0,-3 0 0,-4 0 0,3 0 0,-1 0 0,1 0 0,0 0 0,3 0 0,-2 0 0,-1 0 0,-1 0 0,-2 0 0,2 1 0,0 1 0,0 2 0,0 1 0,-1-2 0,0 0 0,-1 1 0,-2-1 0,-2 0 0,-3-1 0,-1 0 0,1 0 0,-1-1 0,0-1 0,0 1 0,0 0 0,1 1 0,-2 0 0,1-2 0,-1 0 0,-2 0 0,0 0 0,-1 1 0,-1 0 0,1 0 0,-1 0 0,1-2 0,-1-1 0,-2-2 0,-1-1 0,0 0 0,0 1 0,0-1 0,0 0 0,-1 2 0,0-2 0,0 3 0,-2 6 0,1-1 0,-1 4 0,1-3 0,0 0 0,1 2 0,0 0 0,-2 3 0,0-2 0,1 0 0,0-1 0,1 0 0,-1-1 0,2 2 0,-1-1 0,-1 0 0,1 0 0,0 0 0,1-2 0,-2 2 0,1 0 0,-1 1 0,-1-1 0,2-2 0,0-1 0,-1 2 0,0 0 0,1 1 0,0-2 0,0 1 0,0-1 0,0 0 0,0 0 0,0-1 0,1 1 0,0 2 0,0 1 0,0 3 0,0-1 0,0 1 0,0-3 0,0 2 0,0 0 0,0-4 0,0 2 0,0-2 0,0 0 0,0 0 0,0 0 0,0-2 0,0 1 0,0 1 0,0-1 0,0 1 0,0 1 0,-1-2 0,-1 0 0,1 1 0,-1 2 0,2 5 0,0 1 0,0 4 0,0-2 0,0 1 0,0 0 0,0 0 0,0-4 0,0 2 0,0-3 0,0-1 0,0-2 0,0-1 0,0-2 0,0 1 0,0-1 0,0 0 0,2-1 0,-1-1 0,0 0 0,0 2 0,-1 1 0,1 1 0,0 3 0,1-3 0,-1 1 0,-1 2 0,0-3 0,0 1 0,0-1 0,0 0 0,0-2 0,0 0 0,0 0 0,0-1 0,0 0 0,0 1 0,0 0 0,0 1 0,0 0 0,0 0 0,0-1 0,0 2 0,0-4 0,0-1 0,0 0 0,0 3 0,1 2 0,1 2 0,0 0 0,1-1 0,-1-1 0,1 1 0,-2-3 0,1 1 0,-2-1 0,0-1 0,1 3 0,0 0 0,1-2 0,-1 2 0,0-2 0,0 1 0,0-1 0,0-2 0,-1 2 0,1-1 0,0 1 0,0 0 0,0-1 0,0 1 0,1 0 0,-1 0 0,1 0 0,-1-1 0,2 2 0,-1 0 0,0 1 0,1-1 0,-1 0 0,1 2 0,-2-2 0,1 0 0,0 1 0,-1 1 0,0-2 0,-1 2 0,0-3 0,1 2 0,0 0 0,1 0 0,-1 0 0,-1 0 0,0 2 0,0-1 0,0 0 0,0 1 0,0 0 0,0 0 0,0 0 0,0 0 0,0 1 0,0-1 0,0 1 0,0-1 0,0-1 0,0 3 0,0-3 0,0-1 0,0 2 0,0 0 0,0 0 0,0 0 0,0 0 0,0 1 0,0 1 0,0 0 0,0 1 0,0-2 0,0 3 0,0-3 0,0 0 0,0-1 0,0-1 0,0-1 0,0-1 0,-1 0 0,0-2 0,-1 0 0,-1-1 0,2 0 0,0 0 0,1 3 0,0 3 0,0 1 0,0 1 0,0-1 0,0 0 0,0-2 0,0-2 0,0 0 0,0-1 0,0 1 0,0-1 0,0 0 0,0 3 0,0-2 0,0-1 0,0 0 0,0 0 0,0 1 0,0-2 0,0 0 0,0 1 0,0-1 0,0 1 0,0 0 0,-3-1 0,0 0 0,0-1 0,1-1 0,2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6T10:49:27.88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35 1125 24575,'0'-6'0,"0"1"0,0 0 0,0 0 0,0-1 0,0 0 0,0 2 0,0-3 0,0 1 0,0 0 0,0 0 0,0-1 0,0 1 0,0 0 0,0-5 0,0-1 0,-1-2 0,0 4 0,-1 1 0,1 0 0,0 3 0,0-2 0,-1 0 0,1 0 0,0 1 0,-1 0 0,1 0 0,-2 1 0,2 0 0,-1 0 0,0 1 0,1-1 0,-1-1 0,1 2 0,-2-2 0,1 1 0,1 1 0,-1-1 0,2 0 0,0 1 0,0-1 0,0 0 0,0-1 0,0-2 0,0-1 0,0-3 0,0 0 0,0 3 0,0-1 0,0 4 0,0-1 0,0-2 0,0 3 0,0-2 0,0-1 0,0 3 0,0-1 0,0-1 0,0 3 0,0-2 0,0 0 0,0 1 0,0 1 0,0 0 0,0 0 0,0 0 0,0 0 0,0 0 0,0 1 0,0 0 0,0-2 0,0 1 0,0 1 0,0 0 0,0-2 0,0 1 0,0 0 0,0 0 0,0-2 0,0 0 0,0 1 0,0 1 0,0-1 0,0 1 0,0-1 0,0-4 0,0 3 0,0-1 0,0-2 0,0 3 0,0-2 0,0-1 0,0-4 0,0-2 0,0-4 0,1 4 0,0 2 0,0 4 0,0 0 0,0 1 0,-1-3 0,1 2 0,0-3 0,0 2 0,0-2 0,2 3 0,-2 0 0,1 0 0,-1 2 0,1-1 0,-1 1 0,1 0 0,0 1 0,0 0 0,-1 0 0,1 2 0,-1-3 0,1 1 0,-1 0 0,2-1 0,-2 1 0,1 2 0,-1-2 0,0 3 0,1 0 0,-1-1 0,1 0 0,-2-1 0,1 3 0,0 1 0,0-1 0,2-1 0,-3 1 0,3-1 0,-1 3 0,1 0 0,0-1 0,-2-1 0,1 0 0,-1-1 0,1-1 0,-1 1 0,1 0 0,0 0 0,1 0 0,1 2 0,0 3 0,1 0 0,-1 5 0,2-2 0,1 0 0,1-1 0,-1 0 0,-1-1 0,0-1 0,0 1 0,-1 0 0,2 1 0,3-1 0,1-1 0,4 0 0,4 0 0,7 0 0,5 0 0,2 0 0,0 0 0,-3 0 0,-4 0 0,-4 0 0,-4 0 0,1 0 0,2 0 0,-3 0 0,-2 0 0,-1 0 0,-3 0 0,-1 0 0,-1 0 0,-2 0 0,0 0 0,-2 0 0,0 0 0,0 0 0,1 0 0,1 0 0,-1 0 0,0 0 0,-1 0 0,1 0 0,2 0 0,-1 0 0,-2 0 0,7 0 0,11 0 0,13 0 0,13 0 0,-6 0 0,-4 0 0,-7 0 0,-7 0 0,2 0 0,0 0 0,-1 0 0,-1 0 0,-1 0 0,-3 0 0,-1 0 0,-1 0 0,-1 0 0,0-1 0,-1 0 0,-1-1 0,-1 0 0,-3 2 0,1-1 0,-3 1 0,1 0 0,0 0 0,1 0 0,2 0 0,-1 0 0,0 0 0,-1 0 0,0 0 0,-1 0 0,1 0 0,0 0 0,2 0 0,3-4 0,-4 0 0,-5 0 0,-3 1 0,-3 3 0,5 0 0,2-1 0,8 1 0,5 0 0,1 0 0,0 0 0,-4 0 0,-1 0 0,1 0 0,-1 0 0,-1 0 0,0 0 0,1 0 0,-2 0 0,-1 0 0,-1 0 0,-2 0 0,-1 0 0,0 0 0,-2-1 0,2 0 0,-1 0 0,-1-1 0,2 2 0,0 0 0,1-1 0,-1 1 0,-1 0 0,1 0 0,0 0 0,0 0 0,1 0 0,2 0 0,2 0 0,0 0 0,1 0 0,3 0 0,3 0 0,3 2 0,1 0 0,-5-1 0,-3 1 0,-3-2 0,-2 0 0,-1 1 0,3-1 0,1 2 0,3 0 0,4-2 0,3 1 0,6-1 0,4 0 0,5 0 0,-1 0 0,-13 0 0,-13 0 0,-15 0 0,-7-1 0,1-1 0,0-1 0,0 1 0,1-1 0,-3 1 0,3 0 0,4 1 0,4 0 0,5 1 0,-1 1 0,0 0 0,2 1 0,2 1 0,2 0 0,0 1 0,3-1 0,-1 0 0,-1 1 0,2-1 0,-1-1 0,-1 0 0,0-1 0,-1-1 0,-2 0 0,0 0 0,1 0 0,1 0 0,-2 0 0,3 0 0,0 0 0,1 0 0,6 0 0,5 0 0,3 0 0,1 0 0,-3 0 0,-7 0 0,-6 0 0,-4 0 0,1 0 0,-1 0 0,0 0 0,0 0 0,0 1 0,0 0 0,0 0 0,-2 1 0,4 1 0,-2 0 0,0-1 0,1 0 0,-2-1 0,0-1 0,-1 1 0,-3-1 0,0 0 0,-1 0 0,3 0 0,4 0 0,5 0 0,-1 0 0,-1 0 0,1 0 0,-4 0 0,12 0 0,7 0 0,1 0 0,0 0 0,-8 0 0,-3 1 0,0 0 0,-2 1 0,-1 0 0,-2-1 0,-1 1 0,-1-1 0,-2 0 0,1-1 0,-2 1 0,-1 1 0,-2 1 0,1-2 0,-1-1 0,0 2 0,-1-1 0,-1 1 0,1-1 0,3-1 0,6 0 0,5 0 0,-1 0 0,-3 0 0,-4 0 0,-1 0 0,1 0 0,1 0 0,2 0 0,0 0 0,2 0 0,-1 0 0,2 0 0,1 0 0,-1 0 0,-2 0 0,-2 0 0,-1 0 0,-3 0 0,-2 0 0,2 0 0,-3 0 0,0 0 0,-1 0 0,0 0 0,-1 0 0,-1 0 0,1 0 0,0 0 0,0 0 0,-1 0 0,2 0 0,0-1 0,-1-1 0,1 1 0,-1 0 0,0 0 0,-1 1 0,2 0 0,-1 0 0,0 0 0,-1 0 0,0 0 0,1 0 0,0 0 0,0 0 0,0 0 0,0 0 0,0 0 0,-1 0 0,1 0 0,-1 0 0,1 0 0,7 0 0,-1 0 0,1 0 0,-1 0 0,-4 0 0,1 0 0,2 0 0,1 0 0,0 0 0,-4 0 0,-1 0 0,-1 0 0,0 0 0,1 0 0,1 0 0,-1 0 0,1 0 0,0 0 0,0 0 0,0 0 0,-1 0 0,0 0 0,0 0 0,-1 0 0,0 0 0,-1 0 0,1 0 0,1 0 0,0 0 0,1 0 0,-1 0 0,-1 0 0,0 0 0,0 0 0,0 0 0,-1 0 0,1 0 0,0 0 0,0 0 0,0 0 0,1 0 0,3 0 0,4 0 0,3 0 0,2 0 0,-1 0 0,-1 0 0,-2 0 0,-1 0 0,-1 0 0,-2 0 0,0 0 0,0 0 0,-1 0 0,0-3 0,4-1 0,0 2 0,3-1 0,0 3 0,-3 0 0,-4 0 0,-1 0 0,-1 0 0,1 0 0,-2 0 0,-1 0 0,1 0 0,1 0 0,-1 0 0,0 0 0,-1 0 0,2 0 0,1 0 0,3 0 0,4 0 0,4 0 0,-2 0 0,-3 0 0,-4-1 0,1-2 0,5-3 0,1 1 0,-4 0 0,-5 4 0,-2 0 0,1 1 0,2 0 0,-3 0 0,0 0 0,-3 0 0,1 0 0,-1 0 0,1 0 0,0 0 0,0 0 0,1 0 0,1 0 0,0 0 0,1 0 0,2 0 0,0 0 0,-1 0 0,2 0 0,0 0 0,0 0 0,0 0 0,0 0 0,-2 0 0,1 0 0,-2 0 0,0 0 0,0 1 0,0 0 0,-1 0 0,-1 0 0,0 0 0,0-1 0,-1 0 0,1 0 0,1 0 0,3 0 0,0 0 0,1 0 0,-3 0 0,-1 0 0,-1 0 0,-1 0 0,0 0 0,0 3 0,1-2 0,0 0 0,-1 0 0,1-1 0,2 0 0,3 0 0,0 0 0,-3 0 0,0 0 0,1 0 0,-1 1 0,0 0 0,1 0 0,-2 1 0,1-1 0,0 0 0,0 0 0,0 1 0,-2-2 0,-1 1 0,2-1 0,1 0 0,-1 1 0,2 0 0,-1 1 0,1 0 0,0 0 0,-1-1 0,-1 1 0,0 0 0,-1 0 0,1-1 0,-3-1 0,2 0 0,0 0 0,-1 0 0,1 0 0,0 0 0,0 0 0,-1 0 0,-1 0 0,0 0 0,4 0 0,4 0 0,1 0 0,2 0 0,-4 0 0,0 0 0,0 0 0,5 0 0,4 0 0,4 0 0,7 0 0,-8 0 0,-3 0 0,-7 0 0,-4 0 0,1 0 0,0 0 0,-2 0 0,-1 0 0,0 0 0,-1 0 0,0 0 0,0 0 0,0 0 0,0 0 0,0 0 0,0 0 0,-1 0 0,1 0 0,0 0 0,-1 0 0,1 0 0,2 0 0,-1 0 0,1 0 0,-1 0 0,-1 0 0,0 0 0,-1 0 0,0 0 0,1 0 0,-1 0 0,0 0 0,1 0 0,0 0 0,-1 0 0,1 0 0,-1 0 0,1 0 0,0 0 0,0 0 0,0 0 0,0 0 0,-1 0 0,1 0 0,0 0 0,-1 0 0,1 0 0,-1-1 0,-1 0 0,1-1 0,0 1 0,0 1 0,0 0 0,0 0 0,0 0 0,0 0 0,0 0 0,2 0 0,-2 0 0,1 0 0,-2 0 0,2 0 0,0 0 0,-1 0 0,3 0 0,-1 0 0,2 0 0,3 0 0,-2 0 0,1 0 0,0 0 0,-3 0 0,-1 0 0,-2 0 0,1 0 0,0 0 0,-1 0 0,1 0 0,0 0 0,1 0 0,-2 0 0,0 0 0,1 0 0,-1 0 0,0 0 0,0 0 0,0 0 0,0 0 0,1 0 0,-1 0 0,-1 0 0,1 0 0,0 0 0,0 0 0,0 0 0,1 0 0,0 0 0,-1 0 0,1 0 0,0 0 0,-1 0 0,1 0 0,-1 0 0,1 0 0,-1 0 0,0 0 0,0 0 0,1 0 0,0 0 0,-1 0 0,0 0 0,-1 0 0,2 0 0,-1 0 0,0 0 0,1 0 0,-1 0 0,1 0 0,-1 0 0,0 1 0,0 0 0,0 1 0,-1 0 0,1-1 0,-2 1 0,1-1 0,1-1 0,0 0 0,2 0 0,-2 1 0,0 1 0,0-1 0,0 1 0,0-2 0,0 0 0,0 0 0,0 0 0,0 0 0,0 0 0,0 0 0,0 0 0,1 0 0,-1 0 0,0 0 0,1 0 0,-1 0 0,1 0 0,-2 0 0,-3 0 0,-1 2 0,-1 2 0,1 3 0,0-2 0,0 0 0,-2-1 0,0 0 0,1 2 0,0-1 0,0 0 0,1-1 0,0 2 0,0 1 0,0-1 0,0-2 0,0 1 0,0 1 0,0 0 0,0 0 0,0 1 0,0 1 0,0-1 0,0-1 0,0 0 0,0 0 0,0 0 0,0-1 0,0 1 0,0 0 0,0-1 0,0 2 0,0 0 0,0 1 0,0 3 0,0-2 0,0 0 0,0 0 0,0-2 0,0-1 0,0-1 0,0 2 0,0-1 0,0-2 0,0 2 0,0 1 0,0 0 0,0-2 0,0 1 0,0-1 0,0 1 0,0-1 0,0 1 0,0-1 0,0 3 0,0-1 0,0 1 0,0 0 0,0 0 0,0 0 0,0-1 0,0-1 0,0 0 0,0-1 0,1 1 0,1 0 0,0 4 0,3 1 0,-1 5 0,1-4 0,0 1 0,-1-4 0,-2 1 0,1-3 0,-1-1 0,0-1 0,0 0 0,0 1 0,-1-1 0,1 1 0,-1 0 0,1 1 0,-1-2 0,1 1 0,-2 0 0,1 0 0,1-1 0,-1 1 0,0 0 0,0-1 0,-1 2 0,0-2 0,0 0 0,0 1 0,0 0 0,0 1 0,0 1 0,0 1 0,0 1 0,0-1 0,0-2 0,0 1 0,0-1 0,0-2 0,0 0 0,0 2 0,0-1 0,0-1 0,0 0 0,0 1 0,0 1 0,0 0 0,0-1 0,0 2 0,0 2 0,0-3 0,0 0 0,0 1 0,0-3 0,0 1 0,0-1 0,0 1 0,0-1 0,0 0 0,0 0 0,0 0 0,0 0 0,0 1 0,0-1 0,0 1 0,0 0 0,0 0 0,0 1 0,0 0 0,0 1 0,0 3 0,0-1 0,0 2 0,0-1 0,0-2 0,0-1 0,0-2 0,0-2 0,0 1 0,0 1 0,0-1 0,0-1 0,0 2 0,0 0 0,0-3 0,0 1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6T10:50:32.22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44 2044 24575,'0'-6'0,"0"1"0,0 0 0,0 1 0,0-2 0,0-1 0,0 2 0,0-2 0,0 3 0,0-1 0,0 1 0,0 0 0,0 1 0,0-3 0,0 2 0,0 0 0,0-1 0,0 1 0,0-2 0,0-1 0,0-2 0,0-1 0,0 0 0,0 4 0,0-2 0,0 2 0,0-1 0,0 1 0,0 0 0,0 0 0,0-1 0,0 2 0,0 1 0,0-1 0,0 0 0,0-1 0,0 2 0,0 0 0,0 0 0,0 0 0,0-2 0,0-1 0,0 0 0,0 1 0,0-1 0,0 0 0,-1 0 0,0 0 0,0-1 0,0 0 0,1 1 0,0 1 0,-1 2 0,0-2 0,0-1 0,-1-1 0,1-1 0,-1-5 0,-1 1 0,1 1 0,1 3 0,-1 4 0,1 2 0,0-2 0,0 1 0,0 0 0,0 0 0,-1 1 0,0-1 0,0 1 0,1 0 0,0-1 0,0 1 0,0 0 0,0 0 0,0 0 0,0 0 0,0 1 0,0 0 0,0 0 0,0 0 0,0-2 0,1 1 0,-1-1 0,1 0 0,0-2 0,0 0 0,0 0 0,0 0 0,0-1 0,0 0 0,0-2 0,1 0 0,0 0 0,2-1 0,-1 1 0,1 0 0,-1 1 0,0 0 0,0 1 0,0 1 0,0-2 0,-1 3 0,0-1 0,1-1 0,-1-1 0,1 3 0,-1-2 0,1 1 0,0 0 0,-1-1 0,0 3 0,-1-2 0,2 1 0,1-3 0,0 0 0,1 0 0,2-4 0,1 3 0,-2-1 0,-2 0 0,-4 1 0,-1 0 0,0-2 0,0 1 0,-1-2 0,2 2 0,1 3 0,-1 1 0,0 0 0,-1-2 0,0 1 0,0-1 0,0-3 0,0 2 0,0 2 0,1 0 0,0 2 0,0-1 0,0 0 0,0 2 0,-1-2 0,1 1 0,1-1 0,-1 1 0,-1 0 0,1-2 0,0 1 0,0 0 0,0 0 0,1 1 0,0-3 0,0 1 0,0 0 0,0 1 0,0-2 0,0 2 0,0-1 0,0 0 0,0 1 0,0-1 0,0 1 0,0-1 0,0-1 0,0 0 0,0-3 0,0-2 0,0-3 0,0-1 0,0 2 0,0 4 0,0 1 0,0 1 0,0 2 0,0 0 0,0 0 0,0-1 0,0 1 0,0 0 0,0 0 0,0-1 0,0 3 0,0-2 0,0 0 0,0-1 0,0 2 0,0-2 0,0-1 0,0 1 0,0 1 0,0-1 0,0-1 0,0 1 0,0 1 0,0-2 0,0 1 0,0 1 0,0 0 0,0-2 0,1 0 0,1 0 0,1-2 0,-1 0 0,1 0 0,0 0 0,-1 2 0,0-1 0,0 4 0,-1 0 0,0 1 0,-1 2 0,0-2 0,0 2 0,0-1 0,0-1 0,0 1 0,0 0 0,0 2 0,1 0 0,0-1 0,0 0 0,-1-1 0,0 1 0,0-1 0,-1 1 0,0 0 0,0 1 0,1-1 0,-1 0 0,1-1 0,0 1 0,0-1 0,0 1 0,0-1 0,0 1 0,0-1 0,0 1 0,0-1 0,0 1 0,0-1 0,0 0 0,-1 1 0,0-2 0,-1 0 0,1-1 0,-1 0 0,1 1 0,-1 1 0,1 1 0,0-2 0,0 2 0,0 0 0,1 0 0,0 0 0,-1 0 0,0 0 0,0-1 0,1 0 0,0 1 0,0 0 0,0-1 0,0-1 0,0 1 0,-1-1 0,0 1 0,0 0 0,0 1 0,1 0 0,0-1 0,0 1 0,0-1 0,0 1 0,0-2 0,-1 1 0,0 1 0,0-1 0,0-1 0,1-1 0,0-1 0,0 3 0,0 1 0,0-1 0,0 1 0,0-1 0,0 0 0,0 0 0,0-1 0,0 2 0,0-2 0,0 0 0,0 1 0,0-3 0,0 1 0,0 0 0,0 1 0,0 0 0,0 0 0,0 1 0,0 1 0,0-1 0,0 2 0,0-2 0,0 0 0,0 0 0,0 0 0,1 1 0,0 0 0,0-1 0,0-1 0,-1-1 0,0-1 0,0 3 0,0 1 0,0-1 0,0 1 0,0 0 0,1 0 0,0-1 0,0 0 0,-1 1 0,0-1 0,1 0 0,0 0 0,0 0 0,-1-3 0,1 2 0,-1 0 0,0 1 0,0 1 0,0-1 0,0-1 0,0 2 0,0-1 0,0 1 0,1-1 0,0 1 0,-1 0 0,0-1 0,0 0 0,0 0 0,0 0 0,1-1 0,0 0 0,1 0 0,-1-1 0,0 1 0,0 2 0,-1-1 0,1 1 0,-1-1 0,1 2 0,0-2 0,-1 1 0,1-1 0,0 1 0,-1-1 0,1 1 0,-1 0 0,0 0 0,0-1 0,0 1 0,0 0 0,0 0 0,0 1 0,0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6T10:50:36.72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2126 0 24575,'-11'0'0,"-1"0"0,0 0 0,-1 0 0,1 0 0,2 0 0,-4 0 0,0 0 0,-5 0 0,-2 0 0,1 0 0,-3 0 0,2 0 0,-2 0 0,2 0 0,0 0 0,0 0 0,-1 0 0,0 0 0,1 0 0,0 1 0,1 0 0,1 1 0,1 0 0,1 0 0,2 0 0,1 1 0,0-1 0,-1 0 0,-1 1 0,0-1 0,1 2 0,-2-1 0,0-1 0,-2 2 0,1-2 0,-3 1 0,-2-1 0,-1 0 0,-2 0 0,7-1 0,5 0 0,4-1 0,2 0 0,-1 0 0,0 0 0,-1 0 0,0 0 0,0 0 0,-2 0 0,1 0 0,1 0 0,-2 0 0,1 0 0,0 0 0,0 0 0,1 0 0,0 0 0,0 0 0,1 0 0,-1 0 0,2 0 0,0 0 0,0 0 0,0 0 0,0 0 0,0 0 0,0 0 0,0 0 0,0 0 0,0 0 0,1 0 0,-2 0 0,1 1 0,-3 0 0,-2 0 0,-5 0 0,-2-1 0,0 0 0,2 0 0,2 0 0,-1 0 0,-1 0 0,0 0 0,0 0 0,1 0 0,0 0 0,1 0 0,0 0 0,2 1 0,0 0 0,2 0 0,1-1 0,1 1 0,1-1 0,0 0 0,1 0 0,0 0 0,0 0 0,1 1 0,0 0 0,0 0 0,1-1 0,-1 0 0,0 0 0,0 0 0,-2 0 0,0 1 0,-3 0 0,-2 0 0,-2 0 0,0-1 0,2 0 0,3 1 0,3-1 0,0 1 0,0 0 0,1-1 0,-1 1 0,0-1 0,0 1 0,-1 0 0,1 0 0,1-1 0,0 0 0,0 0 0,0 1 0,0 0 0,0 0 0,0 0 0,1-1 0,0 0 0,0 0 0,1 0 0,0 1 0,-1 0 0,0 0 0,0 0 0,1-1 0,1 0 0,0 1 0,-1-1 0,0 1 0,1 0 0,-1-1 0,1 0 0,1 0 0,-2 1 0,0 0 0,-1 0 0,0 0 0,1-1 0,1 0 0,1 0 0,-1 1 0,0-1 0,1 1 0,-1 0 0,1-1 0,-1 0 0,0 0 0,1 0 0,-2 0 0,1 0 0,-1 0 0,1 0 0,-1 0 0,0 0 0,0 0 0,-1 0 0,0 0 0,1 0 0,-1 0 0,0 0 0,0 0 0,0 0 0,1 0 0,0 0 0,0 0 0,-1 0 0,0 0 0,2 0 0,-3 0 0,0 0 0,-3 1 0,-1 0 0,2 0 0,1 0 0,3-1 0,0 1 0,1-1 0,0 1 0,0-1 0,0 1 0,0-1 0,1 0 0,-1 0 0,0 0 0,1 0 0,0 1 0,0 0 0,0 0 0,0-1 0,-1 0 0,1 0 0,-1 0 0,1 0 0,0 0 0,-1 0 0,1 0 0,-2 0 0,0 0 0,0 0 0,0 0 0,1 0 0,1 0 0,0 0 0,0 0 0,-1 0 0,1 0 0,-1 0 0,1 0 0,0 0 0,0 0 0,0 0 0,0 0 0,-1 0 0,2 0 0,0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6T10:53:42.059"/>
    </inkml:context>
    <inkml:brush xml:id="br0">
      <inkml:brushProperty name="width" value="0.05" units="cm"/>
      <inkml:brushProperty name="height" value="0.05" units="cm"/>
      <inkml:brushProperty name="color" value="#F880E7"/>
    </inkml:brush>
  </inkml:definitions>
  <inkml:trace contextRef="#ctx0" brushRef="#br0">166 2406 24575,'0'-5'0,"0"0"0,0 3 0,0-1 0,0 0 0,0-1 0,1 0 0,0 1 0,0-1 0,-1 1 0,0 1 0,0-2 0,0 2 0,0-1 0,0 0 0,0 0 0,0 0 0,0-1 0,0 1 0,0 0 0,0 0 0,0 0 0,0-1 0,0 1 0,0 0 0,0 0 0,0-1 0,0 0 0,0 0 0,0 0 0,0 0 0,0-2 0,0-1 0,0-3 0,0 1 0,-1 1 0,0-1 0,-1 2 0,1 3 0,-1 0 0,1-2 0,-1 2 0,0-1 0,1 1 0,-1 0 0,0-2 0,1 0 0,-1 0 0,0 1 0,0 0 0,-1 0 0,1-2 0,-1 1 0,1 1 0,-1-1 0,0-2 0,-1 2 0,1 0 0,-1 0 0,1-3 0,-1 1 0,2 1 0,-1-2 0,0 2 0,0 1 0,0-4 0,0 0 0,0-2 0,-2-5 0,-2-4 0,-1-1 0,1 2 0,2 5 0,1 3 0,2 1 0,-1 2 0,0-2 0,0 0 0,0 0 0,1 0 0,-1 0 0,0 0 0,1 0 0,-1 0 0,0 1 0,1-1 0,-1 1 0,1 0 0,0 1 0,0 1 0,1-2 0,-1 1 0,1 2 0,0-3 0,0 2 0,1-1 0,-1 0 0,0 0 0,0 2 0,0-1 0,0 2 0,0 1 0,0 0 0,1 0 0,0-2 0,0 2 0,0 0 0,0 1 0,0 3 0,0-2 0,0-2 0,0 1 0,0-1 0,0-1 0,0 0 0,0-3 0,0 0 0,0 1 0,0-2 0,0 1 0,0-2 0,0-4 0,0-1 0,0 2 0,0 1 0,0 5 0,0 3 0,1-1 0,0-1 0,0 1 0,1 1 0,-1-1 0,1 0 0,0 0 0,-1 1 0,1 1 0,0 1 0,0-1 0,-1 0 0,0-4 0,-1-1 0,3-10 0,0 2 0,2-1 0,0 1 0,-2 8 0,1 0 0,-1 0 0,0 0 0,-1 2 0,-1-1 0,0 1 0,0 0 0,1-2 0,-2 1 0,1 2 0,0 0 0,0 0 0,0 1 0,-1-1 0,0-1 0,1 0 0,0-3 0,0 0 0,-1 1 0,0 0 0,0 1 0,0 0 0,0-1 0,0 2 0,0-1 0,0 1 0,0 0 0,0-1 0,1 2 0,0 0 0,0-1 0,-1 2 0,0-2 0,0 1 0,0 0 0,0 0 0,0 0 0,0 1 0,0-1 0,1 2 0,0 1 0,1 0 0,-1-2 0,0-1 0,-1-3 0,0-1 0,0 2 0,0-1 0,2 2 0,-1 2 0,1 0 0,-1-2 0,0 0 0,0 1 0,0-2 0,0-2 0,-1 2 0,1-4 0,-1 0 0,1-2 0,0 2 0,0 3 0,-1-2 0,0 2 0,0 1 0,0-1 0,0 3 0,0-1 0,0 1 0,0-1 0,0 2 0,0-1 0,0-1 0,0-1 0,0 3 0,0 0 0,0 1 0,0 0 0,0-2 0,0 2 0,0 1 0,0 0 0,0-1 0,0 0 0,0-1 0,0 1 0,0-1 0,0 1 0,0-3 0,0-1 0,0 1 0,0 1 0,0 2 0,0 0 0,0 1 0,0 0 0,0-1 0,0 2 0,0-1 0,0 0 0,0 0 0,0 0 0,0 0 0,0 0 0,0 0 0,0-1 0,0 0 0,0-1 0,0 0 0,0 0 0,0 1 0,0 1 0,0-1 0,0 0 0,0-1 0,0 0 0,0-1 0,0 1 0,0 1 0,0 0 0,0 1 0,0 0 0,0 0 0,0 0 0,0 0 0,0 0 0,0 0 0,0 0 0,0-1 0,0-1 0,1 1 0,0-2 0,-1 1 0,1 1 0,0 0 0,0 2 0,0-2 0,0 2 0,0-3 0,0 2 0,-1 0 0,0-1 0,0 1 0,0 0 0,0 0 0,1 1 0,0-1 0,0-2 0,-1 2 0,1 0 0,0-1 0,0 1 0,0 0 0,0 1 0,0-1 0,-1-2 0,1 2 0,-1 0 0,1 0 0,0 0 0,0-1 0,-1 2 0,1-1 0,0-2 0,-1 1 0,0-1 0,0 2 0,0 0 0,0 0 0,0-1 0,0 0 0,0 0 0,0 1 0,0 0 0,0 0 0,-1 0 0,0 2 0,1-1 0,-1-2 0,1-4 0,0-3 0,0-3 0,0 0 0,0-2 0,0 4 0,0 1 0,0 2 0,0 5 0,0-1 0,0-2 0,0 3 0,0-1 0,0 2 0,0-1 0,0 0 0,0 0 0,0-1 0,0 1 0,0 0 0,0-1 0,0 0 0,0-1 0,0 0 0,0 1 0,0-1 0,0 0 0,0 0 0,0 1 0,0 0 0,0 0 0,0 0 0,0-1 0,0 1 0,0 2 0,0-2 0,0 0 0,0 0 0,0-1 0,0 2 0,0 0 0,0 1 0,0-1 0,0-1 0,0-2 0,0 3 0,0-1 0,0 1 0,0 2 0,0-2 0,0-1 0,0 2 0,0-1 0,0 0 0,0 1 0,0 0 0,0 0 0,0-1 0,0 1 0,0-1 0,0 1 0,0 0 0,0-1 0,0 1 0,0-1 0,0-1 0,0 1 0,0-1 0,0 2 0,0 0 0,0 1 0,0-1 0,0 0 0,0 0 0,0-1 0,0 0 0,0 2 0,0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6:16:36.6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6:16:44.66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1005 24575,'0'-12'0,"0"0"0,0-1 0,0-1 0,0-5 0,0 0 0,0-2 0,0 2 0,0 2 0,0 3 0,0 2 0,0 1 0,0 3 0,0-2 0,0 1 0,0 2 0,0 1 0,0-1 0,0 0 0,0 1 0,0 0 0,0 2 0,0-2 0,0-1 0,0 1 0,0-1 0,1 1 0,1-1 0,1 0 0,0 1 0,-1 1 0,-1-1 0,0 2 0,0-1 0,1-1 0,-1-1 0,0-2 0,-1 0 0,1 0 0,1-2 0,0 2 0,-1 0 0,-1-2 0,1 0 0,1-1 0,1-3 0,0 1 0,1-3 0,0 0 0,-2 0 0,1 1 0,-1 3 0,0 3 0,1 1 0,-2 0 0,0 0 0,2-1 0,-1 2 0,0 1 0,-1-2 0,-1 0 0,0-1 0,0 0 0,0 1 0,0 1 0,0-2 0,0 1 0,0-2 0,0 1 0,0-1 0,1 0 0,0 1 0,1 0 0,-1 1 0,-1 2 0,0 2 0,0-2 0,0-2 0,0 0 0,0 2 0,0-1 0,0 1 0,0 1 0,0-1 0,0 2 0,0-1 0,0 0 0,0 0 0,0 0 0,0-1 0,0 2 0,0-1 0,0 0 0,0 0 0,0-1 0,0 2 0,0-2 0,0 0 0,0 1 0,0-1 0,0 2 0,0 0 0,0-1 0,0-1 0,0 1 0,0-1 0,0 1 0,0-1 0,0 1 0,0 0 0,0 0 0,0 1 0,0-1 0,0-1 0,0 3 0,0 4 0,0 5 0,2 0 0,7 2 0,5-3 0,9 2 0,3 1 0,0-1 0,-1 0 0,-1-2 0,2 1 0,1 1 0,2 0 0,-1-1 0,1 0 0,3-1 0,6 0 0,4 1 0,6-2 0,-3-1 0,-3-2 0,0 0 0,-3 0 0,5 0 0,-3 0 0,-2 0 0,-2 0 0,-3 0 0,0 0 0,0 0 0,-2 0 0,1 2 0,-3 1 0,-2 1 0,1 2 0,-1-2 0,4 0 0,-3 0 0,1 1 0,-1-1 0,-1 1 0,-1-1 0,-3 0 0,0-1 0,-2-1 0,3 1 0,0-1 0,-1 2 0,0 0 0,1-2 0,4 2 0,-1-1 0,1-1 0,-6 0 0,-9-3 0,-8-1 0,-9 0 0,-2 1 0,4 1 0,8 0 0,10-1 0,7 1 0,5 0 0,4 0 0,1 0 0,-1 0 0,-2 0 0,-2 0 0,-2 0 0,2 0 0,-3 0 0,-1 0 0,-3 0 0,-1 2 0,-1 0 0,-3 2 0,-3-1 0,-2-1 0,2 0 0,2-1 0,4 0 0,4 1 0,2 0 0,2-2 0,3 0 0,-2 0 0,1 0 0,-2 0 0,-3 0 0,1 0 0,1 0 0,4 0 0,5 0 0,3 0 0,9 0 0,8 0 0,6 0 0,10 0 0,-5 0 0,-1 0 0,-5 0 0,-3 0 0,3 0 0,-3 0 0,-8 0 0,-6 0 0,-11 0 0,-6 0 0,-8 0 0,-7 0 0,-3 0 0,-2 0 0,-2 0 0,2 0 0,-1 0 0,0 0 0,1 0 0,0 0 0,1 0 0,2 0 0,3-1 0,1-1 0,-5 0 0,-5 1 0,-8 0 0,-2 1 0,0-4 0,0 1 0,3-1 0,10 0 0,11 4 0,14 0 0,5 0 0,2 0 0,0 0 0,4-3 0,12-2 0,2-1 0,3 2 0,-4 1 0,0 0 0,0 0 0,-3 1 0,-8 1 0,-11 1 0,-5 0 0,-5 0 0,-3 0 0,0 0 0,-3 0 0,-1 0 0,-4 0 0,0 0 0,-1 0 0,-2 0 0,0 0 0,0 0 0,1 0 0,0 0 0,3 0 0,0 0 0,3 0 0,3 0 0,2 0 0,1 0 0,2 0 0,-3 0 0,3 0 0,1 0 0,0 0 0,4 0 0,-2 0 0,1 0 0,0 0 0,-1 0 0,-4 0 0,-4 0 0,-3 0 0,-3 0 0,-1 0 0,-4 0 0,0 0 0,0 0 0,-1 0 0,5 0 0,1 0 0,0 0 0,1 0 0,-6 0 0,-5 0 0,-4-2 0,2-2 0,9 0 0,10 0 0,7 4 0,8 0 0,2 0 0,1 0 0,3 0 0,-4 0 0,4 0 0,-1 0 0,-5 2 0,-2 0 0,0 1 0,-5-2 0,-1-1 0,4 0 0,3 0 0,5 2 0,-2 0 0,0 0 0,-4 2 0,-6-2 0,-3 1 0,-8-2 0,-3 1 0,-2-1 0,2 0 0,2 0 0,2 1 0,1 1 0,3-1 0,1-1 0,1 0 0,-1-1 0,-2 0 0,-5 0 0,-2 0 0,-3 1 0,-2 0 0,0 1 0,-2-1 0,0 0 0,0-1 0,-1 0 0,0 0 0,-1-3 0,5-1 0,10 0 0,3 1 0,9 2 0,3 1 0,0 0 0,0 2 0,-5 0 0,-3 1 0,-6 1 0,0 0 0,-3 0 0,1 0 0,-2 0 0,3 0 0,4-2 0,4 2 0,6 2 0,3-1 0,1 1 0,-4 1 0,-2-2 0,-3-2 0,-5 0 0,-4-2 0,-2 1 0,-1 0 0,4-1 0,2-1 0,-1 1 0,-1 1 0,-1 0 0,-2 0 0,0-2 0,-3 0 0,-3 0 0,-3 1 0,-1 0 0,-1 1 0,0 0 0,0-2 0,-1 0 0,1 0 0,0 0 0,-1 0 0,1 0 0,3 0 0,2 0 0,4 0 0,4 0 0,4 0 0,1 0 0,0 0 0,1 0 0,2 0 0,-2 0 0,-2 0 0,-6 0 0,-3 0 0,1 1 0,-1 1 0,0 0 0,-2 0 0,-3-2 0,-1 0 0,-2 0 0,0 0 0,-1 1 0,0 1 0,-1-1 0,1 1 0,-2-1 0,3 1 0,-1-1 0,0 1 0,1-2 0,1 0 0,0 0 0,0 0 0,-1 0 0,-1 1 0,-1 0 0,1 1 0,1 0 0,-1-2 0,1 0 0,-1 0 0,0 0 0,0 0 0,-1 0 0,1 0 0,-2 0 0,2 0 0,-1 0 0,1 0 0,0 0 0,-1 0 0,1 0 0,0 0 0,-1 0 0,1 0 0,-1 0 0,-2 0 0,0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6:18:21.65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70 3668 24575,'0'-27'0,"0"1"0,0-8 0,0-10 0,0-29 0,0 10 0,0-15 0,0 28 0,0 1 0,0 6 0,0 2 0,0 3 0,0-3 0,0 0 0,0-2 0,0-5 0,-2 3 0,0-6 0,-3-2 0,-1 5 0,1 3 0,0 9 0,0 5 0,1 0 0,0 1 0,0-3 0,1-1 0,0-1 0,0 1 0,0-1 0,1 4 0,0 3 0,2 5 0,0 2 0,0-1 0,0-3 0,0-5 0,0-1 0,0-2 0,0-2 0,0 1 0,0 2 0,0 5 0,0 4 0,0 5 0,0 1 0,0 3 0,0 0 0,0 0 0,0 3 0,0 0 0,0 1 0,0-3 0,0 0 0,0 0 0,0 1 0,0 1 0,0-2 0,0-2 0,0-1 0,0-3 0,0-2 0,0 0 0,0-2 0,0 1 0,0 1 0,0 1 0,0 0 0,0 0 0,0-5 0,0-2 0,0-4 0,0-2 0,0-2 0,0 1 0,0 1 0,0 0 0,0 5 0,0 3 0,0 1 0,0 0 0,0-5 0,0-1 0,0 0 0,0-2 0,0-2 0,0 0 0,0 4 0,0 2 0,0 4 0,0 2 0,-2-1 0,1-1 0,-1 0 0,0 1 0,1 1 0,1 2 0,0 2 0,0 2 0,0 0 0,0-1 0,0 0 0,0 0 0,0 2 0,0 1 0,0 3 0,0 2 0,0 2 0,0 1 0,0-2 0,0-2 0,0-3 0,0-2 0,0-3 0,0 2 0,0-3 0,0 2 0,0 3 0,0 1 0,0 2 0,0 1 0,0 0 0,0 2 0,0 1 0,0 0 0,0 1 0,0 0 0,0 0 0,0 1 0,0-1 0,1 2 0,1-1 0,-1 0 0,1 0 0,-2 0 0,0-1 0,0 0 0,0 0 0,0 0 0,0 0 0,0-3 0,0 2 0,0-3 0,0 2 0,0 1 0,0-2 0,0 1 0,0-2 0,0 2 0,0 2 0,0-1 0,0 0 0,0 2 0,0-2 0,0 0 0,0 0 0,0-1 0,0 1 0,0 1 0,0-2 0,0 2 0,0 0 0,0-3 0,-2 0 0,1 2 0,-1-1 0,0 0 0,2 1 0,0-3 0,0 2 0,0-2 0,0 0 0,0 1 0,0 0 0,0 3 0,0 0 0,0 0 0,0 1 0,0 0 0,0-2 0,0 0 0,0 2 0,0-2 0,0 1 0,0 0 0,0 1 0,0-1 0,0 0 0,0-1 0,-1 2 0,1 2 0,-1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7:49:14.97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43 940 24575,'0'-7'0,"0"0"0,0 1 0,0 0 0,0 0 0,0 0 0,0-1 0,0 1 0,0-2 0,0 2 0,0-2 0,0 0 0,0 2 0,0-1 0,0 0 0,0 1 0,0 0 0,0-1 0,0 2 0,0-1 0,0 1 0,0 0 0,0-2 0,0 0 0,0 1 0,0 0 0,0-1 0,0 2 0,0-1 0,0 0 0,0 0 0,0 1 0,0-1 0,0 0 0,0 1 0,0-1 0,0 0 0,0 1 0,0-1 0,0-1 0,0 2 0,0-1 0,0 0 0,0 0 0,0 1 0,0-2 0,0 2 0,0 0 0,0-1 0,0 0 0,0 0 0,0-1 0,0 0 0,0 2 0,0-1 0,0 0 0,0 1 0,0-1 0,0 0 0,0 0 0,0-1 0,0 0 0,0 2 0,0-2 0,0 1 0,0 0 0,0 1 0,0-1 0,0 0 0,0 1 0,0-1 0,0 0 0,0 2 0,0-2 0,0-1 0,0 2 0,0-1 0,0 0 0,0 0 0,-1 2 0,0-1 0,-1 1 0,1-1 0,1 0 0,0-1 0,-1 0 0,-1 2 0,1-2 0,-1 0 0,2 0 0,0 0 0,0-3 0,-1 0 0,-1-1 0,0 2 0,1 1 0,1 1 0,0 0 0,-2-1 0,1 0 0,-1 2 0,0-1 0,0 0 0,0 1 0,1-1 0,0-1 0,1 2 0,0-2 0,0 1 0,-1 2 0,-1 0 0,1 0 0,-1-1 0,2-1 0,0 1 0,0-2 0,0 0 0,0 2 0,0-1 0,0 0 0,0 1 0,-2-1 0,1-1 0,-1 2 0,1-1 0,0 0 0,1 1 0,0-1 0,0 0 0,2 2 0,1 2 0,4 0 0,7 0 0,1 0 0,5 0 0,3 0 0,0 2 0,3 0 0,0 0 0,0 0 0,-3 0 0,-6 0 0,1 0 0,-1 0 0,0 0 0,-2 0 0,-4 0 0,0 0 0,-2 0 0,-1 0 0,0 0 0,-2 0 0,0 0 0,-1-1 0,1-1 0,0 1 0,0-2 0,1 1 0,-2 1 0,-1-1 0,0 0 0,0 0 0,1 1 0,1 0 0,0 1 0,1 0 0,-1-2 0,0 1 0,1-1 0,1 0 0,3 2 0,0-1 0,3-1 0,0 1 0,1-2 0,-1 1 0,-1 0 0,-2-1 0,1 0 0,-1 1 0,3 0 0,1 1 0,4-1 0,6-2 0,6 1 0,6 0 0,10-1 0,1 0 0,2-4 0,-2-1 0,-1-1 0,4 2 0,-3 3 0,4 3 0,10 4 0,10 2 0,16 4 0,-5 2 0,-3-3 0,0 2 0,-4-5 0,-4 0 0,-13-2 0,-14-2 0,-10 0 0,-6 0 0,-2 0 0,3 0 0,4 0 0,5 0 0,7-4 0,5-2 0,4-7 0,3-1 0,-10 4 0,-3-1 0,-5 4 0,0 0 0,6 0 0,-4 3 0,-4 0 0,-5 1 0,-7 3 0,1-1 0,-3 1 0,-2 0 0,-2 0 0,1 0 0,4 0 0,4 0 0,4 0 0,1 0 0,2 0 0,2 0 0,-7 0 0,1 0 0,0 0 0,0 0 0,14 0 0,4 4 0,0 2 0,2 3 0,-3 3 0,8-1 0,11 1 0,5 1 0,3-2 0,-7-1 0,3-1 0,-5-2 0,-1-2 0,-3-1 0,-11 2 0,-7-3 0,-7 3 0,-2-1 0,-5 0 0,-6-1 0,-4-2 0,-3 2 0,-4-2 0,0 0 0,-1-1 0,-2-1 0,2 0 0,3 0 0,5 0 0,3 0 0,4 2 0,4 0 0,4 1 0,6-3 0,-2 1 0,-1-1 0,-2 0 0,-2 0 0,9 0 0,-1 0 0,0 0 0,5 0 0,-4 0 0,-3 0 0,-2 0 0,-6 0 0,6 0 0,5 0 0,1 0 0,-4 0 0,-1 1 0,-3 4 0,6-1 0,2 3 0,5-4 0,-4 0 0,-4-1 0,1-2 0,1 2 0,1 0 0,-2 2 0,-7 0 0,-5-2 0,-5 2 0,-3-2 0,-4 0 0,-5 0 0,-4-1 0,-1 1 0,-1 0 0,3-1 0,0-1 0,-1 0 0,1 0 0,-2 0 0,-1 0 0,0 0 0,-1 0 0,0 0 0,5 0 0,3 0 0,3 0 0,0 0 0,-1 0 0,-1 0 0,-2 0 0,-1 0 0,0 0 0,-4 0 0,-1 0 0,-1 0 0,-2 0 0,1-1 0,0 0 0,-1-2 0,0 0 0,0-1 0,0 0 0,0 1 0,1 0 0,-2 1 0,1 0 0,-1 0 0,-1-1 0,1 1 0,0 1 0,0-2 0,3 2 0,-1-1 0,-1 0 0,1 1 0,0-1 0,1 0 0,1-1 0,3 2 0,2-1 0,0 0 0,-1 1 0,-2-1 0,-1 0 0,-1 0 0,-2 2 0,0 0 0,-1 0 0,-2 0 0,0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11:24.7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0 188 24575,'15'0'0,"8"0"0,15 0 0,8 0 0,1 0 0,1 0 0,-6 2 0,2 2 0,-3 2 0,1 1 0,-1-1 0,-1 1 0,0-3 0,-5 2 0,-3-3 0,2 1 0,3 0 0,3-1 0,2 1 0,-2-1 0,0-1 0,1 0 0,-1-1 0,-1-1 0,-5 0 0,-6 0 0,-3 0 0,-4 0 0,1 0 0,-3 0 0,-2 0 0,0 0 0,1 0 0,-2 0 0,3 0 0,-2 0 0,-2 0 0,1 0 0,0 0 0,2 0 0,-1 0 0,0 0 0,-2 0 0,-2 0 0,2 0 0,-1 0 0,0 0 0,-1-1 0,1-2 0,3-3 0,-1-2 0,0-2 0,3-3 0,1-4 0,3-1 0,-1 4 0,7 6 0,3 7 0,11 1 0,6 2 0,7 0 0,2 2 0,-3 0 0,7-2 0,-5 0 0,5 1 0,-8-1 0,-9 0 0,-4 2 0,-1-1 0,4-2 0,0 3 0,0-1 0,-3-1 0,-3-1 0,-2 0 0,-3-1 0,-3 0 0,-3 0 0,-2 0 0,1 0 0,2 0 0,1 0 0,0 0 0,2 0 0,7 0 0,3 0 0,8 0 0,0 0 0,4 0 0,1 0 0,6 0 0,2 0 0,-2 0 0,1 0 0,-9 0 0,-7 0 0,-10 0 0,-10 0 0,-6 0 0,-5 0 0,-3 0 0,-1 0 0,-2 0 0,1 0 0,0 0 0,1 0 0,1-1 0,0-6 0,-1-1 0,3 0 0,4 3 0,9 5 0,7 0 0,4 0 0,3 0 0,0 0 0,-3 0 0,-3 0 0,-2 0 0,1 0 0,4 0 0,-2 0 0,1 0 0,-4 0 0,-3 0 0,-3 0 0,-3 0 0,-3 0 0,-3 0 0,-1 0 0,-2 0 0,4 0 0,-1 0 0,2 0 0,1 0 0,1-4 0,3 1 0,-1-2 0,-4 3 0,-2 2 0,-3-2 0,0 1 0,-2-1 0,-2 0 0,-2 2 0,-1 0 0,0 0 0,0 0 0,-1 0 0,0 0 0,-1-2 0,1 1 0,3-1 0,2-3 0,3 0 0,0 2 0,2 0 0,1 0 0,-1 0 0,-2-1 0,-2 2 0,-1-1 0,-1 2 0,1-2 0,-1 0 0,1 0 0,-1 0 0,1 1 0,-2 0 0,3 0 0,0 0 0,0 1 0,-2-2 0,-1 1 0,0 0 0,1 1 0,-1 0 0,1 0 0,-2-1 0,0 0 0,0 0 0,-2 1 0,-1 0 0,2-1 0,0 1 0,2 0 0,0-1 0,0 0 0,1-2 0,2 3 0,2-3 0,2-2 0,0 3 0,0-2 0,-1 2 0,3 0 0,1-1 0,0 0 0,-2 1 0,-2 0 0,-2 1 0,-2 0 0,-3 1 0,-1-1 0,-3-2 0,1 1 0,2 0 0,2 0 0,8 2 0,6 1 0,1 0 0,6 2 0,-2 0 0,2 1 0,-1 2 0,-4-1 0,3 1 0,0 1 0,-1-2 0,-2 1 0,-1-2 0,-2-1 0,-4 2 0,-2-1 0,-3-1 0,1-1 0,-1-1 0,0 0 0,0 0 0,-2 0 0,2 0 0,-3 0 0,-1 0 0,-1 0 0,0 0 0,1 0 0,0 0 0,0 0 0,1 0 0,0 0 0,0 0 0,1 2 0,-1 0 0,-1 0 0,0 0 0,-2-2 0,2 0 0,0 0 0,-1 1 0,1 1 0,0 0 0,1-1 0,0 2 0,1-2 0,1 0 0,-3-1 0,2 0 0,0 2 0,2-1 0,1 2 0,4-2 0,-1 0 0,0-1 0,1 0 0,1 0 0,2 0 0,1 0 0,-1 0 0,-1 0 0,4 0 0,4 0 0,4 0 0,1 0 0,1 0 0,-2 0 0,-3 0 0,-3 0 0,-2 0 0,-5 0 0,-3 0 0,-4 0 0,-1 0 0,0 0 0,-2 0 0,1 0 0,0 0 0,2 0 0,2 0 0,-1 0 0,-2 0 0,-1 0 0,-1 0 0,0 0 0,-1 0 0,-1 0 0,-1 0 0,1 0 0,-1 0 0,1 0 0,-2 0 0,1 0 0,-1 0 0,1 0 0,0 0 0,4 0 0,1 0 0,3 0 0,0 0 0,1 0 0,-2 0 0,-3 0 0,-1 0 0,-3 0 0,1 0 0,0 0 0,0 0 0,0 0 0,-1-2 0,2-2 0,3 1 0,4 0 0,4 3 0,5 0 0,2 0 0,0 0 0,-2 0 0,-5 0 0,-3 1 0,1 1 0,0-1 0,-4 1 0,-1-1 0,-1 1 0,2 0 0,-2-1 0,2 1 0,-1-1 0,1 1 0,0 0 0,-1 0 0,-2 0 0,0 0 0,0-1 0,-4 1 0,1-1 0,-1 2 0,0-1 0,1 1 0,-1 0 0,1-1 0,1 0 0,0-1 0,1 0 0,-1 1 0,-1-1 0,0-1 0,2 0 0,-1 0 0,0 2 0,2-1 0,-1 1 0,2 0 0,0-2 0,0 1 0,-1 0 0,0 1 0,-1 0 0,2-1 0,-1 1 0,0 0 0,1-2 0,-1 0 0,0 1 0,1 0 0,-1 1 0,-1 0 0,1 0 0,-1-2 0,-1 0 0,3 0 0,-2 0 0,1 0 0,0 0 0,-1 0 0,-1 0 0,-1 0 0,-2 0 0,2 0 0,0 0 0,1 0 0,0 0 0,-2 0 0,0 0 0,1 0 0,-1 0 0,0 0 0,0 0 0,0 0 0,0 0 0,-3 0 0,-1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11:29.26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 24575,'0'34'0,"0"-7"0,0 10 0,0-5 0,0 6 0,2 4 0,2-5 0,2 5 0,2-4 0,1-3 0,-1-4 0,-2-7 0,-2-4 0,-2-4 0,0-2 0,0 2 0,-1 1 0,0 0 0,-1 0 0,0 2 0,0 1 0,0 0 0,0 0 0,0 3 0,0-1 0,0 0 0,0 0 0,0-2 0,0 2 0,0-2 0,0-2 0,0-3 0,0-3 0,0-2 0,0-2 0,0-1 0,0-2 0,0 1 0,0 0 0,1-1 0,0-1 0,1 0 0,-1 1 0,-1 1 0,0 2 0,0 2 0,0 4 0,0 2 0,0-2 0,2 0 0,-1-2 0,1-1 0,-1 0 0,0-3 0,-1-1 0,0 0 0,0-1 0,1-1 0,0-2 0,0-1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19:40.29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9:19:40.293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3:57.515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5:07.879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5:07.88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5:07.881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6:10.378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6:10.379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2:56.874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4:49.95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4:49.953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6:24.083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6:24.084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5:49.00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5:49.004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6:48.305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6:48.306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9:05.176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9:05.177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9:44.627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9:44.628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5:43.99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45:43.999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50:05.351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50:05.352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8T00:33:58.37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8T00:33:58.377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8T00:33:58.378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8T00:33:58.379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50:44.28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50:44.287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51:12.227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51:12.228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51:12.229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7T18:51:12.230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7:43:27.33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24575,'0'0'0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7:43:28.11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8:00:53.800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2T18:23:54.926"/>
    </inkml:context>
    <inkml:brush xml:id="br0">
      <inkml:brushProperty name="width" value="0.05" units="cm"/>
      <inkml:brushProperty name="height" value="0.3" units="cm"/>
      <inkml:brushProperty name="inkEffects" value="pencil"/>
    </inkml:brush>
  </inkml:definitions>
  <inkml:trace contextRef="#ctx0" brushRef="#br0">1 0 16383,'0'0'0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4130E8-FAD3-9148-96F1-DDD6F1866C35}" name="Table1" displayName="Table1" ref="I71:R77" totalsRowShown="0">
  <autoFilter ref="I71:R77" xr:uid="{664130E8-FAD3-9148-96F1-DDD6F1866C35}"/>
  <tableColumns count="10">
    <tableColumn id="1" xr3:uid="{FD40097C-98D5-384C-8B94-0C7C9B7AFEFC}" name="Gear Speed/stage"/>
    <tableColumn id="2" xr3:uid="{48E8F49F-C764-8B4E-BAB2-55B33A72E856}" name="1"/>
    <tableColumn id="3" xr3:uid="{52F556DC-1EF1-884E-A5C8-DBFDA8D1AAD2}" name="2"/>
    <tableColumn id="4" xr3:uid="{6C9C06C0-CA99-9D41-A4F2-78F757480662}" name="3"/>
    <tableColumn id="5" xr3:uid="{B9802A8F-C7B0-C348-AADC-A54F5203DF20}" name="4"/>
    <tableColumn id="6" xr3:uid="{3A8B6F06-987F-4749-B961-C5F483EC1B23}" name="5"/>
    <tableColumn id="7" xr3:uid="{C693926F-83AF-EA41-887E-1AF991C73890}" name="FDR"/>
    <tableColumn id="8" xr3:uid="{8A2E30F7-84AF-7347-AF15-74641DAE1400}" name="Reverse"/>
    <tableColumn id="9" xr3:uid="{3905B244-7297-9F44-A5B2-86D344CDD283}" name="Sum Shaft 1">
      <calculatedColumnFormula>SUM(J72:N72)</calculatedColumnFormula>
    </tableColumn>
    <tableColumn id="10" xr3:uid="{50027B30-D7C3-6F4D-8F39-8A5CCC36D745}" name="Sum Shaft 2">
      <calculatedColumnFormula>-SUM(J72:N72,P72) + SUM(O72)</calculatedColumnFormula>
    </tableColumn>
  </tableColumns>
  <tableStyleInfo name="TableStyleLight8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hyperlink" Target="https://www.hillfoot.com/products/835m15-45-nickel-chromium-molybdenum-case-hardening-stee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hillfoot.com/products/835m15-45-nickel-chromium-molybdenum-case-hardening-stee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hillfoot.com/products/835m15-45-nickel-chromium-molybdenum-case-hardening-stee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hillfoot.com/products/835m15-45-nickel-chromium-molybdenum-case-hardening-steel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hillfoot.com/products/835m15-45-nickel-chromium-molybdenum-case-hardening-steel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hillfoot.com/products/835m15-45-nickel-chromium-molybdenum-case-hardening-steel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www.hillfoot.com/products/835m15-45-nickel-chromium-molybdenum-case-hardening-steel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www.hillfoot.com/products/835m15-45-nickel-chromium-molybdenum-case-hardening-steel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www.hillfoot.com/products/835m15-45-nickel-chromium-molybdenum-case-hardening-ste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1BB5-D828-0F4A-A4B2-0F5E8F4D543C}">
  <dimension ref="A1:BA68"/>
  <sheetViews>
    <sheetView tabSelected="1" topLeftCell="A10" zoomScale="137" workbookViewId="0">
      <selection activeCell="G22" sqref="G22"/>
    </sheetView>
  </sheetViews>
  <sheetFormatPr baseColWidth="10" defaultColWidth="11" defaultRowHeight="16" x14ac:dyDescent="0.2"/>
  <cols>
    <col min="1" max="1" width="10.83203125" style="1"/>
    <col min="2" max="2" width="16" style="8" bestFit="1" customWidth="1"/>
    <col min="4" max="11" width="20.5" customWidth="1"/>
    <col min="12" max="18" width="19" bestFit="1" customWidth="1"/>
    <col min="19" max="20" width="19" customWidth="1"/>
    <col min="21" max="21" width="28.33203125" bestFit="1" customWidth="1"/>
    <col min="22" max="28" width="28.33203125" customWidth="1"/>
    <col min="29" max="29" width="19" customWidth="1"/>
    <col min="30" max="30" width="10.83203125" style="1"/>
    <col min="31" max="31" width="16" style="9" customWidth="1"/>
    <col min="32" max="32" width="19.33203125" style="9" bestFit="1" customWidth="1"/>
    <col min="33" max="33" width="20.83203125" style="19" bestFit="1" customWidth="1"/>
    <col min="34" max="34" width="14.5" style="1" customWidth="1"/>
    <col min="35" max="35" width="10.1640625" style="1" customWidth="1"/>
    <col min="36" max="36" width="16.33203125" style="1" bestFit="1" customWidth="1"/>
    <col min="37" max="37" width="19.33203125" style="1" bestFit="1" customWidth="1"/>
    <col min="38" max="38" width="20.83203125" style="19" bestFit="1" customWidth="1"/>
    <col min="39" max="39" width="14.5" style="1" customWidth="1"/>
    <col min="40" max="40" width="10.33203125" style="1" customWidth="1"/>
    <col min="41" max="41" width="16.33203125" style="1" bestFit="1" customWidth="1"/>
    <col min="42" max="42" width="16.5" style="1" bestFit="1" customWidth="1"/>
    <col min="43" max="43" width="20.83203125" style="19" bestFit="1" customWidth="1"/>
    <col min="44" max="44" width="16" style="1" bestFit="1" customWidth="1"/>
    <col min="45" max="45" width="10.83203125" style="1"/>
    <col min="46" max="46" width="16.33203125" style="1" bestFit="1" customWidth="1"/>
    <col min="47" max="47" width="19.33203125" style="1" bestFit="1" customWidth="1"/>
    <col min="48" max="48" width="20.83203125" style="19" bestFit="1" customWidth="1"/>
    <col min="49" max="50" width="10.83203125" style="1"/>
    <col min="51" max="51" width="16.33203125" style="1" bestFit="1" customWidth="1"/>
    <col min="52" max="52" width="19.33203125" style="1" bestFit="1" customWidth="1"/>
    <col min="53" max="53" width="20.83203125" style="19" bestFit="1" customWidth="1"/>
  </cols>
  <sheetData>
    <row r="1" spans="2:53" ht="17" thickBot="1" x14ac:dyDescent="0.25">
      <c r="H1" s="2" t="s">
        <v>0</v>
      </c>
      <c r="I1" s="3" t="s">
        <v>1</v>
      </c>
      <c r="K1" s="2" t="s">
        <v>2</v>
      </c>
      <c r="L1" s="14" t="s">
        <v>3</v>
      </c>
      <c r="M1" s="14" t="s">
        <v>4</v>
      </c>
      <c r="N1" s="14" t="s">
        <v>5</v>
      </c>
      <c r="O1" s="14" t="s">
        <v>6</v>
      </c>
      <c r="P1" s="14" t="s">
        <v>7</v>
      </c>
      <c r="Q1" s="14" t="s">
        <v>8</v>
      </c>
      <c r="R1" s="3" t="s">
        <v>9</v>
      </c>
      <c r="S1" s="22"/>
      <c r="T1" s="2" t="s">
        <v>10</v>
      </c>
      <c r="U1" s="14" t="s">
        <v>11</v>
      </c>
      <c r="V1" s="14" t="s">
        <v>12</v>
      </c>
      <c r="W1" s="14" t="s">
        <v>13</v>
      </c>
      <c r="X1" s="14" t="s">
        <v>14</v>
      </c>
      <c r="Y1" s="14" t="s">
        <v>15</v>
      </c>
      <c r="Z1" s="14" t="s">
        <v>16</v>
      </c>
      <c r="AA1" s="23" t="s">
        <v>17</v>
      </c>
      <c r="AB1" s="3" t="s">
        <v>18</v>
      </c>
      <c r="AC1" s="22"/>
      <c r="AD1" s="30" t="s">
        <v>19</v>
      </c>
      <c r="AE1" s="40" t="s">
        <v>10</v>
      </c>
      <c r="AF1" s="14" t="s">
        <v>20</v>
      </c>
      <c r="AG1" s="3" t="s">
        <v>21</v>
      </c>
      <c r="AH1" s="22"/>
      <c r="AI1" s="42" t="s">
        <v>22</v>
      </c>
      <c r="AJ1" s="2" t="s">
        <v>10</v>
      </c>
      <c r="AK1" s="14" t="s">
        <v>20</v>
      </c>
      <c r="AL1" s="3" t="s">
        <v>21</v>
      </c>
      <c r="AM1" s="22"/>
      <c r="AN1" s="42" t="s">
        <v>23</v>
      </c>
      <c r="AO1" s="2" t="s">
        <v>10</v>
      </c>
      <c r="AP1" s="14" t="s">
        <v>20</v>
      </c>
      <c r="AQ1" s="3" t="s">
        <v>21</v>
      </c>
      <c r="AS1" s="42" t="s">
        <v>24</v>
      </c>
      <c r="AT1" s="2" t="s">
        <v>10</v>
      </c>
      <c r="AU1" s="14" t="s">
        <v>20</v>
      </c>
      <c r="AV1" s="3" t="s">
        <v>21</v>
      </c>
      <c r="AX1" s="42" t="s">
        <v>25</v>
      </c>
      <c r="AY1" s="2" t="s">
        <v>10</v>
      </c>
      <c r="AZ1" s="14" t="s">
        <v>20</v>
      </c>
      <c r="BA1" s="3" t="s">
        <v>21</v>
      </c>
    </row>
    <row r="2" spans="2:53" ht="17" thickBot="1" x14ac:dyDescent="0.25">
      <c r="B2" s="31" t="s">
        <v>26</v>
      </c>
      <c r="C2" s="32">
        <v>1.6E-2</v>
      </c>
      <c r="H2" s="4">
        <v>400</v>
      </c>
      <c r="I2" s="13"/>
      <c r="K2" s="15">
        <f t="shared" ref="K2:K33" si="0">10000/($H2*PI()/30)</f>
        <v>238.73241463784299</v>
      </c>
      <c r="L2" s="10"/>
      <c r="M2" s="10"/>
      <c r="N2" s="10"/>
      <c r="O2" s="10"/>
      <c r="P2" s="10"/>
      <c r="Q2" s="10"/>
      <c r="R2" s="13"/>
      <c r="S2" s="22"/>
      <c r="T2" s="4">
        <v>0</v>
      </c>
      <c r="U2" s="21"/>
      <c r="V2" s="21">
        <f>0.5*1.2*($T2*0.44704)^2*$C$3*$C$5+$C$4*9.81*($C$2*COS(0*PI()/180)+SIN(0*PI()/180))</f>
        <v>170.92944</v>
      </c>
      <c r="W2" s="21">
        <f>0.5*1.2*($T2*0.44704)^2*$C$3*$C$5+$C$4*9.81*($C$2*COS(5*PI()/180)+SIN(5*PI()/180))</f>
        <v>1101.3716456658706</v>
      </c>
      <c r="X2" s="21">
        <f>0.5*1.2*($T2*0.44704)^2*$C$3*$C$5+$C$4*9.81*($C$2*COS(10*PI()/180)+SIN(10*PI()/180))</f>
        <v>2023.4317480818418</v>
      </c>
      <c r="Y2" s="21">
        <f>0.5*1.2*($T2*0.44704)^2*$C$3*$C$5+$C$4*9.81*($C$2*COS(15*PI()/180)+SIN(15*PI()/180))</f>
        <v>2930.0923131134159</v>
      </c>
      <c r="Z2" s="21">
        <f>0.5*1.2*($T2*0.44704)^2*$C$3*$C$5+$C$4*9.81*($C$2*COS(20*PI()/180)+SIN(20*PI()/180))</f>
        <v>3814.4531064040857</v>
      </c>
      <c r="AA2" s="45">
        <f>0.5*1.2*($T2*0.44704)^2*$C$3*$C$5+$C$4*9.81*($C$2*COS(25*PI()/180)+SIN(25*PI()/180))</f>
        <v>4669.7836083252623</v>
      </c>
      <c r="AB2" s="37">
        <f>0.5*1.2*($T2*0.44704)^2*$C$3*$C$5+$C$4*9.81*($C$2*COS(30*PI()/180)+SIN(30*PI()/180))</f>
        <v>5489.5742372946479</v>
      </c>
      <c r="AC2" s="22"/>
      <c r="AD2" s="41">
        <v>9</v>
      </c>
      <c r="AE2" s="24"/>
      <c r="AF2" s="11"/>
      <c r="AG2" s="25"/>
      <c r="AI2" s="43">
        <v>6</v>
      </c>
      <c r="AJ2" s="4"/>
      <c r="AK2" s="11"/>
      <c r="AL2" s="25"/>
      <c r="AN2" s="43">
        <v>4</v>
      </c>
      <c r="AO2" s="4"/>
      <c r="AP2" s="11"/>
      <c r="AQ2" s="25"/>
      <c r="AS2" s="43">
        <v>3</v>
      </c>
      <c r="AT2" s="4"/>
      <c r="AU2" s="11"/>
      <c r="AV2" s="25"/>
      <c r="AX2" s="43">
        <v>2.4</v>
      </c>
      <c r="AY2" s="4"/>
      <c r="AZ2" s="11"/>
      <c r="BA2" s="25"/>
    </row>
    <row r="3" spans="2:53" x14ac:dyDescent="0.2">
      <c r="B3" s="33" t="s">
        <v>27</v>
      </c>
      <c r="C3" s="25">
        <v>0.32100000000000001</v>
      </c>
      <c r="H3" s="4">
        <v>500</v>
      </c>
      <c r="I3" s="13"/>
      <c r="K3" s="15">
        <f t="shared" si="0"/>
        <v>190.98593171027443</v>
      </c>
      <c r="L3" s="10"/>
      <c r="M3" s="10"/>
      <c r="N3" s="10"/>
      <c r="O3" s="10"/>
      <c r="P3" s="10"/>
      <c r="Q3" s="10"/>
      <c r="R3" s="13"/>
      <c r="S3" s="22"/>
      <c r="T3" s="4">
        <v>3</v>
      </c>
      <c r="U3" s="21">
        <f t="shared" ref="U3:U66" si="1">70000/(T3*0.44704)</f>
        <v>52195.180147936051</v>
      </c>
      <c r="V3" s="21">
        <f>0.5*1.2*($T3*0.44704)^2*$C$3*$C$5+$C$4*9.81*($C$2*COS(0*PI()/180)+SIN(0*PI()/180))</f>
        <v>171.67422345597851</v>
      </c>
      <c r="W3" s="21">
        <f t="shared" ref="W3:W66" si="2">0.5*1.2*($T3*0.44704)^2*$C$3*$C$5+$C$4*9.81*($C$2*COS(5*PI()/180)+SIN(5*PI()/180))</f>
        <v>1102.116429121849</v>
      </c>
      <c r="X3" s="21">
        <f t="shared" ref="X3:X66" si="3">0.5*1.2*($T3*0.44704)^2*$C$3*$C$5+$C$4*9.81*($C$2*COS(10*PI()/180)+SIN(10*PI()/180))</f>
        <v>2024.1765315378202</v>
      </c>
      <c r="Y3" s="21">
        <f t="shared" ref="Y3:Y66" si="4">0.5*1.2*($T3*0.44704)^2*$C$3*$C$5+$C$4*9.81*($C$2*COS(15*PI()/180)+SIN(15*PI()/180))</f>
        <v>2930.8370965693944</v>
      </c>
      <c r="Z3" s="21">
        <f t="shared" ref="Z3:Z66" si="5">0.5*1.2*($T3*0.44704)^2*$C$3*$C$5+$C$4*9.81*($C$2*COS(20*PI()/180)+SIN(20*PI()/180))</f>
        <v>3815.1978898600642</v>
      </c>
      <c r="AA3" s="45">
        <f t="shared" ref="AA3:AA66" si="6">0.5*1.2*($T3*0.44704)^2*$C$3*$C$5+$C$4*9.81*($C$2*COS(25*PI()/180)+SIN(25*PI()/180))</f>
        <v>4670.5283917812412</v>
      </c>
      <c r="AB3" s="37">
        <f t="shared" ref="AB3:AB66" si="7">0.5*1.2*($T3*0.44704)^2*$C$3*$C$5+$C$4*9.81*($C$2*COS(30*PI()/180)+SIN(30*PI()/180))</f>
        <v>5490.3190207506268</v>
      </c>
      <c r="AC3" s="22"/>
      <c r="AE3" s="4"/>
      <c r="AF3" s="11"/>
      <c r="AG3" s="25"/>
      <c r="AJ3" s="4"/>
      <c r="AK3" s="11"/>
      <c r="AL3" s="25"/>
      <c r="AO3" s="4"/>
      <c r="AP3" s="11"/>
      <c r="AQ3" s="25"/>
      <c r="AT3" s="4"/>
      <c r="AU3" s="11"/>
      <c r="AV3" s="25"/>
      <c r="AY3" s="4"/>
      <c r="AZ3" s="11"/>
      <c r="BA3" s="25"/>
    </row>
    <row r="4" spans="2:53" x14ac:dyDescent="0.2">
      <c r="B4" s="33" t="s">
        <v>28</v>
      </c>
      <c r="C4" s="25">
        <v>1089</v>
      </c>
      <c r="H4" s="4">
        <v>600</v>
      </c>
      <c r="I4" s="13"/>
      <c r="K4" s="15">
        <f t="shared" si="0"/>
        <v>159.15494309189535</v>
      </c>
      <c r="L4" s="10"/>
      <c r="M4" s="10"/>
      <c r="N4" s="10"/>
      <c r="O4" s="10"/>
      <c r="P4" s="10"/>
      <c r="Q4" s="10"/>
      <c r="R4" s="13"/>
      <c r="S4" s="22"/>
      <c r="T4" s="4">
        <v>6</v>
      </c>
      <c r="U4" s="21">
        <f t="shared" si="1"/>
        <v>26097.590073968026</v>
      </c>
      <c r="V4" s="21">
        <f t="shared" ref="V4:V67" si="8">0.5*1.2*($T4*0.44704)^2*$C$3*$C$5+$C$4*9.81*($C$2*COS(0*PI()/180)+SIN(0*PI()/180))</f>
        <v>173.908573823914</v>
      </c>
      <c r="W4" s="21">
        <f t="shared" si="2"/>
        <v>1104.3507794897846</v>
      </c>
      <c r="X4" s="21">
        <f t="shared" si="3"/>
        <v>2026.4108819057558</v>
      </c>
      <c r="Y4" s="21">
        <f t="shared" si="4"/>
        <v>2933.0714469373297</v>
      </c>
      <c r="Z4" s="21">
        <f t="shared" si="5"/>
        <v>3817.4322402279995</v>
      </c>
      <c r="AA4" s="45">
        <f t="shared" si="6"/>
        <v>4672.7627421491761</v>
      </c>
      <c r="AB4" s="37">
        <f t="shared" si="7"/>
        <v>5492.5533711185617</v>
      </c>
      <c r="AC4" s="22"/>
      <c r="AE4" s="4"/>
      <c r="AF4" s="11"/>
      <c r="AG4" s="25"/>
      <c r="AJ4" s="4"/>
      <c r="AK4" s="11"/>
      <c r="AL4" s="25"/>
      <c r="AO4" s="4"/>
      <c r="AP4" s="11"/>
      <c r="AQ4" s="25"/>
      <c r="AT4" s="4"/>
      <c r="AU4" s="11"/>
      <c r="AV4" s="25"/>
      <c r="AY4" s="4"/>
      <c r="AZ4" s="11"/>
      <c r="BA4" s="25"/>
    </row>
    <row r="5" spans="2:53" ht="19" x14ac:dyDescent="0.2">
      <c r="B5" s="33" t="s">
        <v>29</v>
      </c>
      <c r="C5" s="25">
        <v>2.15</v>
      </c>
      <c r="H5" s="4">
        <v>700</v>
      </c>
      <c r="I5" s="13"/>
      <c r="K5" s="15">
        <f t="shared" si="0"/>
        <v>136.41852265019602</v>
      </c>
      <c r="L5" s="10"/>
      <c r="M5" s="10"/>
      <c r="N5" s="10"/>
      <c r="O5" s="10"/>
      <c r="P5" s="10"/>
      <c r="Q5" s="10"/>
      <c r="R5" s="13"/>
      <c r="S5" s="22"/>
      <c r="T5" s="4">
        <v>9</v>
      </c>
      <c r="U5" s="21">
        <f t="shared" si="1"/>
        <v>17398.39338264535</v>
      </c>
      <c r="V5" s="21">
        <f t="shared" si="8"/>
        <v>177.63249110380647</v>
      </c>
      <c r="W5" s="21">
        <f t="shared" si="2"/>
        <v>1108.0746967696771</v>
      </c>
      <c r="X5" s="21">
        <f t="shared" si="3"/>
        <v>2030.1347991856483</v>
      </c>
      <c r="Y5" s="21">
        <f t="shared" si="4"/>
        <v>2936.7953642172224</v>
      </c>
      <c r="Z5" s="21">
        <f t="shared" si="5"/>
        <v>3821.1561575078922</v>
      </c>
      <c r="AA5" s="45">
        <f t="shared" si="6"/>
        <v>4676.4866594290688</v>
      </c>
      <c r="AB5" s="37">
        <f t="shared" si="7"/>
        <v>5496.2772883984544</v>
      </c>
      <c r="AC5" s="22"/>
      <c r="AE5" s="4"/>
      <c r="AF5" s="11"/>
      <c r="AG5" s="25"/>
      <c r="AJ5" s="4"/>
      <c r="AK5" s="11"/>
      <c r="AL5" s="25"/>
      <c r="AO5" s="4"/>
      <c r="AP5" s="11"/>
      <c r="AQ5" s="25"/>
      <c r="AT5" s="4"/>
      <c r="AU5" s="11"/>
      <c r="AV5" s="25"/>
      <c r="AY5" s="4"/>
      <c r="AZ5" s="11"/>
      <c r="BA5" s="25"/>
    </row>
    <row r="6" spans="2:53" x14ac:dyDescent="0.2">
      <c r="B6" s="33" t="s">
        <v>30</v>
      </c>
      <c r="C6" s="34">
        <f>0.3075*0.95</f>
        <v>0.29212499999999997</v>
      </c>
      <c r="H6" s="4">
        <v>800</v>
      </c>
      <c r="I6" s="13"/>
      <c r="K6" s="15">
        <f t="shared" si="0"/>
        <v>119.3662073189215</v>
      </c>
      <c r="L6" s="10"/>
      <c r="M6" s="10"/>
      <c r="N6" s="10"/>
      <c r="O6" s="10"/>
      <c r="P6" s="10"/>
      <c r="Q6" s="10"/>
      <c r="R6" s="13"/>
      <c r="S6" s="22"/>
      <c r="T6" s="4">
        <v>12</v>
      </c>
      <c r="U6" s="21">
        <f t="shared" si="1"/>
        <v>13048.795036984013</v>
      </c>
      <c r="V6" s="21">
        <f t="shared" si="8"/>
        <v>182.84597529565593</v>
      </c>
      <c r="W6" s="21">
        <f t="shared" si="2"/>
        <v>1113.2881809615265</v>
      </c>
      <c r="X6" s="21">
        <f t="shared" si="3"/>
        <v>2035.3482833774976</v>
      </c>
      <c r="Y6" s="21">
        <f t="shared" si="4"/>
        <v>2942.008848409072</v>
      </c>
      <c r="Z6" s="21">
        <f t="shared" si="5"/>
        <v>3826.3696416997418</v>
      </c>
      <c r="AA6" s="45">
        <f t="shared" si="6"/>
        <v>4681.7001436209184</v>
      </c>
      <c r="AB6" s="37">
        <f t="shared" si="7"/>
        <v>5501.490772590304</v>
      </c>
      <c r="AC6" s="22"/>
      <c r="AE6" s="4"/>
      <c r="AF6" s="11"/>
      <c r="AG6" s="25"/>
      <c r="AJ6" s="4"/>
      <c r="AK6" s="11"/>
      <c r="AL6" s="25"/>
      <c r="AO6" s="4"/>
      <c r="AP6" s="11"/>
      <c r="AQ6" s="25"/>
      <c r="AT6" s="4"/>
      <c r="AU6" s="11"/>
      <c r="AV6" s="25"/>
      <c r="AY6" s="4"/>
      <c r="AZ6" s="11"/>
      <c r="BA6" s="25"/>
    </row>
    <row r="7" spans="2:53" ht="17" thickBot="1" x14ac:dyDescent="0.25">
      <c r="B7" s="35" t="s">
        <v>31</v>
      </c>
      <c r="C7" s="36">
        <v>0</v>
      </c>
      <c r="H7" s="4">
        <v>900</v>
      </c>
      <c r="I7" s="13"/>
      <c r="K7" s="15">
        <f t="shared" si="0"/>
        <v>106.1032953945969</v>
      </c>
      <c r="L7" s="12">
        <f t="shared" ref="L7:L38" si="9">20000/($H7*PI()/30)</f>
        <v>212.2065907891938</v>
      </c>
      <c r="M7" s="10"/>
      <c r="N7" s="10"/>
      <c r="O7" s="10"/>
      <c r="P7" s="10"/>
      <c r="Q7" s="10"/>
      <c r="R7" s="13"/>
      <c r="S7" s="22"/>
      <c r="T7" s="4">
        <v>15</v>
      </c>
      <c r="U7" s="21">
        <f t="shared" si="1"/>
        <v>10439.036029587211</v>
      </c>
      <c r="V7" s="21">
        <f t="shared" si="8"/>
        <v>189.54902639946241</v>
      </c>
      <c r="W7" s="21">
        <f t="shared" si="2"/>
        <v>1119.991232065333</v>
      </c>
      <c r="X7" s="21">
        <f t="shared" si="3"/>
        <v>2042.0513344813041</v>
      </c>
      <c r="Y7" s="21">
        <f t="shared" si="4"/>
        <v>2948.7118995128785</v>
      </c>
      <c r="Z7" s="21">
        <f t="shared" si="5"/>
        <v>3833.0726928035483</v>
      </c>
      <c r="AA7" s="45">
        <f t="shared" si="6"/>
        <v>4688.4031947247249</v>
      </c>
      <c r="AB7" s="37">
        <f t="shared" si="7"/>
        <v>5508.1938236941105</v>
      </c>
      <c r="AC7" s="22"/>
      <c r="AE7" s="4"/>
      <c r="AF7" s="11"/>
      <c r="AG7" s="25"/>
      <c r="AJ7" s="4"/>
      <c r="AK7" s="11"/>
      <c r="AL7" s="25"/>
      <c r="AO7" s="4"/>
      <c r="AP7" s="11"/>
      <c r="AQ7" s="25"/>
      <c r="AT7" s="4"/>
      <c r="AU7" s="11"/>
      <c r="AV7" s="25"/>
      <c r="AY7" s="4"/>
      <c r="AZ7" s="11"/>
      <c r="BA7" s="25"/>
    </row>
    <row r="8" spans="2:53" x14ac:dyDescent="0.2">
      <c r="H8" s="4">
        <v>1000</v>
      </c>
      <c r="I8" s="6">
        <v>103.5</v>
      </c>
      <c r="K8" s="15">
        <f t="shared" si="0"/>
        <v>95.492965855137214</v>
      </c>
      <c r="L8" s="12">
        <f t="shared" si="9"/>
        <v>190.98593171027443</v>
      </c>
      <c r="M8" s="12"/>
      <c r="N8" s="12"/>
      <c r="O8" s="12"/>
      <c r="P8" s="12"/>
      <c r="Q8" s="12"/>
      <c r="R8" s="6"/>
      <c r="S8" s="8"/>
      <c r="T8" s="4">
        <v>18</v>
      </c>
      <c r="U8" s="21">
        <f t="shared" si="1"/>
        <v>8699.1966913226752</v>
      </c>
      <c r="V8" s="21">
        <f t="shared" si="8"/>
        <v>197.74164441522586</v>
      </c>
      <c r="W8" s="21">
        <f t="shared" si="2"/>
        <v>1128.1838500810964</v>
      </c>
      <c r="X8" s="21">
        <f t="shared" si="3"/>
        <v>2050.2439524970678</v>
      </c>
      <c r="Y8" s="21">
        <f t="shared" si="4"/>
        <v>2956.9045175286419</v>
      </c>
      <c r="Z8" s="21">
        <f t="shared" si="5"/>
        <v>3841.2653108193117</v>
      </c>
      <c r="AA8" s="45">
        <f t="shared" si="6"/>
        <v>4696.5958127404883</v>
      </c>
      <c r="AB8" s="37">
        <f t="shared" si="7"/>
        <v>5516.3864417098739</v>
      </c>
      <c r="AC8" s="8"/>
      <c r="AE8" s="26">
        <f t="shared" ref="AE8:AE39" si="10">PI()/30*$H8*$C$6/AD$2*2.23649</f>
        <v>7.6018937380989717</v>
      </c>
      <c r="AF8" s="20">
        <f t="shared" ref="AF8:AF39" si="11">(0.5*1.2*(AE8*0.44704)^2*$C$3*$C$5+$C$4*9.81*($C$2*COS($C$7*PI()/180)+SIN($C$7*PI()/180)))*$C$6/AD$2</f>
        <v>5.7033081845917772</v>
      </c>
      <c r="AG8" s="37">
        <f>AD$2*$I8/$C$6</f>
        <v>3188.7034659820288</v>
      </c>
      <c r="AJ8" s="26">
        <f t="shared" ref="AJ8:AJ39" si="12">PI()/30*$H8*$C$6/AI$2*2.23649</f>
        <v>11.402840607148457</v>
      </c>
      <c r="AK8" s="20">
        <f t="shared" ref="AK8:AK39" si="13">(0.5*1.2*(AJ8*0.44704)^2*$C$3*$C$5+$C$4*9.81*($C$2*COS($C$7*PI()/180)+SIN($C$7*PI()/180)))*$C$6/AI$2</f>
        <v>8.8460062354972493</v>
      </c>
      <c r="AL8" s="37">
        <f>AI$2*$I8/$C$6</f>
        <v>2125.8023106546857</v>
      </c>
      <c r="AO8" s="26">
        <f t="shared" ref="AO8:AO39" si="14">PI()/30*$H8*$C$6/AN$2*2.23649</f>
        <v>17.104260910722687</v>
      </c>
      <c r="AP8" s="20">
        <f t="shared" ref="AP8:AP39" si="15">(0.5*1.2*(AO8*0.44704)^2*$C$3*$C$5+$C$4*9.81*($C$2*COS($C$7*PI()/180)+SIN($C$7*PI()/180)))*$C$6/AN$2</f>
        <v>14.25128271355322</v>
      </c>
      <c r="AQ8" s="37">
        <f>AN$2*$I8/$C$6</f>
        <v>1417.2015404364572</v>
      </c>
      <c r="AT8" s="26">
        <f t="shared" ref="AT8:AT39" si="16">PI()/30*$H8*$C$6/AS$2*2.23649</f>
        <v>22.805681214296914</v>
      </c>
      <c r="AU8" s="20">
        <f t="shared" ref="AU8:AU39" si="17">(0.5*1.2*(AT8*0.44704)^2*$C$3*$C$5+$C$4*9.81*($C$2*COS($C$7*PI()/180)+SIN($C$7*PI()/180)))*$C$6/AS$2</f>
        <v>20.835287223978003</v>
      </c>
      <c r="AV8" s="37">
        <f>AS$2*$I8/$C$6</f>
        <v>1062.9011553273428</v>
      </c>
      <c r="AY8" s="26">
        <f t="shared" ref="AY8:AY39" si="18">PI()/30*$H8*$C$6/AX$2*2.23649</f>
        <v>28.507101517871146</v>
      </c>
      <c r="AZ8" s="20">
        <f t="shared" ref="AZ8:AZ39" si="19">(0.5*1.2*(AY8*0.44704)^2*$C$3*$C$5+$C$4*9.81*($C$2*COS($C$7*PI()/180)+SIN($C$7*PI()/180)))*$C$6/AX$2</f>
        <v>28.990929110894541</v>
      </c>
      <c r="BA8" s="37">
        <f>AX$2*$I8/$C$6</f>
        <v>850.32092426187421</v>
      </c>
    </row>
    <row r="9" spans="2:53" x14ac:dyDescent="0.2">
      <c r="H9" s="4">
        <v>1100</v>
      </c>
      <c r="I9" s="6">
        <v>117.6</v>
      </c>
      <c r="K9" s="15">
        <f t="shared" si="0"/>
        <v>86.811787141033818</v>
      </c>
      <c r="L9" s="12">
        <f t="shared" si="9"/>
        <v>173.62357428206764</v>
      </c>
      <c r="M9" s="12"/>
      <c r="N9" s="12"/>
      <c r="O9" s="12"/>
      <c r="P9" s="12"/>
      <c r="Q9" s="12"/>
      <c r="R9" s="6"/>
      <c r="S9" s="8"/>
      <c r="T9" s="4">
        <v>21</v>
      </c>
      <c r="U9" s="21">
        <f t="shared" si="1"/>
        <v>7456.454306848007</v>
      </c>
      <c r="V9" s="21">
        <f t="shared" si="8"/>
        <v>207.42382934294631</v>
      </c>
      <c r="W9" s="21">
        <f t="shared" si="2"/>
        <v>1137.8660350088169</v>
      </c>
      <c r="X9" s="21">
        <f t="shared" si="3"/>
        <v>2059.9261374247881</v>
      </c>
      <c r="Y9" s="21">
        <f t="shared" si="4"/>
        <v>2966.5867024563622</v>
      </c>
      <c r="Z9" s="21">
        <f t="shared" si="5"/>
        <v>3850.947495747032</v>
      </c>
      <c r="AA9" s="45">
        <f t="shared" si="6"/>
        <v>4706.2779976682086</v>
      </c>
      <c r="AB9" s="37">
        <f t="shared" si="7"/>
        <v>5526.0686266375942</v>
      </c>
      <c r="AC9" s="8"/>
      <c r="AE9" s="26">
        <f t="shared" si="10"/>
        <v>8.3620831119088699</v>
      </c>
      <c r="AF9" s="20">
        <f t="shared" si="11"/>
        <v>5.7359051079560501</v>
      </c>
      <c r="AG9" s="37">
        <f t="shared" ref="AG9:AG63" si="20">AD$2*$I9/$C$6</f>
        <v>3623.1065468549423</v>
      </c>
      <c r="AJ9" s="26">
        <f t="shared" si="12"/>
        <v>12.543124667863307</v>
      </c>
      <c r="AK9" s="20">
        <f t="shared" si="13"/>
        <v>8.9560208518516724</v>
      </c>
      <c r="AL9" s="37">
        <f t="shared" ref="AL9:AL63" si="21">AI$2*$I9/$C$6</f>
        <v>2415.4043645699612</v>
      </c>
      <c r="AO9" s="26">
        <f t="shared" si="14"/>
        <v>18.814687001794958</v>
      </c>
      <c r="AP9" s="20">
        <f t="shared" si="15"/>
        <v>14.622582043749398</v>
      </c>
      <c r="AQ9" s="37">
        <f t="shared" ref="AQ9:AQ63" si="22">AN$2*$I9/$C$6</f>
        <v>1610.2695763799745</v>
      </c>
      <c r="AT9" s="26">
        <f t="shared" si="16"/>
        <v>25.086249335726613</v>
      </c>
      <c r="AU9" s="20">
        <f t="shared" si="17"/>
        <v>21.715404154813388</v>
      </c>
      <c r="AV9" s="37">
        <f t="shared" ref="AV9:AV49" si="23">AS$2*$I9/$C$6</f>
        <v>1207.7021822849806</v>
      </c>
      <c r="AY9" s="26">
        <f t="shared" si="18"/>
        <v>31.357811669658268</v>
      </c>
      <c r="AZ9" s="20">
        <f t="shared" si="19"/>
        <v>30.7099074914324</v>
      </c>
      <c r="BA9" s="37">
        <f t="shared" ref="BA9:BA39" si="24">AX$2*$I9/$C$6</f>
        <v>966.16174582798453</v>
      </c>
    </row>
    <row r="10" spans="2:53" x14ac:dyDescent="0.2">
      <c r="H10" s="4">
        <v>1200</v>
      </c>
      <c r="I10" s="6">
        <v>129.30000000000001</v>
      </c>
      <c r="K10" s="15">
        <f t="shared" si="0"/>
        <v>79.577471545947674</v>
      </c>
      <c r="L10" s="12">
        <f t="shared" si="9"/>
        <v>159.15494309189535</v>
      </c>
      <c r="M10" s="12"/>
      <c r="N10" s="12"/>
      <c r="O10" s="12"/>
      <c r="P10" s="12"/>
      <c r="Q10" s="12"/>
      <c r="R10" s="6"/>
      <c r="S10" s="8"/>
      <c r="T10" s="4">
        <v>24</v>
      </c>
      <c r="U10" s="21">
        <f t="shared" si="1"/>
        <v>6524.3975184920064</v>
      </c>
      <c r="V10" s="21">
        <f t="shared" si="8"/>
        <v>218.59558118262373</v>
      </c>
      <c r="W10" s="21">
        <f t="shared" si="2"/>
        <v>1149.0377868484943</v>
      </c>
      <c r="X10" s="21">
        <f t="shared" si="3"/>
        <v>2071.0978892644657</v>
      </c>
      <c r="Y10" s="21">
        <f t="shared" si="4"/>
        <v>2977.7584542960399</v>
      </c>
      <c r="Z10" s="21">
        <f t="shared" si="5"/>
        <v>3862.1192475867097</v>
      </c>
      <c r="AA10" s="45">
        <f t="shared" si="6"/>
        <v>4717.4497495078858</v>
      </c>
      <c r="AB10" s="37">
        <f t="shared" si="7"/>
        <v>5537.2403784772714</v>
      </c>
      <c r="AC10" s="8"/>
      <c r="AE10" s="26">
        <f t="shared" si="10"/>
        <v>9.1222724857187689</v>
      </c>
      <c r="AF10" s="20">
        <f t="shared" si="11"/>
        <v>5.7716065002121599</v>
      </c>
      <c r="AG10" s="37">
        <f t="shared" si="20"/>
        <v>3983.5686777920419</v>
      </c>
      <c r="AJ10" s="26">
        <f t="shared" si="12"/>
        <v>13.683408728578152</v>
      </c>
      <c r="AK10" s="20">
        <f t="shared" si="13"/>
        <v>9.0765130507160396</v>
      </c>
      <c r="AL10" s="37">
        <f t="shared" si="21"/>
        <v>2655.7124518613614</v>
      </c>
      <c r="AO10" s="26">
        <f t="shared" si="14"/>
        <v>20.52511309286723</v>
      </c>
      <c r="AP10" s="20">
        <f t="shared" si="15"/>
        <v>15.029243214916638</v>
      </c>
      <c r="AQ10" s="37">
        <f t="shared" si="22"/>
        <v>1770.4749679075742</v>
      </c>
      <c r="AT10" s="26">
        <f t="shared" si="16"/>
        <v>27.366817457156305</v>
      </c>
      <c r="AU10" s="20">
        <f t="shared" si="17"/>
        <v>22.679341745728333</v>
      </c>
      <c r="AV10" s="37">
        <f t="shared" si="23"/>
        <v>1327.8562259306807</v>
      </c>
      <c r="AY10" s="26">
        <f t="shared" si="18"/>
        <v>34.20852182144538</v>
      </c>
      <c r="AZ10" s="20">
        <f t="shared" si="19"/>
        <v>32.59259809868815</v>
      </c>
      <c r="BA10" s="37">
        <f t="shared" si="24"/>
        <v>1062.2849807445443</v>
      </c>
    </row>
    <row r="11" spans="2:53" x14ac:dyDescent="0.2">
      <c r="H11" s="4">
        <v>1300</v>
      </c>
      <c r="I11" s="6">
        <v>139.30000000000001</v>
      </c>
      <c r="K11" s="15">
        <f t="shared" si="0"/>
        <v>73.456127580874778</v>
      </c>
      <c r="L11" s="12">
        <f t="shared" si="9"/>
        <v>146.91225516174956</v>
      </c>
      <c r="M11" s="12"/>
      <c r="N11" s="12"/>
      <c r="O11" s="12"/>
      <c r="P11" s="12"/>
      <c r="Q11" s="12"/>
      <c r="R11" s="6"/>
      <c r="S11" s="8"/>
      <c r="T11" s="4">
        <v>27</v>
      </c>
      <c r="U11" s="21">
        <f t="shared" si="1"/>
        <v>5799.4644608817844</v>
      </c>
      <c r="V11" s="21">
        <f t="shared" si="8"/>
        <v>231.25689993425817</v>
      </c>
      <c r="W11" s="21">
        <f t="shared" si="2"/>
        <v>1161.6991056001286</v>
      </c>
      <c r="X11" s="21">
        <f t="shared" si="3"/>
        <v>2083.7592080160998</v>
      </c>
      <c r="Y11" s="21">
        <f t="shared" si="4"/>
        <v>2990.419773047674</v>
      </c>
      <c r="Z11" s="21">
        <f t="shared" si="5"/>
        <v>3874.7805663383438</v>
      </c>
      <c r="AA11" s="45">
        <f t="shared" si="6"/>
        <v>4730.1110682595208</v>
      </c>
      <c r="AB11" s="37">
        <f t="shared" si="7"/>
        <v>5549.9016972289064</v>
      </c>
      <c r="AC11" s="8"/>
      <c r="AE11" s="26">
        <f t="shared" si="10"/>
        <v>9.8824618595286644</v>
      </c>
      <c r="AF11" s="20">
        <f t="shared" si="11"/>
        <v>5.810412361360104</v>
      </c>
      <c r="AG11" s="37">
        <f t="shared" si="20"/>
        <v>4291.6559691912717</v>
      </c>
      <c r="AJ11" s="26">
        <f t="shared" si="12"/>
        <v>14.823692789292997</v>
      </c>
      <c r="AK11" s="20">
        <f t="shared" si="13"/>
        <v>9.2074828320903528</v>
      </c>
      <c r="AL11" s="37">
        <f t="shared" si="21"/>
        <v>2861.1039794608478</v>
      </c>
      <c r="AO11" s="26">
        <f t="shared" si="14"/>
        <v>22.235539183939494</v>
      </c>
      <c r="AP11" s="20">
        <f t="shared" si="15"/>
        <v>15.471266227054942</v>
      </c>
      <c r="AQ11" s="37">
        <f t="shared" si="22"/>
        <v>1907.4026529738985</v>
      </c>
      <c r="AT11" s="26">
        <f t="shared" si="16"/>
        <v>29.647385578585993</v>
      </c>
      <c r="AU11" s="20">
        <f t="shared" si="17"/>
        <v>23.727099996722828</v>
      </c>
      <c r="AV11" s="37">
        <f t="shared" si="23"/>
        <v>1430.5519897304239</v>
      </c>
      <c r="AY11" s="26">
        <f t="shared" si="18"/>
        <v>37.059231973232492</v>
      </c>
      <c r="AZ11" s="20">
        <f t="shared" si="19"/>
        <v>34.63900093266178</v>
      </c>
      <c r="BA11" s="37">
        <f t="shared" si="24"/>
        <v>1144.4415917843389</v>
      </c>
    </row>
    <row r="12" spans="2:53" x14ac:dyDescent="0.2">
      <c r="H12" s="4">
        <v>1400</v>
      </c>
      <c r="I12" s="6">
        <v>147.80000000000001</v>
      </c>
      <c r="K12" s="15">
        <f t="shared" si="0"/>
        <v>68.209261325098012</v>
      </c>
      <c r="L12" s="12">
        <f t="shared" si="9"/>
        <v>136.41852265019602</v>
      </c>
      <c r="M12" s="12">
        <f t="shared" ref="M12:M43" si="25">30000/($H12*PI()/30)</f>
        <v>204.62778397529405</v>
      </c>
      <c r="N12" s="12"/>
      <c r="O12" s="12"/>
      <c r="P12" s="12"/>
      <c r="Q12" s="12"/>
      <c r="R12" s="6"/>
      <c r="S12" s="8"/>
      <c r="T12" s="4">
        <v>30</v>
      </c>
      <c r="U12" s="21">
        <f t="shared" si="1"/>
        <v>5219.5180147936053</v>
      </c>
      <c r="V12" s="21">
        <f t="shared" si="8"/>
        <v>245.40778559784957</v>
      </c>
      <c r="W12" s="21">
        <f t="shared" si="2"/>
        <v>1175.8499912637201</v>
      </c>
      <c r="X12" s="21">
        <f t="shared" si="3"/>
        <v>2097.9100936796913</v>
      </c>
      <c r="Y12" s="21">
        <f t="shared" si="4"/>
        <v>3004.5706587112654</v>
      </c>
      <c r="Z12" s="21">
        <f t="shared" si="5"/>
        <v>3888.9314520019352</v>
      </c>
      <c r="AA12" s="45">
        <f t="shared" si="6"/>
        <v>4744.2619539231118</v>
      </c>
      <c r="AB12" s="37">
        <f t="shared" si="7"/>
        <v>5564.0525828924974</v>
      </c>
      <c r="AC12" s="8"/>
      <c r="AE12" s="26">
        <f t="shared" si="10"/>
        <v>10.642651233338563</v>
      </c>
      <c r="AF12" s="20">
        <f t="shared" si="11"/>
        <v>5.8523226913998849</v>
      </c>
      <c r="AG12" s="37">
        <f t="shared" si="20"/>
        <v>4553.5301668806169</v>
      </c>
      <c r="AJ12" s="26">
        <f t="shared" si="12"/>
        <v>15.963976850007843</v>
      </c>
      <c r="AK12" s="20">
        <f t="shared" si="13"/>
        <v>9.3489301959746118</v>
      </c>
      <c r="AL12" s="37">
        <f t="shared" si="21"/>
        <v>3035.6867779204113</v>
      </c>
      <c r="AO12" s="26">
        <f t="shared" si="14"/>
        <v>23.945965275011766</v>
      </c>
      <c r="AP12" s="20">
        <f t="shared" si="15"/>
        <v>15.948651080164314</v>
      </c>
      <c r="AQ12" s="37">
        <f t="shared" si="22"/>
        <v>2023.7911852802742</v>
      </c>
      <c r="AT12" s="26">
        <f t="shared" si="16"/>
        <v>31.927953700015685</v>
      </c>
      <c r="AU12" s="20">
        <f t="shared" si="17"/>
        <v>24.858678907796897</v>
      </c>
      <c r="AV12" s="37">
        <f t="shared" si="23"/>
        <v>1517.8433889602056</v>
      </c>
      <c r="AY12" s="26">
        <f t="shared" si="18"/>
        <v>39.909942125019604</v>
      </c>
      <c r="AZ12" s="20">
        <f t="shared" si="19"/>
        <v>36.849115993353315</v>
      </c>
      <c r="BA12" s="37">
        <f t="shared" si="24"/>
        <v>1214.2747111681645</v>
      </c>
    </row>
    <row r="13" spans="2:53" x14ac:dyDescent="0.2">
      <c r="H13" s="4">
        <v>1500</v>
      </c>
      <c r="I13" s="6">
        <v>155.19999999999999</v>
      </c>
      <c r="K13" s="15">
        <f t="shared" si="0"/>
        <v>63.661977236758133</v>
      </c>
      <c r="L13" s="12">
        <f t="shared" si="9"/>
        <v>127.32395447351627</v>
      </c>
      <c r="M13" s="12">
        <f t="shared" si="25"/>
        <v>190.9859317102744</v>
      </c>
      <c r="N13" s="12"/>
      <c r="O13" s="12"/>
      <c r="P13" s="12"/>
      <c r="Q13" s="12"/>
      <c r="R13" s="6"/>
      <c r="S13" s="8"/>
      <c r="T13" s="4">
        <v>33</v>
      </c>
      <c r="U13" s="21">
        <f t="shared" si="1"/>
        <v>4745.0163770850959</v>
      </c>
      <c r="V13" s="21">
        <f t="shared" si="8"/>
        <v>261.04823817339798</v>
      </c>
      <c r="W13" s="21">
        <f t="shared" si="2"/>
        <v>1191.4904438392687</v>
      </c>
      <c r="X13" s="21">
        <f t="shared" si="3"/>
        <v>2113.5505462552396</v>
      </c>
      <c r="Y13" s="21">
        <f t="shared" si="4"/>
        <v>3020.2111112868138</v>
      </c>
      <c r="Z13" s="21">
        <f t="shared" si="5"/>
        <v>3904.5719045774836</v>
      </c>
      <c r="AA13" s="45">
        <f t="shared" si="6"/>
        <v>4759.9024064986606</v>
      </c>
      <c r="AB13" s="37">
        <f t="shared" si="7"/>
        <v>5579.6930354680462</v>
      </c>
      <c r="AC13" s="8"/>
      <c r="AE13" s="26">
        <f t="shared" si="10"/>
        <v>11.402840607148459</v>
      </c>
      <c r="AF13" s="20">
        <f t="shared" si="11"/>
        <v>5.8973374903314992</v>
      </c>
      <c r="AG13" s="37">
        <f t="shared" si="20"/>
        <v>4781.5147625160462</v>
      </c>
      <c r="AJ13" s="26">
        <f t="shared" si="12"/>
        <v>17.10426091072269</v>
      </c>
      <c r="AK13" s="20">
        <f t="shared" si="13"/>
        <v>9.500855142368815</v>
      </c>
      <c r="AL13" s="37">
        <f t="shared" si="21"/>
        <v>3187.6765083440309</v>
      </c>
      <c r="AO13" s="26">
        <f t="shared" si="14"/>
        <v>25.656391366084033</v>
      </c>
      <c r="AP13" s="20">
        <f t="shared" si="15"/>
        <v>16.461397774244748</v>
      </c>
      <c r="AQ13" s="37">
        <f t="shared" si="22"/>
        <v>2125.117672229354</v>
      </c>
      <c r="AT13" s="26">
        <f t="shared" si="16"/>
        <v>34.20852182144538</v>
      </c>
      <c r="AU13" s="20">
        <f t="shared" si="17"/>
        <v>26.074078478950515</v>
      </c>
      <c r="AV13" s="37">
        <f t="shared" si="23"/>
        <v>1593.8382541720155</v>
      </c>
      <c r="AY13" s="26">
        <f t="shared" si="18"/>
        <v>42.760652276806724</v>
      </c>
      <c r="AZ13" s="20">
        <f t="shared" si="19"/>
        <v>39.222943280762728</v>
      </c>
      <c r="BA13" s="37">
        <f t="shared" si="24"/>
        <v>1275.0706033376123</v>
      </c>
    </row>
    <row r="14" spans="2:53" x14ac:dyDescent="0.2">
      <c r="H14" s="4">
        <v>1600</v>
      </c>
      <c r="I14" s="6">
        <v>161.69999999999999</v>
      </c>
      <c r="K14" s="15">
        <f t="shared" si="0"/>
        <v>59.683103659460748</v>
      </c>
      <c r="L14" s="12">
        <f t="shared" si="9"/>
        <v>119.3662073189215</v>
      </c>
      <c r="M14" s="12">
        <f t="shared" si="25"/>
        <v>179.04931097838224</v>
      </c>
      <c r="N14" s="12"/>
      <c r="O14" s="12"/>
      <c r="P14" s="12"/>
      <c r="Q14" s="12"/>
      <c r="R14" s="6"/>
      <c r="S14" s="8"/>
      <c r="T14" s="4">
        <v>36</v>
      </c>
      <c r="U14" s="21">
        <f t="shared" si="1"/>
        <v>4349.5983456613376</v>
      </c>
      <c r="V14" s="21">
        <f t="shared" si="8"/>
        <v>278.17825766090345</v>
      </c>
      <c r="W14" s="21">
        <f t="shared" si="2"/>
        <v>1208.6204633267739</v>
      </c>
      <c r="X14" s="21">
        <f t="shared" si="3"/>
        <v>2130.6805657427453</v>
      </c>
      <c r="Y14" s="21">
        <f t="shared" si="4"/>
        <v>3037.3411307743195</v>
      </c>
      <c r="Z14" s="21">
        <f t="shared" si="5"/>
        <v>3921.7019240649893</v>
      </c>
      <c r="AA14" s="45">
        <f t="shared" si="6"/>
        <v>4777.0324259861654</v>
      </c>
      <c r="AB14" s="37">
        <f t="shared" si="7"/>
        <v>5596.823054955551</v>
      </c>
      <c r="AC14" s="8"/>
      <c r="AE14" s="26">
        <f t="shared" si="10"/>
        <v>12.163029980958356</v>
      </c>
      <c r="AF14" s="20">
        <f t="shared" si="11"/>
        <v>5.9454567581549504</v>
      </c>
      <c r="AG14" s="37">
        <f t="shared" si="20"/>
        <v>4981.7715019255456</v>
      </c>
      <c r="AJ14" s="26">
        <f t="shared" si="12"/>
        <v>18.244544971437534</v>
      </c>
      <c r="AK14" s="20">
        <f t="shared" si="13"/>
        <v>9.6632576712729623</v>
      </c>
      <c r="AL14" s="37">
        <f t="shared" si="21"/>
        <v>3321.1810012836972</v>
      </c>
      <c r="AO14" s="26">
        <f t="shared" si="14"/>
        <v>27.366817457156298</v>
      </c>
      <c r="AP14" s="20">
        <f t="shared" si="15"/>
        <v>17.009506309296242</v>
      </c>
      <c r="AQ14" s="37">
        <f t="shared" si="22"/>
        <v>2214.1206675224648</v>
      </c>
      <c r="AT14" s="26">
        <f t="shared" si="16"/>
        <v>36.489089942875069</v>
      </c>
      <c r="AU14" s="20">
        <f t="shared" si="17"/>
        <v>27.373298710183704</v>
      </c>
      <c r="AV14" s="37">
        <f t="shared" si="23"/>
        <v>1660.5905006418486</v>
      </c>
      <c r="AY14" s="26">
        <f t="shared" si="18"/>
        <v>45.611362428593836</v>
      </c>
      <c r="AZ14" s="20">
        <f t="shared" si="19"/>
        <v>41.760482794890038</v>
      </c>
      <c r="BA14" s="37">
        <f t="shared" si="24"/>
        <v>1328.472400513479</v>
      </c>
    </row>
    <row r="15" spans="2:53" x14ac:dyDescent="0.2">
      <c r="H15" s="4">
        <v>1700</v>
      </c>
      <c r="I15" s="6">
        <v>167.4</v>
      </c>
      <c r="K15" s="15">
        <f t="shared" si="0"/>
        <v>56.17233285596307</v>
      </c>
      <c r="L15" s="12">
        <f t="shared" si="9"/>
        <v>112.34466571192614</v>
      </c>
      <c r="M15" s="12">
        <f t="shared" si="25"/>
        <v>168.5169985678892</v>
      </c>
      <c r="N15" s="12"/>
      <c r="O15" s="12"/>
      <c r="P15" s="12"/>
      <c r="Q15" s="12"/>
      <c r="R15" s="6"/>
      <c r="S15" s="8"/>
      <c r="T15" s="4">
        <v>39</v>
      </c>
      <c r="U15" s="21">
        <f t="shared" si="1"/>
        <v>4015.0138575335423</v>
      </c>
      <c r="V15" s="21">
        <f t="shared" si="8"/>
        <v>296.79784406036583</v>
      </c>
      <c r="W15" s="21">
        <f t="shared" si="2"/>
        <v>1227.2400497262365</v>
      </c>
      <c r="X15" s="21">
        <f t="shared" si="3"/>
        <v>2149.3001521422075</v>
      </c>
      <c r="Y15" s="21">
        <f t="shared" si="4"/>
        <v>3055.9607171737816</v>
      </c>
      <c r="Z15" s="21">
        <f t="shared" si="5"/>
        <v>3940.3215104644514</v>
      </c>
      <c r="AA15" s="45">
        <f t="shared" si="6"/>
        <v>4795.652012385628</v>
      </c>
      <c r="AB15" s="37">
        <f t="shared" si="7"/>
        <v>5615.4426413550136</v>
      </c>
      <c r="AC15" s="8"/>
      <c r="AE15" s="26">
        <f t="shared" si="10"/>
        <v>12.923219354768253</v>
      </c>
      <c r="AF15" s="20">
        <f t="shared" si="11"/>
        <v>5.9966804948702377</v>
      </c>
      <c r="AG15" s="37">
        <f t="shared" si="20"/>
        <v>5157.3812580231079</v>
      </c>
      <c r="AJ15" s="26">
        <f t="shared" si="12"/>
        <v>19.384829032152378</v>
      </c>
      <c r="AK15" s="20">
        <f t="shared" si="13"/>
        <v>9.836137782687052</v>
      </c>
      <c r="AL15" s="37">
        <f t="shared" si="21"/>
        <v>3438.2541720154049</v>
      </c>
      <c r="AO15" s="26">
        <f t="shared" si="14"/>
        <v>29.077243548228569</v>
      </c>
      <c r="AP15" s="20">
        <f t="shared" si="15"/>
        <v>17.59297668531881</v>
      </c>
      <c r="AQ15" s="37">
        <f t="shared" si="22"/>
        <v>2292.1694480102701</v>
      </c>
      <c r="AT15" s="26">
        <f t="shared" si="16"/>
        <v>38.769658064304757</v>
      </c>
      <c r="AU15" s="20">
        <f t="shared" si="17"/>
        <v>28.756339601496435</v>
      </c>
      <c r="AV15" s="37">
        <f t="shared" si="23"/>
        <v>1719.1270860077025</v>
      </c>
      <c r="AY15" s="26">
        <f t="shared" si="18"/>
        <v>48.462072580380948</v>
      </c>
      <c r="AZ15" s="20">
        <f t="shared" si="19"/>
        <v>44.461734535735232</v>
      </c>
      <c r="BA15" s="37">
        <f t="shared" si="24"/>
        <v>1375.3016688061618</v>
      </c>
    </row>
    <row r="16" spans="2:53" x14ac:dyDescent="0.2">
      <c r="G16" t="s">
        <v>32</v>
      </c>
      <c r="H16" s="4">
        <v>1800</v>
      </c>
      <c r="I16" s="6">
        <v>170</v>
      </c>
      <c r="K16" s="15">
        <f t="shared" si="0"/>
        <v>53.051647697298449</v>
      </c>
      <c r="L16" s="12">
        <f t="shared" si="9"/>
        <v>106.1032953945969</v>
      </c>
      <c r="M16" s="12">
        <f t="shared" si="25"/>
        <v>159.15494309189535</v>
      </c>
      <c r="N16" s="12"/>
      <c r="O16" s="12"/>
      <c r="P16" s="12"/>
      <c r="Q16" s="12"/>
      <c r="R16" s="6"/>
      <c r="S16" s="8"/>
      <c r="T16" s="4">
        <v>42</v>
      </c>
      <c r="U16" s="21">
        <f t="shared" si="1"/>
        <v>3728.2271534240035</v>
      </c>
      <c r="V16" s="21">
        <f t="shared" si="8"/>
        <v>316.90699737178522</v>
      </c>
      <c r="W16" s="21">
        <f t="shared" si="2"/>
        <v>1247.3492030376558</v>
      </c>
      <c r="X16" s="21">
        <f t="shared" si="3"/>
        <v>2169.409305453627</v>
      </c>
      <c r="Y16" s="21">
        <f t="shared" si="4"/>
        <v>3076.0698704852011</v>
      </c>
      <c r="Z16" s="21">
        <f t="shared" si="5"/>
        <v>3960.4306637758709</v>
      </c>
      <c r="AA16" s="45">
        <f t="shared" si="6"/>
        <v>4815.7611656970475</v>
      </c>
      <c r="AB16" s="37">
        <f t="shared" si="7"/>
        <v>5635.5517946664331</v>
      </c>
      <c r="AC16" s="8"/>
      <c r="AE16" s="26">
        <f t="shared" si="10"/>
        <v>13.683408728578149</v>
      </c>
      <c r="AF16" s="20">
        <f t="shared" si="11"/>
        <v>6.0510087004773601</v>
      </c>
      <c r="AG16" s="37">
        <f t="shared" si="20"/>
        <v>5237.4839537869066</v>
      </c>
      <c r="AH16" s="9"/>
      <c r="AJ16" s="26">
        <f t="shared" si="12"/>
        <v>20.525113092867226</v>
      </c>
      <c r="AK16" s="20">
        <f t="shared" si="13"/>
        <v>10.019495476611091</v>
      </c>
      <c r="AL16" s="37">
        <f t="shared" si="21"/>
        <v>3491.6559691912712</v>
      </c>
      <c r="AO16" s="26">
        <f t="shared" si="14"/>
        <v>30.787669639300837</v>
      </c>
      <c r="AP16" s="20">
        <f t="shared" si="15"/>
        <v>18.211808902312438</v>
      </c>
      <c r="AQ16" s="37">
        <f t="shared" si="22"/>
        <v>2327.7706461275143</v>
      </c>
      <c r="AT16" s="26">
        <f t="shared" si="16"/>
        <v>41.050226185734452</v>
      </c>
      <c r="AU16" s="20">
        <f t="shared" si="17"/>
        <v>30.223201152888738</v>
      </c>
      <c r="AV16" s="37">
        <f t="shared" si="23"/>
        <v>1745.8279845956356</v>
      </c>
      <c r="AY16" s="26">
        <f t="shared" si="18"/>
        <v>51.312782732168067</v>
      </c>
      <c r="AZ16" s="20">
        <f t="shared" si="19"/>
        <v>47.326698503298324</v>
      </c>
      <c r="BA16" s="37">
        <f t="shared" si="24"/>
        <v>1396.6623876765084</v>
      </c>
    </row>
    <row r="17" spans="7:53" x14ac:dyDescent="0.2">
      <c r="H17" s="4">
        <v>1900</v>
      </c>
      <c r="I17" s="6">
        <v>170</v>
      </c>
      <c r="K17" s="15">
        <f t="shared" si="0"/>
        <v>50.259455713230103</v>
      </c>
      <c r="L17" s="12">
        <f t="shared" si="9"/>
        <v>100.51891142646021</v>
      </c>
      <c r="M17" s="12">
        <f t="shared" si="25"/>
        <v>150.77836713969032</v>
      </c>
      <c r="N17" s="12">
        <f t="shared" ref="N17:N48" si="26">40000/($H17*PI()/30)</f>
        <v>201.03782285292041</v>
      </c>
      <c r="O17" s="12"/>
      <c r="P17" s="12"/>
      <c r="Q17" s="12"/>
      <c r="R17" s="6"/>
      <c r="S17" s="8"/>
      <c r="T17" s="4">
        <v>45</v>
      </c>
      <c r="U17" s="21">
        <f t="shared" si="1"/>
        <v>3479.6786765290699</v>
      </c>
      <c r="V17" s="21">
        <f t="shared" si="8"/>
        <v>338.50571759516163</v>
      </c>
      <c r="W17" s="21">
        <f t="shared" si="2"/>
        <v>1268.9479232610322</v>
      </c>
      <c r="X17" s="21">
        <f t="shared" si="3"/>
        <v>2191.0080256770034</v>
      </c>
      <c r="Y17" s="21">
        <f t="shared" si="4"/>
        <v>3097.6685907085775</v>
      </c>
      <c r="Z17" s="21">
        <f t="shared" si="5"/>
        <v>3982.0293839992473</v>
      </c>
      <c r="AA17" s="45">
        <f t="shared" si="6"/>
        <v>4837.3598859204239</v>
      </c>
      <c r="AB17" s="37">
        <f t="shared" si="7"/>
        <v>5657.1505148898095</v>
      </c>
      <c r="AC17" s="8"/>
      <c r="AE17" s="26">
        <f t="shared" si="10"/>
        <v>14.443598102388048</v>
      </c>
      <c r="AF17" s="20">
        <f t="shared" si="11"/>
        <v>6.1084413749763184</v>
      </c>
      <c r="AG17" s="37">
        <f t="shared" si="20"/>
        <v>5237.4839537869066</v>
      </c>
      <c r="AJ17" s="26">
        <f t="shared" si="12"/>
        <v>21.665397153582074</v>
      </c>
      <c r="AK17" s="20">
        <f t="shared" si="13"/>
        <v>10.213330753045074</v>
      </c>
      <c r="AL17" s="37">
        <f t="shared" si="21"/>
        <v>3491.6559691912712</v>
      </c>
      <c r="AO17" s="26">
        <f t="shared" si="14"/>
        <v>32.498095730373109</v>
      </c>
      <c r="AP17" s="20">
        <f t="shared" si="15"/>
        <v>18.866002960277132</v>
      </c>
      <c r="AQ17" s="37">
        <f t="shared" si="22"/>
        <v>2327.7706461275143</v>
      </c>
      <c r="AT17" s="26">
        <f t="shared" si="16"/>
        <v>43.330794307164147</v>
      </c>
      <c r="AU17" s="20">
        <f t="shared" si="17"/>
        <v>31.773883364360611</v>
      </c>
      <c r="AV17" s="37">
        <f t="shared" si="23"/>
        <v>1745.8279845956356</v>
      </c>
      <c r="AY17" s="26">
        <f t="shared" si="18"/>
        <v>54.163492883955186</v>
      </c>
      <c r="AZ17" s="20">
        <f t="shared" si="19"/>
        <v>50.355374697579315</v>
      </c>
      <c r="BA17" s="37">
        <f t="shared" si="24"/>
        <v>1396.6623876765084</v>
      </c>
    </row>
    <row r="18" spans="7:53" x14ac:dyDescent="0.2">
      <c r="G18" t="s">
        <v>33</v>
      </c>
      <c r="H18" s="4">
        <v>2000</v>
      </c>
      <c r="I18" s="6">
        <v>170</v>
      </c>
      <c r="K18" s="15">
        <f t="shared" si="0"/>
        <v>47.746482927568607</v>
      </c>
      <c r="L18" s="12">
        <f t="shared" si="9"/>
        <v>95.492965855137214</v>
      </c>
      <c r="M18" s="12">
        <f t="shared" si="25"/>
        <v>143.23944878270581</v>
      </c>
      <c r="N18" s="12">
        <f t="shared" si="26"/>
        <v>190.98593171027443</v>
      </c>
      <c r="O18" s="12"/>
      <c r="P18" s="12"/>
      <c r="Q18" s="12"/>
      <c r="R18" s="6"/>
      <c r="S18" s="8"/>
      <c r="T18" s="4">
        <v>48</v>
      </c>
      <c r="U18" s="21">
        <f t="shared" si="1"/>
        <v>3262.1987592460032</v>
      </c>
      <c r="V18" s="21">
        <f t="shared" si="8"/>
        <v>361.59400473049499</v>
      </c>
      <c r="W18" s="21">
        <f t="shared" si="2"/>
        <v>1292.0362103963655</v>
      </c>
      <c r="X18" s="21">
        <f t="shared" si="3"/>
        <v>2214.0963128123367</v>
      </c>
      <c r="Y18" s="21">
        <f t="shared" si="4"/>
        <v>3120.7568778439108</v>
      </c>
      <c r="Z18" s="21">
        <f t="shared" si="5"/>
        <v>4005.1176711345806</v>
      </c>
      <c r="AA18" s="45">
        <f t="shared" si="6"/>
        <v>4860.4481730557573</v>
      </c>
      <c r="AB18" s="37">
        <f t="shared" si="7"/>
        <v>5680.2388020251428</v>
      </c>
      <c r="AC18" s="8"/>
      <c r="AE18" s="26">
        <f t="shared" si="10"/>
        <v>15.203787476197943</v>
      </c>
      <c r="AF18" s="20">
        <f t="shared" si="11"/>
        <v>6.1689785183671111</v>
      </c>
      <c r="AG18" s="37">
        <f t="shared" si="20"/>
        <v>5237.4839537869066</v>
      </c>
      <c r="AJ18" s="26">
        <f t="shared" si="12"/>
        <v>22.805681214296914</v>
      </c>
      <c r="AK18" s="20">
        <f t="shared" si="13"/>
        <v>10.417643611989002</v>
      </c>
      <c r="AL18" s="37">
        <f t="shared" si="21"/>
        <v>3491.6559691912712</v>
      </c>
      <c r="AO18" s="26">
        <f t="shared" si="14"/>
        <v>34.208521821445373</v>
      </c>
      <c r="AP18" s="20">
        <f t="shared" si="15"/>
        <v>19.555558859212884</v>
      </c>
      <c r="AQ18" s="37">
        <f t="shared" si="22"/>
        <v>2327.7706461275143</v>
      </c>
      <c r="AT18" s="26">
        <f t="shared" si="16"/>
        <v>45.611362428593829</v>
      </c>
      <c r="AU18" s="20">
        <f t="shared" si="17"/>
        <v>33.408386235912026</v>
      </c>
      <c r="AV18" s="37">
        <f t="shared" si="23"/>
        <v>1745.8279845956356</v>
      </c>
      <c r="AY18" s="26">
        <f t="shared" si="18"/>
        <v>57.014203035742291</v>
      </c>
      <c r="AZ18" s="20">
        <f t="shared" si="19"/>
        <v>53.547763118578182</v>
      </c>
      <c r="BA18" s="37">
        <f t="shared" si="24"/>
        <v>1396.6623876765084</v>
      </c>
    </row>
    <row r="19" spans="7:53" x14ac:dyDescent="0.2">
      <c r="H19" s="4">
        <v>2100</v>
      </c>
      <c r="I19" s="6">
        <v>170</v>
      </c>
      <c r="K19" s="15">
        <f t="shared" si="0"/>
        <v>45.472840883398668</v>
      </c>
      <c r="L19" s="12">
        <f t="shared" si="9"/>
        <v>90.945681766797335</v>
      </c>
      <c r="M19" s="12">
        <f t="shared" si="25"/>
        <v>136.41852265019602</v>
      </c>
      <c r="N19" s="12">
        <f t="shared" si="26"/>
        <v>181.89136353359467</v>
      </c>
      <c r="O19" s="12"/>
      <c r="P19" s="12"/>
      <c r="Q19" s="12"/>
      <c r="R19" s="6"/>
      <c r="S19" s="8"/>
      <c r="T19" s="4">
        <v>51</v>
      </c>
      <c r="U19" s="21">
        <f t="shared" si="1"/>
        <v>3070.3047145844739</v>
      </c>
      <c r="V19" s="21">
        <f t="shared" si="8"/>
        <v>386.1718587777853</v>
      </c>
      <c r="W19" s="21">
        <f t="shared" si="2"/>
        <v>1316.6140644436559</v>
      </c>
      <c r="X19" s="21">
        <f t="shared" si="3"/>
        <v>2238.6741668596269</v>
      </c>
      <c r="Y19" s="21">
        <f t="shared" si="4"/>
        <v>3145.334731891201</v>
      </c>
      <c r="Z19" s="21">
        <f t="shared" si="5"/>
        <v>4029.6955251818708</v>
      </c>
      <c r="AA19" s="45">
        <f t="shared" si="6"/>
        <v>4885.0260271030475</v>
      </c>
      <c r="AB19" s="37">
        <f t="shared" si="7"/>
        <v>5704.816656072433</v>
      </c>
      <c r="AC19" s="8"/>
      <c r="AE19" s="26">
        <f t="shared" si="10"/>
        <v>15.963976850007844</v>
      </c>
      <c r="AF19" s="20">
        <f t="shared" si="11"/>
        <v>6.2326201306497406</v>
      </c>
      <c r="AG19" s="37">
        <f t="shared" si="20"/>
        <v>5237.4839537869066</v>
      </c>
      <c r="AJ19" s="26">
        <f t="shared" si="12"/>
        <v>23.945965275011766</v>
      </c>
      <c r="AK19" s="20">
        <f t="shared" si="13"/>
        <v>10.632434053442877</v>
      </c>
      <c r="AL19" s="37">
        <f t="shared" si="21"/>
        <v>3491.6559691912712</v>
      </c>
      <c r="AO19" s="26">
        <f t="shared" si="14"/>
        <v>35.918947912517645</v>
      </c>
      <c r="AP19" s="20">
        <f t="shared" si="15"/>
        <v>20.280476599119705</v>
      </c>
      <c r="AQ19" s="37">
        <f t="shared" si="22"/>
        <v>2327.7706461275143</v>
      </c>
      <c r="AT19" s="26">
        <f t="shared" si="16"/>
        <v>47.891930550023531</v>
      </c>
      <c r="AU19" s="20">
        <f t="shared" si="17"/>
        <v>35.126709767543012</v>
      </c>
      <c r="AV19" s="37">
        <f t="shared" si="23"/>
        <v>1745.8279845956356</v>
      </c>
      <c r="AY19" s="26">
        <f t="shared" si="18"/>
        <v>59.864913187529417</v>
      </c>
      <c r="AZ19" s="20">
        <f t="shared" si="19"/>
        <v>56.903863766294968</v>
      </c>
      <c r="BA19" s="37">
        <f t="shared" si="24"/>
        <v>1396.6623876765084</v>
      </c>
    </row>
    <row r="20" spans="7:53" x14ac:dyDescent="0.2">
      <c r="H20" s="4">
        <v>2200</v>
      </c>
      <c r="I20" s="6">
        <v>170</v>
      </c>
      <c r="K20" s="15">
        <f t="shared" si="0"/>
        <v>43.405893570516909</v>
      </c>
      <c r="L20" s="12">
        <f t="shared" si="9"/>
        <v>86.811787141033818</v>
      </c>
      <c r="M20" s="12">
        <f t="shared" si="25"/>
        <v>130.21768071155074</v>
      </c>
      <c r="N20" s="12">
        <f t="shared" si="26"/>
        <v>173.62357428206764</v>
      </c>
      <c r="O20" s="12"/>
      <c r="P20" s="12"/>
      <c r="Q20" s="12"/>
      <c r="R20" s="6"/>
      <c r="S20" s="8"/>
      <c r="T20" s="4">
        <v>54</v>
      </c>
      <c r="U20" s="21">
        <f t="shared" si="1"/>
        <v>2899.7322304408922</v>
      </c>
      <c r="V20" s="21">
        <f t="shared" si="8"/>
        <v>412.23927973703263</v>
      </c>
      <c r="W20" s="21">
        <f t="shared" si="2"/>
        <v>1342.6814854029033</v>
      </c>
      <c r="X20" s="21">
        <f t="shared" si="3"/>
        <v>2264.7415878188745</v>
      </c>
      <c r="Y20" s="21">
        <f t="shared" si="4"/>
        <v>3171.4021528504486</v>
      </c>
      <c r="Z20" s="21">
        <f t="shared" si="5"/>
        <v>4055.7629461411184</v>
      </c>
      <c r="AA20" s="45">
        <f t="shared" si="6"/>
        <v>4911.0934480622946</v>
      </c>
      <c r="AB20" s="37">
        <f t="shared" si="7"/>
        <v>5730.8840770316801</v>
      </c>
      <c r="AC20" s="8"/>
      <c r="AE20" s="26">
        <f t="shared" si="10"/>
        <v>16.72416622381774</v>
      </c>
      <c r="AF20" s="20">
        <f t="shared" si="11"/>
        <v>6.2993662118242044</v>
      </c>
      <c r="AG20" s="37">
        <f t="shared" si="20"/>
        <v>5237.4839537869066</v>
      </c>
      <c r="AJ20" s="26">
        <f t="shared" si="12"/>
        <v>25.086249335726613</v>
      </c>
      <c r="AK20" s="20">
        <f t="shared" si="13"/>
        <v>10.857702077406694</v>
      </c>
      <c r="AL20" s="37">
        <f t="shared" si="21"/>
        <v>3491.6559691912712</v>
      </c>
      <c r="AO20" s="26">
        <f t="shared" si="14"/>
        <v>37.629374003589916</v>
      </c>
      <c r="AP20" s="20">
        <f t="shared" si="15"/>
        <v>21.040756179997594</v>
      </c>
      <c r="AQ20" s="37">
        <f t="shared" si="22"/>
        <v>2327.7706461275143</v>
      </c>
      <c r="AT20" s="26">
        <f t="shared" si="16"/>
        <v>50.172498671453226</v>
      </c>
      <c r="AU20" s="20">
        <f t="shared" si="17"/>
        <v>36.928853959253559</v>
      </c>
      <c r="AV20" s="37">
        <f t="shared" si="23"/>
        <v>1745.8279845956356</v>
      </c>
      <c r="AY20" s="26">
        <f t="shared" si="18"/>
        <v>62.715623339316537</v>
      </c>
      <c r="AZ20" s="20">
        <f t="shared" si="19"/>
        <v>60.423676640729617</v>
      </c>
      <c r="BA20" s="37">
        <f t="shared" si="24"/>
        <v>1396.6623876765084</v>
      </c>
    </row>
    <row r="21" spans="7:53" x14ac:dyDescent="0.2">
      <c r="H21" s="4">
        <v>2300</v>
      </c>
      <c r="I21" s="6">
        <v>170</v>
      </c>
      <c r="K21" s="15">
        <f t="shared" si="0"/>
        <v>41.518680806581393</v>
      </c>
      <c r="L21" s="12">
        <f t="shared" si="9"/>
        <v>83.037361613162787</v>
      </c>
      <c r="M21" s="12">
        <f t="shared" si="25"/>
        <v>124.55604241974419</v>
      </c>
      <c r="N21" s="12">
        <f t="shared" si="26"/>
        <v>166.07472322632557</v>
      </c>
      <c r="O21" s="12">
        <f t="shared" ref="O21:O68" si="27">50000/($H21*PI()/30)</f>
        <v>207.59340403290696</v>
      </c>
      <c r="P21" s="12"/>
      <c r="Q21" s="12"/>
      <c r="R21" s="6"/>
      <c r="S21" s="8"/>
      <c r="T21" s="4">
        <v>57</v>
      </c>
      <c r="U21" s="21">
        <f t="shared" si="1"/>
        <v>2747.1147446282134</v>
      </c>
      <c r="V21" s="21">
        <f t="shared" si="8"/>
        <v>439.79626760823703</v>
      </c>
      <c r="W21" s="21">
        <f t="shared" si="2"/>
        <v>1370.2384732741075</v>
      </c>
      <c r="X21" s="21">
        <f t="shared" si="3"/>
        <v>2292.2985756900789</v>
      </c>
      <c r="Y21" s="21">
        <f t="shared" si="4"/>
        <v>3198.9591407216531</v>
      </c>
      <c r="Z21" s="21">
        <f t="shared" si="5"/>
        <v>4083.3199340123228</v>
      </c>
      <c r="AA21" s="45">
        <f t="shared" si="6"/>
        <v>4938.6504359334995</v>
      </c>
      <c r="AB21" s="37">
        <f t="shared" si="7"/>
        <v>5758.441064902885</v>
      </c>
      <c r="AC21" s="8"/>
      <c r="AE21" s="26">
        <f t="shared" si="10"/>
        <v>17.484355597627641</v>
      </c>
      <c r="AF21" s="20">
        <f t="shared" si="11"/>
        <v>6.3692167618905051</v>
      </c>
      <c r="AG21" s="37">
        <f t="shared" si="20"/>
        <v>5237.4839537869066</v>
      </c>
      <c r="AJ21" s="26">
        <f t="shared" si="12"/>
        <v>26.226533396441457</v>
      </c>
      <c r="AK21" s="20">
        <f t="shared" si="13"/>
        <v>11.093447683880456</v>
      </c>
      <c r="AL21" s="37">
        <f t="shared" si="21"/>
        <v>3491.6559691912712</v>
      </c>
      <c r="AO21" s="26">
        <f t="shared" si="14"/>
        <v>39.339800094662188</v>
      </c>
      <c r="AP21" s="20">
        <f t="shared" si="15"/>
        <v>21.836397601846546</v>
      </c>
      <c r="AQ21" s="37">
        <f t="shared" si="22"/>
        <v>2327.7706461275143</v>
      </c>
      <c r="AT21" s="26">
        <f t="shared" si="16"/>
        <v>52.453066792882915</v>
      </c>
      <c r="AU21" s="20">
        <f t="shared" si="17"/>
        <v>38.814818811043658</v>
      </c>
      <c r="AV21" s="37">
        <f t="shared" si="23"/>
        <v>1745.8279845956356</v>
      </c>
      <c r="AY21" s="26">
        <f t="shared" si="18"/>
        <v>65.566333491103649</v>
      </c>
      <c r="AZ21" s="20">
        <f t="shared" si="19"/>
        <v>64.10720174188215</v>
      </c>
      <c r="BA21" s="37">
        <f t="shared" si="24"/>
        <v>1396.6623876765084</v>
      </c>
    </row>
    <row r="22" spans="7:53" x14ac:dyDescent="0.2">
      <c r="H22" s="4">
        <v>2400</v>
      </c>
      <c r="I22" s="6">
        <v>170</v>
      </c>
      <c r="K22" s="15">
        <f t="shared" si="0"/>
        <v>39.788735772973837</v>
      </c>
      <c r="L22" s="12">
        <f t="shared" si="9"/>
        <v>79.577471545947674</v>
      </c>
      <c r="M22" s="12">
        <f t="shared" si="25"/>
        <v>119.36620731892151</v>
      </c>
      <c r="N22" s="12">
        <f t="shared" si="26"/>
        <v>159.15494309189535</v>
      </c>
      <c r="O22" s="12">
        <f t="shared" si="27"/>
        <v>198.94367886486918</v>
      </c>
      <c r="P22" s="12"/>
      <c r="Q22" s="12"/>
      <c r="R22" s="6"/>
      <c r="S22" s="8"/>
      <c r="T22" s="4">
        <v>60</v>
      </c>
      <c r="U22" s="21">
        <f t="shared" si="1"/>
        <v>2609.7590073968026</v>
      </c>
      <c r="V22" s="21">
        <f t="shared" si="8"/>
        <v>468.84282239139833</v>
      </c>
      <c r="W22" s="21">
        <f t="shared" si="2"/>
        <v>1399.2850280572688</v>
      </c>
      <c r="X22" s="21">
        <f t="shared" si="3"/>
        <v>2321.3451304732403</v>
      </c>
      <c r="Y22" s="21">
        <f t="shared" si="4"/>
        <v>3228.0056955048144</v>
      </c>
      <c r="Z22" s="21">
        <f t="shared" si="5"/>
        <v>4112.3664887954837</v>
      </c>
      <c r="AA22" s="45">
        <f t="shared" si="6"/>
        <v>4967.6969907166604</v>
      </c>
      <c r="AB22" s="37">
        <f t="shared" si="7"/>
        <v>5787.4876196860459</v>
      </c>
      <c r="AC22" s="8"/>
      <c r="AE22" s="26">
        <f t="shared" si="10"/>
        <v>18.244544971437538</v>
      </c>
      <c r="AF22" s="20">
        <f t="shared" si="11"/>
        <v>6.4421717808486418</v>
      </c>
      <c r="AG22" s="37">
        <f t="shared" si="20"/>
        <v>5237.4839537869066</v>
      </c>
      <c r="AJ22" s="26">
        <f t="shared" si="12"/>
        <v>27.366817457156305</v>
      </c>
      <c r="AK22" s="20">
        <f>(0.5*1.2*(AJ22*0.44704)^2*$C$3*$C$5+$C$4*9.81*($C$2*COS($C$7*PI()/180)+SIN($C$7*PI()/180)))*$C$6/AI$2</f>
        <v>11.339670872864167</v>
      </c>
      <c r="AL22" s="37">
        <f t="shared" si="21"/>
        <v>3491.6559691912712</v>
      </c>
      <c r="AO22" s="26">
        <f t="shared" si="14"/>
        <v>41.050226185734459</v>
      </c>
      <c r="AP22" s="20">
        <f t="shared" si="15"/>
        <v>22.667400864666561</v>
      </c>
      <c r="AQ22" s="37">
        <f t="shared" si="22"/>
        <v>2327.7706461275143</v>
      </c>
      <c r="AT22" s="26">
        <f t="shared" si="16"/>
        <v>54.73363491431261</v>
      </c>
      <c r="AU22" s="20">
        <f t="shared" si="17"/>
        <v>40.784604322913331</v>
      </c>
      <c r="AV22" s="37">
        <f t="shared" si="23"/>
        <v>1745.8279845956356</v>
      </c>
      <c r="AY22" s="26">
        <f t="shared" si="18"/>
        <v>68.417043642890761</v>
      </c>
      <c r="AZ22" s="20">
        <f t="shared" si="19"/>
        <v>67.954439069752596</v>
      </c>
      <c r="BA22" s="37">
        <f t="shared" si="24"/>
        <v>1396.6623876765084</v>
      </c>
    </row>
    <row r="23" spans="7:53" x14ac:dyDescent="0.2">
      <c r="H23" s="4">
        <v>2500</v>
      </c>
      <c r="I23" s="6">
        <v>170</v>
      </c>
      <c r="K23" s="15">
        <f t="shared" si="0"/>
        <v>38.197186342054884</v>
      </c>
      <c r="L23" s="12">
        <f t="shared" si="9"/>
        <v>76.394372684109769</v>
      </c>
      <c r="M23" s="12">
        <f t="shared" si="25"/>
        <v>114.59155902616465</v>
      </c>
      <c r="N23" s="12">
        <f t="shared" si="26"/>
        <v>152.78874536821954</v>
      </c>
      <c r="O23" s="12">
        <f t="shared" si="27"/>
        <v>190.9859317102744</v>
      </c>
      <c r="P23" s="12"/>
      <c r="Q23" s="12"/>
      <c r="R23" s="6"/>
      <c r="S23" s="8"/>
      <c r="T23" s="4">
        <v>63</v>
      </c>
      <c r="U23" s="21">
        <f t="shared" si="1"/>
        <v>2485.4847689493358</v>
      </c>
      <c r="V23" s="21">
        <f t="shared" si="8"/>
        <v>499.3789440865167</v>
      </c>
      <c r="W23" s="21">
        <f t="shared" si="2"/>
        <v>1429.8211497523873</v>
      </c>
      <c r="X23" s="21">
        <f t="shared" si="3"/>
        <v>2351.8812521683585</v>
      </c>
      <c r="Y23" s="21">
        <f t="shared" si="4"/>
        <v>3258.5418171999327</v>
      </c>
      <c r="Z23" s="21">
        <f t="shared" si="5"/>
        <v>4142.9026104906025</v>
      </c>
      <c r="AA23" s="45">
        <f t="shared" si="6"/>
        <v>4998.2331124117791</v>
      </c>
      <c r="AB23" s="37">
        <f t="shared" si="7"/>
        <v>5818.0237413811647</v>
      </c>
      <c r="AC23" s="8"/>
      <c r="AE23" s="26">
        <f t="shared" si="10"/>
        <v>19.004734345247432</v>
      </c>
      <c r="AF23" s="20">
        <f t="shared" si="11"/>
        <v>6.5182312686986119</v>
      </c>
      <c r="AG23" s="37">
        <f t="shared" si="20"/>
        <v>5237.4839537869066</v>
      </c>
      <c r="AJ23" s="26">
        <f t="shared" si="12"/>
        <v>28.507101517871146</v>
      </c>
      <c r="AK23" s="20">
        <f t="shared" si="13"/>
        <v>11.596371644357816</v>
      </c>
      <c r="AL23" s="37">
        <f t="shared" si="21"/>
        <v>3491.6559691912712</v>
      </c>
      <c r="AO23" s="26">
        <f t="shared" si="14"/>
        <v>42.760652276806717</v>
      </c>
      <c r="AP23" s="20">
        <f t="shared" si="15"/>
        <v>23.533765968457633</v>
      </c>
      <c r="AQ23" s="37">
        <f t="shared" si="22"/>
        <v>2327.7706461275143</v>
      </c>
      <c r="AT23" s="26">
        <f t="shared" si="16"/>
        <v>57.014203035742291</v>
      </c>
      <c r="AU23" s="20">
        <f t="shared" si="17"/>
        <v>42.838210494862544</v>
      </c>
      <c r="AV23" s="37">
        <f t="shared" si="23"/>
        <v>1745.8279845956356</v>
      </c>
      <c r="AY23" s="26">
        <f t="shared" si="18"/>
        <v>71.267753794677873</v>
      </c>
      <c r="AZ23" s="20">
        <f t="shared" si="19"/>
        <v>71.965388624340932</v>
      </c>
      <c r="BA23" s="37">
        <f t="shared" si="24"/>
        <v>1396.6623876765084</v>
      </c>
    </row>
    <row r="24" spans="7:53" x14ac:dyDescent="0.2">
      <c r="H24" s="4">
        <v>2600</v>
      </c>
      <c r="I24" s="6">
        <v>170</v>
      </c>
      <c r="K24" s="15">
        <f t="shared" si="0"/>
        <v>36.728063790437389</v>
      </c>
      <c r="L24" s="12">
        <f t="shared" si="9"/>
        <v>73.456127580874778</v>
      </c>
      <c r="M24" s="12">
        <f t="shared" si="25"/>
        <v>110.18419137131215</v>
      </c>
      <c r="N24" s="12">
        <f t="shared" si="26"/>
        <v>146.91225516174956</v>
      </c>
      <c r="O24" s="12">
        <f t="shared" si="27"/>
        <v>183.64031895218693</v>
      </c>
      <c r="P24" s="12"/>
      <c r="Q24" s="12"/>
      <c r="R24" s="6"/>
      <c r="S24" s="8"/>
      <c r="T24" s="4">
        <v>66</v>
      </c>
      <c r="U24" s="21">
        <f t="shared" si="1"/>
        <v>2372.5081885425479</v>
      </c>
      <c r="V24" s="21">
        <f t="shared" si="8"/>
        <v>531.40463269359202</v>
      </c>
      <c r="W24" s="21">
        <f t="shared" si="2"/>
        <v>1461.8468383594627</v>
      </c>
      <c r="X24" s="21">
        <f t="shared" si="3"/>
        <v>2383.9069407754337</v>
      </c>
      <c r="Y24" s="21">
        <f t="shared" si="4"/>
        <v>3290.5675058070078</v>
      </c>
      <c r="Z24" s="21">
        <f t="shared" si="5"/>
        <v>4174.9282990976781</v>
      </c>
      <c r="AA24" s="45">
        <f t="shared" si="6"/>
        <v>5030.2588010188547</v>
      </c>
      <c r="AB24" s="37">
        <f t="shared" si="7"/>
        <v>5850.0494299882403</v>
      </c>
      <c r="AC24" s="8"/>
      <c r="AE24" s="26">
        <f t="shared" si="10"/>
        <v>19.764923719057329</v>
      </c>
      <c r="AF24" s="20">
        <f t="shared" si="11"/>
        <v>6.5973952254404189</v>
      </c>
      <c r="AG24" s="37">
        <f t="shared" si="20"/>
        <v>5237.4839537869066</v>
      </c>
      <c r="AJ24" s="26">
        <f t="shared" si="12"/>
        <v>29.647385578585993</v>
      </c>
      <c r="AK24" s="20">
        <f t="shared" si="13"/>
        <v>11.863549998361414</v>
      </c>
      <c r="AL24" s="37">
        <f t="shared" si="21"/>
        <v>3491.6559691912712</v>
      </c>
      <c r="AO24" s="26">
        <f t="shared" si="14"/>
        <v>44.471078367878988</v>
      </c>
      <c r="AP24" s="20">
        <f t="shared" si="15"/>
        <v>24.435492913219775</v>
      </c>
      <c r="AQ24" s="37">
        <f t="shared" si="22"/>
        <v>2327.7706461275143</v>
      </c>
      <c r="AT24" s="26">
        <f t="shared" si="16"/>
        <v>59.294771157171986</v>
      </c>
      <c r="AU24" s="20">
        <f t="shared" si="17"/>
        <v>44.975637326891331</v>
      </c>
      <c r="AV24" s="37">
        <f t="shared" si="23"/>
        <v>1745.8279845956356</v>
      </c>
      <c r="AY24" s="26">
        <f t="shared" si="18"/>
        <v>74.118463946464985</v>
      </c>
      <c r="AZ24" s="20">
        <f t="shared" si="19"/>
        <v>76.140050405647116</v>
      </c>
      <c r="BA24" s="37">
        <f t="shared" si="24"/>
        <v>1396.6623876765084</v>
      </c>
    </row>
    <row r="25" spans="7:53" x14ac:dyDescent="0.2">
      <c r="H25" s="4">
        <v>2700</v>
      </c>
      <c r="I25" s="6">
        <v>170</v>
      </c>
      <c r="K25" s="15">
        <f t="shared" si="0"/>
        <v>35.367765131532295</v>
      </c>
      <c r="L25" s="12">
        <f t="shared" si="9"/>
        <v>70.735530263064589</v>
      </c>
      <c r="M25" s="12">
        <f t="shared" si="25"/>
        <v>106.1032953945969</v>
      </c>
      <c r="N25" s="12">
        <f t="shared" si="26"/>
        <v>141.47106052612918</v>
      </c>
      <c r="O25" s="12">
        <f t="shared" si="27"/>
        <v>176.83882565766149</v>
      </c>
      <c r="P25" s="12"/>
      <c r="Q25" s="12"/>
      <c r="R25" s="6"/>
      <c r="S25" s="8"/>
      <c r="T25" s="4">
        <v>69</v>
      </c>
      <c r="U25" s="21">
        <f t="shared" si="1"/>
        <v>2269.3556586059153</v>
      </c>
      <c r="V25" s="21">
        <f t="shared" si="8"/>
        <v>564.9198882126243</v>
      </c>
      <c r="W25" s="21">
        <f t="shared" si="2"/>
        <v>1495.3620938784948</v>
      </c>
      <c r="X25" s="21">
        <f t="shared" si="3"/>
        <v>2417.4221962944662</v>
      </c>
      <c r="Y25" s="21">
        <f t="shared" si="4"/>
        <v>3324.0827613260403</v>
      </c>
      <c r="Z25" s="21">
        <f t="shared" si="5"/>
        <v>4208.4435546167097</v>
      </c>
      <c r="AA25" s="45">
        <f t="shared" si="6"/>
        <v>5063.7740565378863</v>
      </c>
      <c r="AB25" s="37">
        <f t="shared" si="7"/>
        <v>5883.5646855072719</v>
      </c>
      <c r="AC25" s="8"/>
      <c r="AE25" s="26">
        <f t="shared" si="10"/>
        <v>20.525113092867226</v>
      </c>
      <c r="AF25" s="20">
        <f t="shared" si="11"/>
        <v>6.679663651074061</v>
      </c>
      <c r="AG25" s="37">
        <f t="shared" si="20"/>
        <v>5237.4839537869066</v>
      </c>
      <c r="AJ25" s="26">
        <f t="shared" si="12"/>
        <v>30.787669639300837</v>
      </c>
      <c r="AK25" s="20">
        <f t="shared" si="13"/>
        <v>12.141205934874959</v>
      </c>
      <c r="AL25" s="37">
        <f t="shared" si="21"/>
        <v>3491.6559691912712</v>
      </c>
      <c r="AO25" s="26">
        <f t="shared" si="14"/>
        <v>46.18150445895126</v>
      </c>
      <c r="AP25" s="20">
        <f t="shared" si="15"/>
        <v>25.372581698952992</v>
      </c>
      <c r="AQ25" s="37">
        <f t="shared" si="22"/>
        <v>2327.7706461275143</v>
      </c>
      <c r="AT25" s="26">
        <f t="shared" si="16"/>
        <v>61.575339278601675</v>
      </c>
      <c r="AU25" s="20">
        <f t="shared" si="17"/>
        <v>47.196884818999671</v>
      </c>
      <c r="AV25" s="37">
        <f t="shared" si="23"/>
        <v>1745.8279845956356</v>
      </c>
      <c r="AY25" s="26">
        <f t="shared" si="18"/>
        <v>76.969174098252111</v>
      </c>
      <c r="AZ25" s="20">
        <f t="shared" si="19"/>
        <v>80.478424413671249</v>
      </c>
      <c r="BA25" s="37">
        <f t="shared" si="24"/>
        <v>1396.6623876765084</v>
      </c>
    </row>
    <row r="26" spans="7:53" x14ac:dyDescent="0.2">
      <c r="H26" s="4">
        <v>2800</v>
      </c>
      <c r="I26" s="6">
        <v>170</v>
      </c>
      <c r="K26" s="15">
        <f t="shared" si="0"/>
        <v>34.104630662549006</v>
      </c>
      <c r="L26" s="12">
        <f t="shared" si="9"/>
        <v>68.209261325098012</v>
      </c>
      <c r="M26" s="12">
        <f t="shared" si="25"/>
        <v>102.31389198764703</v>
      </c>
      <c r="N26" s="12">
        <f t="shared" si="26"/>
        <v>136.41852265019602</v>
      </c>
      <c r="O26" s="12">
        <f t="shared" si="27"/>
        <v>170.52315331274502</v>
      </c>
      <c r="P26" s="12">
        <f t="shared" ref="P26:P68" si="28">60000/($H26*PI()/30)</f>
        <v>204.62778397529405</v>
      </c>
      <c r="Q26" s="12"/>
      <c r="R26" s="6"/>
      <c r="S26" s="8"/>
      <c r="T26" s="4">
        <v>72</v>
      </c>
      <c r="U26" s="21">
        <f t="shared" si="1"/>
        <v>2174.7991728306688</v>
      </c>
      <c r="V26" s="21">
        <f t="shared" si="8"/>
        <v>599.92471064361371</v>
      </c>
      <c r="W26" s="21">
        <f t="shared" si="2"/>
        <v>1530.3669163094844</v>
      </c>
      <c r="X26" s="21">
        <f t="shared" si="3"/>
        <v>2452.4270187254556</v>
      </c>
      <c r="Y26" s="21">
        <f t="shared" si="4"/>
        <v>3359.0875837570297</v>
      </c>
      <c r="Z26" s="21">
        <f t="shared" si="5"/>
        <v>4243.4483770476991</v>
      </c>
      <c r="AA26" s="45">
        <f t="shared" si="6"/>
        <v>5098.7788789688757</v>
      </c>
      <c r="AB26" s="37">
        <f t="shared" si="7"/>
        <v>5918.5695079382613</v>
      </c>
      <c r="AC26" s="8"/>
      <c r="AE26" s="26">
        <f t="shared" si="10"/>
        <v>21.285302466677127</v>
      </c>
      <c r="AF26" s="20">
        <f t="shared" si="11"/>
        <v>6.7650365455995392</v>
      </c>
      <c r="AG26" s="37">
        <f t="shared" si="20"/>
        <v>5237.4839537869066</v>
      </c>
      <c r="AJ26" s="26">
        <f t="shared" si="12"/>
        <v>31.927953700015685</v>
      </c>
      <c r="AK26" s="20">
        <f t="shared" si="13"/>
        <v>12.429339453898448</v>
      </c>
      <c r="AL26" s="37">
        <f t="shared" si="21"/>
        <v>3491.6559691912712</v>
      </c>
      <c r="AO26" s="26">
        <f t="shared" si="14"/>
        <v>47.891930550023531</v>
      </c>
      <c r="AP26" s="20">
        <f t="shared" si="15"/>
        <v>26.345032325657261</v>
      </c>
      <c r="AQ26" s="37">
        <f t="shared" si="22"/>
        <v>2327.7706461275143</v>
      </c>
      <c r="AT26" s="26">
        <f t="shared" si="16"/>
        <v>63.85590740003137</v>
      </c>
      <c r="AU26" s="20">
        <f t="shared" si="17"/>
        <v>49.501952971187585</v>
      </c>
      <c r="AV26" s="37">
        <f t="shared" si="23"/>
        <v>1745.8279845956356</v>
      </c>
      <c r="AY26" s="26">
        <f t="shared" si="18"/>
        <v>79.819884250039209</v>
      </c>
      <c r="AZ26" s="20">
        <f t="shared" si="19"/>
        <v>84.980510648413258</v>
      </c>
      <c r="BA26" s="37">
        <f t="shared" si="24"/>
        <v>1396.6623876765084</v>
      </c>
    </row>
    <row r="27" spans="7:53" x14ac:dyDescent="0.2">
      <c r="H27" s="4">
        <v>2900</v>
      </c>
      <c r="I27" s="6">
        <v>170</v>
      </c>
      <c r="K27" s="15">
        <f t="shared" si="0"/>
        <v>32.928608915564553</v>
      </c>
      <c r="L27" s="12">
        <f t="shared" si="9"/>
        <v>65.857217831129105</v>
      </c>
      <c r="M27" s="12">
        <f t="shared" si="25"/>
        <v>98.785826746693658</v>
      </c>
      <c r="N27" s="12">
        <f t="shared" si="26"/>
        <v>131.71443566225821</v>
      </c>
      <c r="O27" s="12">
        <f t="shared" si="27"/>
        <v>164.64304457782276</v>
      </c>
      <c r="P27" s="12">
        <f t="shared" si="28"/>
        <v>197.57165349338732</v>
      </c>
      <c r="Q27" s="12"/>
      <c r="R27" s="6"/>
      <c r="S27" s="8"/>
      <c r="T27" s="4">
        <v>75</v>
      </c>
      <c r="U27" s="21">
        <f t="shared" si="1"/>
        <v>2087.8072059174424</v>
      </c>
      <c r="V27" s="21">
        <f t="shared" si="8"/>
        <v>636.4190999865599</v>
      </c>
      <c r="W27" s="21">
        <f t="shared" si="2"/>
        <v>1566.8613056524305</v>
      </c>
      <c r="X27" s="21">
        <f t="shared" si="3"/>
        <v>2488.9214080684014</v>
      </c>
      <c r="Y27" s="21">
        <f t="shared" si="4"/>
        <v>3395.5819730999756</v>
      </c>
      <c r="Z27" s="21">
        <f t="shared" si="5"/>
        <v>4279.9427663906454</v>
      </c>
      <c r="AA27" s="45">
        <f t="shared" si="6"/>
        <v>5135.273268311822</v>
      </c>
      <c r="AB27" s="37">
        <f t="shared" si="7"/>
        <v>5955.0638972812076</v>
      </c>
      <c r="AC27" s="8"/>
      <c r="AE27" s="26">
        <f t="shared" si="10"/>
        <v>22.045491840487021</v>
      </c>
      <c r="AF27" s="20">
        <f t="shared" si="11"/>
        <v>6.8535139090168533</v>
      </c>
      <c r="AG27" s="37">
        <f t="shared" si="20"/>
        <v>5237.4839537869066</v>
      </c>
      <c r="AJ27" s="26">
        <f t="shared" si="12"/>
        <v>33.068237760730533</v>
      </c>
      <c r="AK27" s="20">
        <f t="shared" si="13"/>
        <v>12.72795055543188</v>
      </c>
      <c r="AL27" s="37">
        <f t="shared" si="21"/>
        <v>3491.6559691912712</v>
      </c>
      <c r="AO27" s="26">
        <f t="shared" si="14"/>
        <v>49.602356641095795</v>
      </c>
      <c r="AP27" s="20">
        <f t="shared" si="15"/>
        <v>27.352844793332594</v>
      </c>
      <c r="AQ27" s="37">
        <f t="shared" si="22"/>
        <v>2327.7706461275143</v>
      </c>
      <c r="AT27" s="26">
        <f t="shared" si="16"/>
        <v>66.136475521461065</v>
      </c>
      <c r="AU27" s="20">
        <f t="shared" si="17"/>
        <v>51.890841783455038</v>
      </c>
      <c r="AV27" s="37">
        <f t="shared" si="23"/>
        <v>1745.8279845956356</v>
      </c>
      <c r="AY27" s="26">
        <f t="shared" si="18"/>
        <v>82.670594401826321</v>
      </c>
      <c r="AZ27" s="20">
        <f t="shared" si="19"/>
        <v>89.646309109873116</v>
      </c>
      <c r="BA27" s="37">
        <f t="shared" si="24"/>
        <v>1396.6623876765084</v>
      </c>
    </row>
    <row r="28" spans="7:53" x14ac:dyDescent="0.2">
      <c r="H28" s="4">
        <v>3000</v>
      </c>
      <c r="I28" s="6">
        <v>170</v>
      </c>
      <c r="K28" s="15">
        <f t="shared" si="0"/>
        <v>31.830988618379067</v>
      </c>
      <c r="L28" s="12">
        <f t="shared" si="9"/>
        <v>63.661977236758133</v>
      </c>
      <c r="M28" s="12">
        <f t="shared" si="25"/>
        <v>95.4929658551372</v>
      </c>
      <c r="N28" s="12">
        <f t="shared" si="26"/>
        <v>127.32395447351627</v>
      </c>
      <c r="O28" s="12">
        <f t="shared" si="27"/>
        <v>159.15494309189535</v>
      </c>
      <c r="P28" s="12">
        <f t="shared" si="28"/>
        <v>190.9859317102744</v>
      </c>
      <c r="Q28" s="12"/>
      <c r="R28" s="6"/>
      <c r="S28" s="8"/>
      <c r="T28" s="4">
        <v>78</v>
      </c>
      <c r="U28" s="21">
        <f t="shared" si="1"/>
        <v>2007.5069287667711</v>
      </c>
      <c r="V28" s="21">
        <f t="shared" si="8"/>
        <v>674.40305624146333</v>
      </c>
      <c r="W28" s="21">
        <f t="shared" si="2"/>
        <v>1604.8452619073339</v>
      </c>
      <c r="X28" s="21">
        <f t="shared" si="3"/>
        <v>2526.9053643233051</v>
      </c>
      <c r="Y28" s="21">
        <f t="shared" si="4"/>
        <v>3433.5659293548792</v>
      </c>
      <c r="Z28" s="21">
        <f t="shared" si="5"/>
        <v>4317.9267226455486</v>
      </c>
      <c r="AA28" s="45">
        <f t="shared" si="6"/>
        <v>5173.2572245667252</v>
      </c>
      <c r="AB28" s="37">
        <f t="shared" si="7"/>
        <v>5993.0478535361108</v>
      </c>
      <c r="AC28" s="8"/>
      <c r="AE28" s="26">
        <f t="shared" si="10"/>
        <v>22.805681214296918</v>
      </c>
      <c r="AF28" s="20">
        <f t="shared" si="11"/>
        <v>6.9450957413260017</v>
      </c>
      <c r="AG28" s="37">
        <f t="shared" si="20"/>
        <v>5237.4839537869066</v>
      </c>
      <c r="AJ28" s="26">
        <f t="shared" si="12"/>
        <v>34.20852182144538</v>
      </c>
      <c r="AK28" s="20">
        <f t="shared" si="13"/>
        <v>13.037039239475257</v>
      </c>
      <c r="AL28" s="37">
        <f t="shared" si="21"/>
        <v>3491.6559691912712</v>
      </c>
      <c r="AO28" s="26">
        <f t="shared" si="14"/>
        <v>51.312782732168067</v>
      </c>
      <c r="AP28" s="20">
        <f t="shared" si="15"/>
        <v>28.396019101978993</v>
      </c>
      <c r="AQ28" s="37">
        <f t="shared" si="22"/>
        <v>2327.7706461275143</v>
      </c>
      <c r="AT28" s="26">
        <f t="shared" si="16"/>
        <v>68.417043642890761</v>
      </c>
      <c r="AU28" s="20">
        <f t="shared" si="17"/>
        <v>54.363551255802072</v>
      </c>
      <c r="AV28" s="37">
        <f t="shared" si="23"/>
        <v>1745.8279845956356</v>
      </c>
      <c r="AY28" s="26">
        <f t="shared" si="18"/>
        <v>85.521304553613447</v>
      </c>
      <c r="AZ28" s="20">
        <f t="shared" si="19"/>
        <v>94.475819798050921</v>
      </c>
      <c r="BA28" s="37">
        <f t="shared" si="24"/>
        <v>1396.6623876765084</v>
      </c>
    </row>
    <row r="29" spans="7:53" x14ac:dyDescent="0.2">
      <c r="H29" s="4">
        <v>3100</v>
      </c>
      <c r="I29" s="6">
        <v>170</v>
      </c>
      <c r="K29" s="15">
        <f t="shared" si="0"/>
        <v>30.804182533915228</v>
      </c>
      <c r="L29" s="12">
        <f t="shared" si="9"/>
        <v>61.608365067830455</v>
      </c>
      <c r="M29" s="12">
        <f t="shared" si="25"/>
        <v>92.412547601745672</v>
      </c>
      <c r="N29" s="12">
        <f t="shared" si="26"/>
        <v>123.21673013566091</v>
      </c>
      <c r="O29" s="12">
        <f t="shared" si="27"/>
        <v>154.02091266957612</v>
      </c>
      <c r="P29" s="12">
        <f t="shared" si="28"/>
        <v>184.82509520349134</v>
      </c>
      <c r="Q29" s="12"/>
      <c r="R29" s="6"/>
      <c r="S29" s="8"/>
      <c r="T29" s="4">
        <v>81</v>
      </c>
      <c r="U29" s="21">
        <f t="shared" si="1"/>
        <v>1933.154820293928</v>
      </c>
      <c r="V29" s="21">
        <f t="shared" si="8"/>
        <v>713.87657940832344</v>
      </c>
      <c r="W29" s="21">
        <f t="shared" si="2"/>
        <v>1644.318785074194</v>
      </c>
      <c r="X29" s="21">
        <f t="shared" si="3"/>
        <v>2566.3788874901652</v>
      </c>
      <c r="Y29" s="21">
        <f t="shared" si="4"/>
        <v>3473.0394525217393</v>
      </c>
      <c r="Z29" s="21">
        <f t="shared" si="5"/>
        <v>4357.4002458124087</v>
      </c>
      <c r="AA29" s="45">
        <f t="shared" si="6"/>
        <v>5212.7307477335853</v>
      </c>
      <c r="AB29" s="37">
        <f t="shared" si="7"/>
        <v>6032.5213767029709</v>
      </c>
      <c r="AC29" s="8"/>
      <c r="AE29" s="26">
        <f t="shared" si="10"/>
        <v>23.565870588106812</v>
      </c>
      <c r="AF29" s="20">
        <f t="shared" si="11"/>
        <v>7.0397820425269853</v>
      </c>
      <c r="AG29" s="37">
        <f t="shared" si="20"/>
        <v>5237.4839537869066</v>
      </c>
      <c r="AJ29" s="26">
        <f t="shared" si="12"/>
        <v>35.348805882160221</v>
      </c>
      <c r="AK29" s="20">
        <f t="shared" si="13"/>
        <v>13.356605506028579</v>
      </c>
      <c r="AL29" s="37">
        <f t="shared" si="21"/>
        <v>3491.6559691912712</v>
      </c>
      <c r="AO29" s="26">
        <f t="shared" si="14"/>
        <v>53.023208823240331</v>
      </c>
      <c r="AP29" s="20">
        <f t="shared" si="15"/>
        <v>29.474555251596456</v>
      </c>
      <c r="AQ29" s="37">
        <f t="shared" si="22"/>
        <v>2327.7706461275143</v>
      </c>
      <c r="AT29" s="26">
        <f t="shared" si="16"/>
        <v>70.697611764320442</v>
      </c>
      <c r="AU29" s="20">
        <f t="shared" si="17"/>
        <v>56.920081388228645</v>
      </c>
      <c r="AV29" s="37">
        <f t="shared" si="23"/>
        <v>1745.8279845956356</v>
      </c>
      <c r="AY29" s="26">
        <f t="shared" si="18"/>
        <v>88.372014705400545</v>
      </c>
      <c r="AZ29" s="20">
        <f t="shared" si="19"/>
        <v>99.469042712946575</v>
      </c>
      <c r="BA29" s="37">
        <f t="shared" si="24"/>
        <v>1396.6623876765084</v>
      </c>
    </row>
    <row r="30" spans="7:53" x14ac:dyDescent="0.2">
      <c r="H30" s="4">
        <v>3200</v>
      </c>
      <c r="I30" s="6">
        <v>170</v>
      </c>
      <c r="K30" s="15">
        <f t="shared" si="0"/>
        <v>29.841551829730374</v>
      </c>
      <c r="L30" s="12">
        <f t="shared" si="9"/>
        <v>59.683103659460748</v>
      </c>
      <c r="M30" s="12">
        <f t="shared" si="25"/>
        <v>89.524655489191119</v>
      </c>
      <c r="N30" s="12">
        <f t="shared" si="26"/>
        <v>119.3662073189215</v>
      </c>
      <c r="O30" s="12">
        <f t="shared" si="27"/>
        <v>149.20775914865189</v>
      </c>
      <c r="P30" s="12">
        <f t="shared" si="28"/>
        <v>179.04931097838224</v>
      </c>
      <c r="Q30" s="12"/>
      <c r="R30" s="6"/>
      <c r="S30" s="8"/>
      <c r="T30" s="4">
        <v>84</v>
      </c>
      <c r="U30" s="21">
        <f t="shared" si="1"/>
        <v>1864.1135767120018</v>
      </c>
      <c r="V30" s="21">
        <f t="shared" si="8"/>
        <v>754.83966948714101</v>
      </c>
      <c r="W30" s="21">
        <f t="shared" si="2"/>
        <v>1685.2818751530117</v>
      </c>
      <c r="X30" s="21">
        <f t="shared" si="3"/>
        <v>2607.3419775689827</v>
      </c>
      <c r="Y30" s="21">
        <f t="shared" si="4"/>
        <v>3514.0025426005568</v>
      </c>
      <c r="Z30" s="21">
        <f t="shared" si="5"/>
        <v>4398.3633358912266</v>
      </c>
      <c r="AA30" s="45">
        <f t="shared" si="6"/>
        <v>5253.6938378124032</v>
      </c>
      <c r="AB30" s="37">
        <f t="shared" si="7"/>
        <v>6073.4844667817888</v>
      </c>
      <c r="AC30" s="8"/>
      <c r="AE30" s="26">
        <f t="shared" si="10"/>
        <v>24.326059961916712</v>
      </c>
      <c r="AF30" s="20">
        <f t="shared" si="11"/>
        <v>7.1375728126198048</v>
      </c>
      <c r="AG30" s="37">
        <f t="shared" si="20"/>
        <v>5237.4839537869066</v>
      </c>
      <c r="AJ30" s="26">
        <f t="shared" si="12"/>
        <v>36.489089942875069</v>
      </c>
      <c r="AK30" s="20">
        <f t="shared" si="13"/>
        <v>13.686649355091852</v>
      </c>
      <c r="AL30" s="37">
        <f t="shared" si="21"/>
        <v>3491.6559691912712</v>
      </c>
      <c r="AO30" s="26">
        <f t="shared" si="14"/>
        <v>54.733634914312596</v>
      </c>
      <c r="AP30" s="20">
        <f t="shared" si="15"/>
        <v>30.588453242184983</v>
      </c>
      <c r="AQ30" s="37">
        <f t="shared" si="22"/>
        <v>2327.7706461275143</v>
      </c>
      <c r="AT30" s="26">
        <f t="shared" si="16"/>
        <v>72.978179885750137</v>
      </c>
      <c r="AU30" s="20">
        <f t="shared" si="17"/>
        <v>59.560432180734807</v>
      </c>
      <c r="AV30" s="37">
        <f t="shared" si="23"/>
        <v>1745.8279845956356</v>
      </c>
      <c r="AY30" s="26">
        <f t="shared" si="18"/>
        <v>91.222724857187671</v>
      </c>
      <c r="AZ30" s="20">
        <f t="shared" si="19"/>
        <v>104.62597785456016</v>
      </c>
      <c r="BA30" s="37">
        <f t="shared" si="24"/>
        <v>1396.6623876765084</v>
      </c>
    </row>
    <row r="31" spans="7:53" x14ac:dyDescent="0.2">
      <c r="H31" s="4">
        <v>3300</v>
      </c>
      <c r="I31" s="6">
        <v>170</v>
      </c>
      <c r="K31" s="15">
        <f t="shared" si="0"/>
        <v>28.937262380344606</v>
      </c>
      <c r="L31" s="12">
        <f t="shared" si="9"/>
        <v>57.874524760689212</v>
      </c>
      <c r="M31" s="12">
        <f t="shared" si="25"/>
        <v>86.811787141033818</v>
      </c>
      <c r="N31" s="12">
        <f t="shared" si="26"/>
        <v>115.74904952137842</v>
      </c>
      <c r="O31" s="12">
        <f t="shared" si="27"/>
        <v>144.68631190172303</v>
      </c>
      <c r="P31" s="12">
        <f t="shared" si="28"/>
        <v>173.62357428206764</v>
      </c>
      <c r="Q31" s="12">
        <f t="shared" ref="Q31:Q68" si="29">70000/($H31*PI()/30)</f>
        <v>202.56083666241224</v>
      </c>
      <c r="R31" s="6"/>
      <c r="S31" s="8"/>
      <c r="T31" s="4">
        <v>87</v>
      </c>
      <c r="U31" s="21">
        <f t="shared" si="1"/>
        <v>1799.8337982046914</v>
      </c>
      <c r="V31" s="21">
        <f t="shared" si="8"/>
        <v>797.29232647791503</v>
      </c>
      <c r="W31" s="21">
        <f t="shared" si="2"/>
        <v>1727.7345321437856</v>
      </c>
      <c r="X31" s="21">
        <f t="shared" si="3"/>
        <v>2649.7946345597566</v>
      </c>
      <c r="Y31" s="21">
        <f t="shared" si="4"/>
        <v>3556.4551995913307</v>
      </c>
      <c r="Z31" s="21">
        <f t="shared" si="5"/>
        <v>4440.8159928820005</v>
      </c>
      <c r="AA31" s="45">
        <f t="shared" si="6"/>
        <v>5296.1464948031771</v>
      </c>
      <c r="AB31" s="37">
        <f t="shared" si="7"/>
        <v>6115.9371237725627</v>
      </c>
      <c r="AC31" s="8"/>
      <c r="AE31" s="26">
        <f t="shared" si="10"/>
        <v>25.08624933572661</v>
      </c>
      <c r="AF31" s="20">
        <f t="shared" si="11"/>
        <v>7.238468051604463</v>
      </c>
      <c r="AG31" s="37">
        <f t="shared" si="20"/>
        <v>5237.4839537869066</v>
      </c>
      <c r="AJ31" s="26">
        <f t="shared" si="12"/>
        <v>37.629374003589909</v>
      </c>
      <c r="AK31" s="20">
        <f t="shared" si="13"/>
        <v>14.02717078666506</v>
      </c>
      <c r="AL31" s="37">
        <f t="shared" si="21"/>
        <v>3491.6559691912712</v>
      </c>
      <c r="AO31" s="26">
        <f t="shared" si="14"/>
        <v>56.444061005384867</v>
      </c>
      <c r="AP31" s="20">
        <f t="shared" si="15"/>
        <v>31.737713073744576</v>
      </c>
      <c r="AQ31" s="37">
        <f t="shared" si="22"/>
        <v>2327.7706461275143</v>
      </c>
      <c r="AT31" s="26">
        <f t="shared" si="16"/>
        <v>75.258748007179818</v>
      </c>
      <c r="AU31" s="20">
        <f t="shared" si="17"/>
        <v>62.284603633320494</v>
      </c>
      <c r="AV31" s="37">
        <f t="shared" si="23"/>
        <v>1745.8279845956356</v>
      </c>
      <c r="AY31" s="26">
        <f t="shared" si="18"/>
        <v>94.073435008974783</v>
      </c>
      <c r="AZ31" s="20">
        <f t="shared" si="19"/>
        <v>109.9466252228916</v>
      </c>
      <c r="BA31" s="37">
        <f t="shared" si="24"/>
        <v>1396.6623876765084</v>
      </c>
    </row>
    <row r="32" spans="7:53" x14ac:dyDescent="0.2">
      <c r="H32" s="4">
        <v>3400</v>
      </c>
      <c r="I32" s="6">
        <v>170</v>
      </c>
      <c r="K32" s="15">
        <f t="shared" si="0"/>
        <v>28.086166427981535</v>
      </c>
      <c r="L32" s="12">
        <f t="shared" si="9"/>
        <v>56.17233285596307</v>
      </c>
      <c r="M32" s="12">
        <f t="shared" si="25"/>
        <v>84.258499283944602</v>
      </c>
      <c r="N32" s="12">
        <f t="shared" si="26"/>
        <v>112.34466571192614</v>
      </c>
      <c r="O32" s="12">
        <f t="shared" si="27"/>
        <v>140.43083213990766</v>
      </c>
      <c r="P32" s="12">
        <f t="shared" si="28"/>
        <v>168.5169985678892</v>
      </c>
      <c r="Q32" s="12">
        <f t="shared" si="29"/>
        <v>196.60316499587074</v>
      </c>
      <c r="R32" s="6"/>
      <c r="S32" s="8"/>
      <c r="T32" s="4">
        <v>90</v>
      </c>
      <c r="U32" s="21">
        <f t="shared" si="1"/>
        <v>1739.8393382645349</v>
      </c>
      <c r="V32" s="21">
        <f t="shared" si="8"/>
        <v>841.23455038064651</v>
      </c>
      <c r="W32" s="21">
        <f t="shared" si="2"/>
        <v>1771.6767560465171</v>
      </c>
      <c r="X32" s="21">
        <f t="shared" si="3"/>
        <v>2693.7368584624883</v>
      </c>
      <c r="Y32" s="21">
        <f t="shared" si="4"/>
        <v>3600.3974234940624</v>
      </c>
      <c r="Z32" s="21">
        <f t="shared" si="5"/>
        <v>4484.7582167847322</v>
      </c>
      <c r="AA32" s="45">
        <f t="shared" si="6"/>
        <v>5340.0887187059088</v>
      </c>
      <c r="AB32" s="37">
        <f t="shared" si="7"/>
        <v>6159.8793476752944</v>
      </c>
      <c r="AC32" s="8"/>
      <c r="AE32" s="26">
        <f t="shared" si="10"/>
        <v>25.846438709536507</v>
      </c>
      <c r="AF32" s="20">
        <f t="shared" si="11"/>
        <v>7.3424677594809538</v>
      </c>
      <c r="AG32" s="37">
        <f t="shared" si="20"/>
        <v>5237.4839537869066</v>
      </c>
      <c r="AJ32" s="26">
        <f t="shared" si="12"/>
        <v>38.769658064304757</v>
      </c>
      <c r="AK32" s="20">
        <f t="shared" si="13"/>
        <v>14.378169800748218</v>
      </c>
      <c r="AL32" s="37">
        <f t="shared" si="21"/>
        <v>3491.6559691912712</v>
      </c>
      <c r="AO32" s="26">
        <f t="shared" si="14"/>
        <v>58.154487096457139</v>
      </c>
      <c r="AP32" s="20">
        <f t="shared" si="15"/>
        <v>32.922334746275247</v>
      </c>
      <c r="AQ32" s="37">
        <f t="shared" si="22"/>
        <v>2327.7706461275143</v>
      </c>
      <c r="AT32" s="26">
        <f t="shared" si="16"/>
        <v>77.539316128609514</v>
      </c>
      <c r="AU32" s="20">
        <f t="shared" si="17"/>
        <v>65.092595745985747</v>
      </c>
      <c r="AV32" s="37">
        <f t="shared" si="23"/>
        <v>1745.8279845956356</v>
      </c>
      <c r="AY32" s="26">
        <f t="shared" si="18"/>
        <v>96.924145160761896</v>
      </c>
      <c r="AZ32" s="20">
        <f t="shared" si="19"/>
        <v>115.43098481794092</v>
      </c>
      <c r="BA32" s="37">
        <f t="shared" si="24"/>
        <v>1396.6623876765084</v>
      </c>
    </row>
    <row r="33" spans="3:53" x14ac:dyDescent="0.2">
      <c r="H33" s="4">
        <v>3500</v>
      </c>
      <c r="I33" s="6">
        <v>170</v>
      </c>
      <c r="K33" s="15">
        <f t="shared" si="0"/>
        <v>27.283704530039202</v>
      </c>
      <c r="L33" s="12">
        <f t="shared" si="9"/>
        <v>54.567409060078404</v>
      </c>
      <c r="M33" s="12">
        <f t="shared" si="25"/>
        <v>81.851113590117606</v>
      </c>
      <c r="N33" s="12">
        <f t="shared" si="26"/>
        <v>109.13481812015681</v>
      </c>
      <c r="O33" s="12">
        <f t="shared" si="27"/>
        <v>136.41852265019602</v>
      </c>
      <c r="P33" s="12">
        <f t="shared" si="28"/>
        <v>163.70222718023521</v>
      </c>
      <c r="Q33" s="12">
        <f t="shared" si="29"/>
        <v>190.98593171027443</v>
      </c>
      <c r="R33" s="6"/>
      <c r="S33" s="8"/>
      <c r="T33" s="4">
        <v>93</v>
      </c>
      <c r="U33" s="21">
        <f t="shared" si="1"/>
        <v>1683.7154886430985</v>
      </c>
      <c r="V33" s="21">
        <f t="shared" si="8"/>
        <v>886.66634119533444</v>
      </c>
      <c r="W33" s="21">
        <f t="shared" si="2"/>
        <v>1817.108546861205</v>
      </c>
      <c r="X33" s="21">
        <f t="shared" si="3"/>
        <v>2739.168649277176</v>
      </c>
      <c r="Y33" s="21">
        <f t="shared" si="4"/>
        <v>3645.8292143087501</v>
      </c>
      <c r="Z33" s="21">
        <f t="shared" si="5"/>
        <v>4530.1900075994199</v>
      </c>
      <c r="AA33" s="45">
        <f t="shared" si="6"/>
        <v>5385.5205095205965</v>
      </c>
      <c r="AB33" s="37">
        <f t="shared" si="7"/>
        <v>6205.3111384899821</v>
      </c>
      <c r="AC33" s="8"/>
      <c r="AE33" s="26">
        <f t="shared" si="10"/>
        <v>26.606628083346404</v>
      </c>
      <c r="AF33" s="20">
        <f t="shared" si="11"/>
        <v>7.4495719362492805</v>
      </c>
      <c r="AG33" s="37">
        <f t="shared" si="20"/>
        <v>5237.4839537869066</v>
      </c>
      <c r="AJ33" s="26">
        <f t="shared" si="12"/>
        <v>39.909942125019604</v>
      </c>
      <c r="AK33" s="20">
        <f t="shared" si="13"/>
        <v>14.739646397341325</v>
      </c>
      <c r="AL33" s="37">
        <f t="shared" si="21"/>
        <v>3491.6559691912712</v>
      </c>
      <c r="AO33" s="26">
        <f t="shared" si="14"/>
        <v>59.86491318752941</v>
      </c>
      <c r="AP33" s="20">
        <f t="shared" si="15"/>
        <v>34.142318259776971</v>
      </c>
      <c r="AQ33" s="37">
        <f t="shared" si="22"/>
        <v>2327.7706461275143</v>
      </c>
      <c r="AT33" s="26">
        <f t="shared" si="16"/>
        <v>79.819884250039209</v>
      </c>
      <c r="AU33" s="20">
        <f t="shared" si="17"/>
        <v>67.984408518730604</v>
      </c>
      <c r="AV33" s="37">
        <f t="shared" si="23"/>
        <v>1745.8279845956356</v>
      </c>
      <c r="AY33" s="26">
        <f t="shared" si="18"/>
        <v>99.774855312549022</v>
      </c>
      <c r="AZ33" s="20">
        <f t="shared" si="19"/>
        <v>121.07905663970821</v>
      </c>
      <c r="BA33" s="37">
        <f t="shared" si="24"/>
        <v>1396.6623876765084</v>
      </c>
    </row>
    <row r="34" spans="3:53" x14ac:dyDescent="0.2">
      <c r="H34" s="4">
        <v>3600</v>
      </c>
      <c r="I34" s="6">
        <v>170</v>
      </c>
      <c r="K34" s="15">
        <f t="shared" ref="K34:K68" si="30">10000/($H34*PI()/30)</f>
        <v>26.525823848649225</v>
      </c>
      <c r="L34" s="12">
        <f t="shared" si="9"/>
        <v>53.051647697298449</v>
      </c>
      <c r="M34" s="12">
        <f t="shared" si="25"/>
        <v>79.577471545947674</v>
      </c>
      <c r="N34" s="12">
        <f t="shared" si="26"/>
        <v>106.1032953945969</v>
      </c>
      <c r="O34" s="12">
        <f t="shared" si="27"/>
        <v>132.62911924324612</v>
      </c>
      <c r="P34" s="12">
        <f t="shared" si="28"/>
        <v>159.15494309189535</v>
      </c>
      <c r="Q34" s="12">
        <f t="shared" si="29"/>
        <v>185.68076694054457</v>
      </c>
      <c r="R34" s="6"/>
      <c r="S34" s="8"/>
      <c r="T34" s="4">
        <v>96</v>
      </c>
      <c r="U34" s="21">
        <f t="shared" si="1"/>
        <v>1631.0993796230016</v>
      </c>
      <c r="V34" s="21">
        <f t="shared" si="8"/>
        <v>933.58769892197995</v>
      </c>
      <c r="W34" s="21">
        <f t="shared" si="2"/>
        <v>1864.0299045878505</v>
      </c>
      <c r="X34" s="21">
        <f t="shared" si="3"/>
        <v>2786.0900070038215</v>
      </c>
      <c r="Y34" s="21">
        <f t="shared" si="4"/>
        <v>3692.7505720353956</v>
      </c>
      <c r="Z34" s="21">
        <f t="shared" si="5"/>
        <v>4577.1113653260654</v>
      </c>
      <c r="AA34" s="45">
        <f t="shared" si="6"/>
        <v>5432.441867247242</v>
      </c>
      <c r="AB34" s="37">
        <f t="shared" si="7"/>
        <v>6252.2324962166276</v>
      </c>
      <c r="AC34" s="8"/>
      <c r="AE34" s="26">
        <f t="shared" si="10"/>
        <v>27.366817457156298</v>
      </c>
      <c r="AF34" s="20">
        <f t="shared" si="11"/>
        <v>7.5597805819094406</v>
      </c>
      <c r="AG34" s="37">
        <f t="shared" si="20"/>
        <v>5237.4839537869066</v>
      </c>
      <c r="AJ34" s="26">
        <f t="shared" si="12"/>
        <v>41.050226185734452</v>
      </c>
      <c r="AK34" s="20">
        <f t="shared" si="13"/>
        <v>15.111600576444369</v>
      </c>
      <c r="AL34" s="37">
        <f t="shared" si="21"/>
        <v>3491.6559691912712</v>
      </c>
      <c r="AO34" s="26">
        <f t="shared" si="14"/>
        <v>61.575339278601675</v>
      </c>
      <c r="AP34" s="20">
        <f t="shared" si="15"/>
        <v>35.397663614249751</v>
      </c>
      <c r="AQ34" s="37">
        <f t="shared" si="22"/>
        <v>2327.7706461275143</v>
      </c>
      <c r="AT34" s="26">
        <f t="shared" si="16"/>
        <v>82.100452371468904</v>
      </c>
      <c r="AU34" s="20">
        <f t="shared" si="17"/>
        <v>70.96004195155497</v>
      </c>
      <c r="AV34" s="37">
        <f t="shared" si="23"/>
        <v>1745.8279845956356</v>
      </c>
      <c r="AY34" s="26">
        <f t="shared" si="18"/>
        <v>102.62556546433613</v>
      </c>
      <c r="AZ34" s="20">
        <f t="shared" si="19"/>
        <v>126.89084068819332</v>
      </c>
      <c r="BA34" s="37">
        <f t="shared" si="24"/>
        <v>1396.6623876765084</v>
      </c>
    </row>
    <row r="35" spans="3:53" x14ac:dyDescent="0.2">
      <c r="H35" s="4">
        <v>3700</v>
      </c>
      <c r="I35" s="6">
        <v>170</v>
      </c>
      <c r="K35" s="15">
        <f t="shared" si="30"/>
        <v>25.808909690577622</v>
      </c>
      <c r="L35" s="12">
        <f t="shared" si="9"/>
        <v>51.617819381155243</v>
      </c>
      <c r="M35" s="12">
        <f t="shared" si="25"/>
        <v>77.426729071732865</v>
      </c>
      <c r="N35" s="12">
        <f t="shared" si="26"/>
        <v>103.23563876231049</v>
      </c>
      <c r="O35" s="12">
        <f t="shared" si="27"/>
        <v>129.04454845288811</v>
      </c>
      <c r="P35" s="12">
        <f t="shared" si="28"/>
        <v>154.85345814346573</v>
      </c>
      <c r="Q35" s="12">
        <f t="shared" si="29"/>
        <v>180.66236783404335</v>
      </c>
      <c r="R35" s="6"/>
      <c r="S35" s="8"/>
      <c r="T35" s="4">
        <v>99</v>
      </c>
      <c r="U35" s="21">
        <f t="shared" si="1"/>
        <v>1581.672125695032</v>
      </c>
      <c r="V35" s="21">
        <f t="shared" si="8"/>
        <v>981.99862356058213</v>
      </c>
      <c r="W35" s="21">
        <f t="shared" si="2"/>
        <v>1912.4408292264527</v>
      </c>
      <c r="X35" s="21">
        <f t="shared" si="3"/>
        <v>2834.5009316424239</v>
      </c>
      <c r="Y35" s="21">
        <f t="shared" si="4"/>
        <v>3741.161496673998</v>
      </c>
      <c r="Z35" s="21">
        <f t="shared" si="5"/>
        <v>4625.5222899646678</v>
      </c>
      <c r="AA35" s="45">
        <f t="shared" si="6"/>
        <v>5480.8527918858445</v>
      </c>
      <c r="AB35" s="37">
        <f t="shared" si="7"/>
        <v>6300.64342085523</v>
      </c>
      <c r="AC35" s="8"/>
      <c r="AE35" s="26">
        <f t="shared" si="10"/>
        <v>28.127006830966199</v>
      </c>
      <c r="AF35" s="20">
        <f t="shared" si="11"/>
        <v>7.6730936964614402</v>
      </c>
      <c r="AG35" s="37">
        <f t="shared" si="20"/>
        <v>5237.4839537869066</v>
      </c>
      <c r="AJ35" s="26">
        <f t="shared" si="12"/>
        <v>42.1905102464493</v>
      </c>
      <c r="AK35" s="20">
        <f t="shared" si="13"/>
        <v>15.494032338057366</v>
      </c>
      <c r="AL35" s="37">
        <f t="shared" si="21"/>
        <v>3491.6559691912712</v>
      </c>
      <c r="AO35" s="26">
        <f t="shared" si="14"/>
        <v>63.285765369673946</v>
      </c>
      <c r="AP35" s="20">
        <f t="shared" si="15"/>
        <v>36.688370809693609</v>
      </c>
      <c r="AQ35" s="37">
        <f t="shared" si="22"/>
        <v>2327.7706461275143</v>
      </c>
      <c r="AT35" s="26">
        <f t="shared" si="16"/>
        <v>84.3810204928986</v>
      </c>
      <c r="AU35" s="20">
        <f t="shared" si="17"/>
        <v>74.019496044458933</v>
      </c>
      <c r="AV35" s="37">
        <f t="shared" si="23"/>
        <v>1745.8279845956356</v>
      </c>
      <c r="AY35" s="26">
        <f t="shared" si="18"/>
        <v>105.47627561612325</v>
      </c>
      <c r="AZ35" s="20">
        <f t="shared" si="19"/>
        <v>132.86633696339632</v>
      </c>
      <c r="BA35" s="37">
        <f t="shared" si="24"/>
        <v>1396.6623876765084</v>
      </c>
    </row>
    <row r="36" spans="3:53" x14ac:dyDescent="0.2">
      <c r="H36" s="4">
        <v>3800</v>
      </c>
      <c r="I36" s="6">
        <v>170</v>
      </c>
      <c r="K36" s="15">
        <f t="shared" si="30"/>
        <v>25.129727856615052</v>
      </c>
      <c r="L36" s="12">
        <f t="shared" si="9"/>
        <v>50.259455713230103</v>
      </c>
      <c r="M36" s="12">
        <f t="shared" si="25"/>
        <v>75.389183569845159</v>
      </c>
      <c r="N36" s="12">
        <f t="shared" si="26"/>
        <v>100.51891142646021</v>
      </c>
      <c r="O36" s="12">
        <f t="shared" si="27"/>
        <v>125.64863928307525</v>
      </c>
      <c r="P36" s="12">
        <f t="shared" si="28"/>
        <v>150.77836713969032</v>
      </c>
      <c r="Q36" s="12">
        <f t="shared" si="29"/>
        <v>175.90809499630535</v>
      </c>
      <c r="R36" s="6">
        <f t="shared" ref="R36:R68" si="31">80000/($H36*PI()/30)</f>
        <v>201.03782285292041</v>
      </c>
      <c r="S36" s="8"/>
      <c r="T36" s="4">
        <v>102</v>
      </c>
      <c r="U36" s="21">
        <f t="shared" si="1"/>
        <v>1535.152357292237</v>
      </c>
      <c r="V36" s="21">
        <f t="shared" si="8"/>
        <v>1031.8991151111413</v>
      </c>
      <c r="W36" s="21">
        <f t="shared" si="2"/>
        <v>1962.3413207770118</v>
      </c>
      <c r="X36" s="21">
        <f t="shared" si="3"/>
        <v>2884.4014231929832</v>
      </c>
      <c r="Y36" s="21">
        <f t="shared" si="4"/>
        <v>3791.0619882245574</v>
      </c>
      <c r="Z36" s="21">
        <f t="shared" si="5"/>
        <v>4675.4227815152271</v>
      </c>
      <c r="AA36" s="45">
        <f t="shared" si="6"/>
        <v>5530.7532834364038</v>
      </c>
      <c r="AB36" s="37">
        <f t="shared" si="7"/>
        <v>6350.5439124057893</v>
      </c>
      <c r="AC36" s="8"/>
      <c r="AE36" s="26">
        <f t="shared" si="10"/>
        <v>28.887196204776096</v>
      </c>
      <c r="AF36" s="20">
        <f t="shared" si="11"/>
        <v>7.7895112799052741</v>
      </c>
      <c r="AG36" s="37">
        <f t="shared" si="20"/>
        <v>5237.4839537869066</v>
      </c>
      <c r="AJ36" s="26">
        <f t="shared" si="12"/>
        <v>43.330794307164147</v>
      </c>
      <c r="AK36" s="20">
        <f t="shared" si="13"/>
        <v>15.886941682180305</v>
      </c>
      <c r="AL36" s="37">
        <f t="shared" si="21"/>
        <v>3491.6559691912712</v>
      </c>
      <c r="AO36" s="26">
        <f t="shared" si="14"/>
        <v>64.996191460746218</v>
      </c>
      <c r="AP36" s="20">
        <f t="shared" si="15"/>
        <v>38.014439846108523</v>
      </c>
      <c r="AQ36" s="37">
        <f t="shared" si="22"/>
        <v>2327.7706461275143</v>
      </c>
      <c r="AT36" s="26">
        <f t="shared" si="16"/>
        <v>86.661588614328295</v>
      </c>
      <c r="AU36" s="20">
        <f t="shared" si="17"/>
        <v>77.162770797442434</v>
      </c>
      <c r="AV36" s="37">
        <f t="shared" si="23"/>
        <v>1745.8279845956356</v>
      </c>
      <c r="AY36" s="26">
        <f t="shared" si="18"/>
        <v>108.32698576791037</v>
      </c>
      <c r="AZ36" s="20">
        <f t="shared" si="19"/>
        <v>139.00554546531725</v>
      </c>
      <c r="BA36" s="37">
        <f t="shared" si="24"/>
        <v>1396.6623876765084</v>
      </c>
    </row>
    <row r="37" spans="3:53" x14ac:dyDescent="0.2">
      <c r="H37" s="4">
        <v>3900</v>
      </c>
      <c r="I37" s="6">
        <v>170</v>
      </c>
      <c r="K37" s="15">
        <f t="shared" si="30"/>
        <v>24.48537586029159</v>
      </c>
      <c r="L37" s="12">
        <f t="shared" si="9"/>
        <v>48.970751720583181</v>
      </c>
      <c r="M37" s="12">
        <f t="shared" si="25"/>
        <v>73.456127580874764</v>
      </c>
      <c r="N37" s="12">
        <f t="shared" si="26"/>
        <v>97.941503441166361</v>
      </c>
      <c r="O37" s="12">
        <f t="shared" si="27"/>
        <v>122.42687930145794</v>
      </c>
      <c r="P37" s="12">
        <f t="shared" si="28"/>
        <v>146.91225516174953</v>
      </c>
      <c r="Q37" s="12">
        <f t="shared" si="29"/>
        <v>171.39763102204111</v>
      </c>
      <c r="R37" s="6">
        <f t="shared" si="31"/>
        <v>195.88300688233272</v>
      </c>
      <c r="S37" s="8"/>
      <c r="T37" s="4">
        <v>105</v>
      </c>
      <c r="U37" s="21">
        <f t="shared" si="1"/>
        <v>1491.2908613696015</v>
      </c>
      <c r="V37" s="21">
        <f t="shared" si="8"/>
        <v>1083.2891735736578</v>
      </c>
      <c r="W37" s="21">
        <f t="shared" si="2"/>
        <v>2013.7313792395285</v>
      </c>
      <c r="X37" s="21">
        <f t="shared" si="3"/>
        <v>2935.7914816554994</v>
      </c>
      <c r="Y37" s="21">
        <f t="shared" si="4"/>
        <v>3842.4520466870736</v>
      </c>
      <c r="Z37" s="21">
        <f t="shared" si="5"/>
        <v>4726.8128399777434</v>
      </c>
      <c r="AA37" s="45">
        <f t="shared" si="6"/>
        <v>5582.14334189892</v>
      </c>
      <c r="AB37" s="37">
        <f t="shared" si="7"/>
        <v>6401.9339708683056</v>
      </c>
      <c r="AC37" s="8"/>
      <c r="AE37" s="26">
        <f t="shared" si="10"/>
        <v>29.647385578585993</v>
      </c>
      <c r="AF37" s="20">
        <f t="shared" si="11"/>
        <v>7.9090333322409423</v>
      </c>
      <c r="AG37" s="37">
        <f t="shared" si="20"/>
        <v>5237.4839537869066</v>
      </c>
      <c r="AJ37" s="26">
        <f t="shared" si="12"/>
        <v>44.471078367878988</v>
      </c>
      <c r="AK37" s="20">
        <f t="shared" si="13"/>
        <v>16.290328608813184</v>
      </c>
      <c r="AL37" s="37">
        <f t="shared" si="21"/>
        <v>3491.6559691912712</v>
      </c>
      <c r="AO37" s="26">
        <f t="shared" si="14"/>
        <v>66.706617551818482</v>
      </c>
      <c r="AP37" s="20">
        <f t="shared" si="15"/>
        <v>39.375870723494501</v>
      </c>
      <c r="AQ37" s="37">
        <f t="shared" si="22"/>
        <v>2327.7706461275143</v>
      </c>
      <c r="AT37" s="26">
        <f t="shared" si="16"/>
        <v>88.942156735757976</v>
      </c>
      <c r="AU37" s="20">
        <f t="shared" si="17"/>
        <v>80.389866210505474</v>
      </c>
      <c r="AV37" s="37">
        <f t="shared" si="23"/>
        <v>1745.8279845956356</v>
      </c>
      <c r="AY37" s="26">
        <f t="shared" si="18"/>
        <v>111.17769591969748</v>
      </c>
      <c r="AZ37" s="20">
        <f t="shared" si="19"/>
        <v>145.30846619395606</v>
      </c>
      <c r="BA37" s="37">
        <f t="shared" si="24"/>
        <v>1396.6623876765084</v>
      </c>
    </row>
    <row r="38" spans="3:53" x14ac:dyDescent="0.2">
      <c r="C38" s="1"/>
      <c r="H38" s="4">
        <v>4000</v>
      </c>
      <c r="I38" s="6">
        <v>167.1</v>
      </c>
      <c r="K38" s="15">
        <f t="shared" si="30"/>
        <v>23.873241463784304</v>
      </c>
      <c r="L38" s="12">
        <f t="shared" si="9"/>
        <v>47.746482927568607</v>
      </c>
      <c r="M38" s="12">
        <f t="shared" si="25"/>
        <v>71.619724391352904</v>
      </c>
      <c r="N38" s="12">
        <f t="shared" si="26"/>
        <v>95.492965855137214</v>
      </c>
      <c r="O38" s="12">
        <f t="shared" si="27"/>
        <v>119.36620731892151</v>
      </c>
      <c r="P38" s="12">
        <f t="shared" si="28"/>
        <v>143.23944878270581</v>
      </c>
      <c r="Q38" s="12">
        <f t="shared" si="29"/>
        <v>167.1126902464901</v>
      </c>
      <c r="R38" s="6">
        <f t="shared" si="31"/>
        <v>190.98593171027443</v>
      </c>
      <c r="S38" s="8"/>
      <c r="T38" s="4">
        <v>108</v>
      </c>
      <c r="U38" s="21">
        <f t="shared" si="1"/>
        <v>1449.8661152204461</v>
      </c>
      <c r="V38" s="21">
        <f t="shared" si="8"/>
        <v>1136.1687989481306</v>
      </c>
      <c r="W38" s="21">
        <f t="shared" si="2"/>
        <v>2066.6110046140011</v>
      </c>
      <c r="X38" s="21">
        <f t="shared" si="3"/>
        <v>2988.6711070299725</v>
      </c>
      <c r="Y38" s="21">
        <f t="shared" si="4"/>
        <v>3895.3316720615467</v>
      </c>
      <c r="Z38" s="21">
        <f t="shared" si="5"/>
        <v>4779.6924653522165</v>
      </c>
      <c r="AA38" s="45">
        <f t="shared" si="6"/>
        <v>5635.0229672733931</v>
      </c>
      <c r="AB38" s="37">
        <f t="shared" si="7"/>
        <v>6454.8135962427787</v>
      </c>
      <c r="AC38" s="8"/>
      <c r="AE38" s="26">
        <f t="shared" si="10"/>
        <v>30.407574952395887</v>
      </c>
      <c r="AF38" s="20">
        <f t="shared" si="11"/>
        <v>8.0316598534684474</v>
      </c>
      <c r="AG38" s="37">
        <f t="shared" si="20"/>
        <v>5148.1386392811301</v>
      </c>
      <c r="AJ38" s="26">
        <f t="shared" si="12"/>
        <v>45.611362428593829</v>
      </c>
      <c r="AK38" s="20">
        <f t="shared" si="13"/>
        <v>16.704193117956013</v>
      </c>
      <c r="AL38" s="37">
        <f t="shared" si="21"/>
        <v>3432.0924261874197</v>
      </c>
      <c r="AO38" s="26">
        <f t="shared" si="14"/>
        <v>68.417043642890746</v>
      </c>
      <c r="AP38" s="20">
        <f t="shared" si="15"/>
        <v>40.772663441851542</v>
      </c>
      <c r="AQ38" s="37">
        <f t="shared" si="22"/>
        <v>2288.0616174582801</v>
      </c>
      <c r="AT38" s="26">
        <f t="shared" si="16"/>
        <v>91.222724857187657</v>
      </c>
      <c r="AU38" s="20">
        <f t="shared" si="17"/>
        <v>83.700782283648095</v>
      </c>
      <c r="AV38" s="37">
        <f t="shared" si="23"/>
        <v>1716.0462130937099</v>
      </c>
      <c r="AY38" s="26">
        <f t="shared" si="18"/>
        <v>114.02840607148458</v>
      </c>
      <c r="AZ38" s="20">
        <f t="shared" si="19"/>
        <v>151.77509914931275</v>
      </c>
      <c r="BA38" s="37">
        <f t="shared" si="24"/>
        <v>1372.836970474968</v>
      </c>
    </row>
    <row r="39" spans="3:53" x14ac:dyDescent="0.2">
      <c r="H39" s="4">
        <v>4100</v>
      </c>
      <c r="I39" s="6">
        <v>163</v>
      </c>
      <c r="K39" s="15">
        <f t="shared" si="30"/>
        <v>23.290967281740784</v>
      </c>
      <c r="L39" s="12">
        <f t="shared" ref="L39:L68" si="32">20000/($H39*PI()/30)</f>
        <v>46.581934563481568</v>
      </c>
      <c r="M39" s="12">
        <f t="shared" si="25"/>
        <v>69.872901845222344</v>
      </c>
      <c r="N39" s="12">
        <f t="shared" si="26"/>
        <v>93.163869126963135</v>
      </c>
      <c r="O39" s="12">
        <f t="shared" si="27"/>
        <v>116.45483640870391</v>
      </c>
      <c r="P39" s="12">
        <f t="shared" si="28"/>
        <v>139.74580369044469</v>
      </c>
      <c r="Q39" s="12">
        <f t="shared" si="29"/>
        <v>163.03677097218548</v>
      </c>
      <c r="R39" s="6">
        <f t="shared" si="31"/>
        <v>186.32773825392627</v>
      </c>
      <c r="S39" s="8"/>
      <c r="T39" s="4">
        <v>111</v>
      </c>
      <c r="U39" s="21">
        <f t="shared" si="1"/>
        <v>1410.6805445388122</v>
      </c>
      <c r="V39" s="21">
        <f t="shared" si="8"/>
        <v>1190.5379912345611</v>
      </c>
      <c r="W39" s="21">
        <f t="shared" si="2"/>
        <v>2120.9801969004316</v>
      </c>
      <c r="X39" s="21">
        <f t="shared" si="3"/>
        <v>3043.040299316403</v>
      </c>
      <c r="Y39" s="21">
        <f t="shared" si="4"/>
        <v>3949.7008643479771</v>
      </c>
      <c r="Z39" s="21">
        <f t="shared" si="5"/>
        <v>4834.0616576386465</v>
      </c>
      <c r="AA39" s="45">
        <f t="shared" si="6"/>
        <v>5689.3921595598231</v>
      </c>
      <c r="AB39" s="37">
        <f t="shared" si="7"/>
        <v>6509.1827885292087</v>
      </c>
      <c r="AC39" s="8"/>
      <c r="AE39" s="26">
        <f t="shared" si="10"/>
        <v>31.167764326205788</v>
      </c>
      <c r="AF39" s="20">
        <f t="shared" si="11"/>
        <v>8.1573908435877875</v>
      </c>
      <c r="AG39" s="37">
        <f t="shared" si="20"/>
        <v>5021.8228498074459</v>
      </c>
      <c r="AJ39" s="26">
        <f t="shared" si="12"/>
        <v>46.751646489308676</v>
      </c>
      <c r="AK39" s="20">
        <f t="shared" si="13"/>
        <v>17.128535209608781</v>
      </c>
      <c r="AL39" s="37">
        <f t="shared" si="21"/>
        <v>3347.8818998716306</v>
      </c>
      <c r="AO39" s="26">
        <f t="shared" si="14"/>
        <v>70.127469733963025</v>
      </c>
      <c r="AP39" s="20">
        <f t="shared" si="15"/>
        <v>42.20481800117966</v>
      </c>
      <c r="AQ39" s="37">
        <f t="shared" si="22"/>
        <v>2231.9212665810869</v>
      </c>
      <c r="AT39" s="26">
        <f t="shared" si="16"/>
        <v>93.503292978617353</v>
      </c>
      <c r="AU39" s="20">
        <f t="shared" si="17"/>
        <v>87.095519016870284</v>
      </c>
      <c r="AV39" s="37">
        <f t="shared" si="23"/>
        <v>1673.9409499358153</v>
      </c>
      <c r="AY39" s="26">
        <f t="shared" si="18"/>
        <v>116.87911622327171</v>
      </c>
      <c r="AZ39" s="20">
        <f t="shared" si="19"/>
        <v>158.40544433138732</v>
      </c>
      <c r="BA39" s="37">
        <f t="shared" si="24"/>
        <v>1339.1527599486521</v>
      </c>
    </row>
    <row r="40" spans="3:53" x14ac:dyDescent="0.2">
      <c r="H40" s="4">
        <v>4200</v>
      </c>
      <c r="I40" s="6">
        <v>159.19999999999999</v>
      </c>
      <c r="K40" s="15">
        <f t="shared" si="30"/>
        <v>22.736420441699334</v>
      </c>
      <c r="L40" s="12">
        <f t="shared" si="32"/>
        <v>45.472840883398668</v>
      </c>
      <c r="M40" s="12">
        <f t="shared" si="25"/>
        <v>68.209261325098012</v>
      </c>
      <c r="N40" s="12">
        <f t="shared" si="26"/>
        <v>90.945681766797335</v>
      </c>
      <c r="O40" s="12">
        <f t="shared" si="27"/>
        <v>113.68210220849667</v>
      </c>
      <c r="P40" s="12">
        <f t="shared" si="28"/>
        <v>136.41852265019602</v>
      </c>
      <c r="Q40" s="12">
        <f t="shared" si="29"/>
        <v>159.15494309189535</v>
      </c>
      <c r="R40" s="6">
        <f t="shared" si="31"/>
        <v>181.89136353359467</v>
      </c>
      <c r="S40" s="8"/>
      <c r="T40" s="4">
        <v>114</v>
      </c>
      <c r="U40" s="21">
        <f t="shared" si="1"/>
        <v>1373.5573723141067</v>
      </c>
      <c r="V40" s="21">
        <f t="shared" si="8"/>
        <v>1246.396750432948</v>
      </c>
      <c r="W40" s="21">
        <f t="shared" si="2"/>
        <v>2176.8389560988189</v>
      </c>
      <c r="X40" s="21">
        <f t="shared" si="3"/>
        <v>3098.8990585147899</v>
      </c>
      <c r="Y40" s="21">
        <f t="shared" si="4"/>
        <v>4005.559623546364</v>
      </c>
      <c r="Z40" s="21">
        <f t="shared" si="5"/>
        <v>4889.9204168370343</v>
      </c>
      <c r="AA40" s="45">
        <f t="shared" si="6"/>
        <v>5745.2509187582109</v>
      </c>
      <c r="AB40" s="37">
        <f t="shared" si="7"/>
        <v>6565.0415477275965</v>
      </c>
      <c r="AC40" s="8"/>
      <c r="AE40" s="26">
        <f t="shared" ref="AE40:AE68" si="33">PI()/30*$H40*$C$6/AD$2*2.23649</f>
        <v>31.927953700015689</v>
      </c>
      <c r="AF40" s="20">
        <f t="shared" ref="AF40:AF68" si="34">(0.5*1.2*(AE40*0.44704)^2*$C$3*$C$5+$C$4*9.81*($C$2*COS($C$7*PI()/180)+SIN($C$7*PI()/180)))*$C$6/AD$2</f>
        <v>8.2862263025989655</v>
      </c>
      <c r="AG40" s="37">
        <f t="shared" si="20"/>
        <v>4904.7496790757386</v>
      </c>
      <c r="AJ40" s="26">
        <f t="shared" ref="AJ40:AJ68" si="35">PI()/30*$H40*$C$6/AI$2*2.23649</f>
        <v>47.891930550023531</v>
      </c>
      <c r="AK40" s="20">
        <f t="shared" ref="AK40:AK68" si="36">(0.5*1.2*(AJ40*0.44704)^2*$C$3*$C$5+$C$4*9.81*($C$2*COS($C$7*PI()/180)+SIN($C$7*PI()/180)))*$C$6/AI$2</f>
        <v>17.563354883771506</v>
      </c>
      <c r="AL40" s="37">
        <f t="shared" si="21"/>
        <v>3269.8331193838258</v>
      </c>
      <c r="AO40" s="26">
        <f t="shared" ref="AO40:AO68" si="37">PI()/30*$H40*$C$6/AN$2*2.23649</f>
        <v>71.837895825035289</v>
      </c>
      <c r="AP40" s="20">
        <f t="shared" ref="AP40:AP68" si="38">(0.5*1.2*(AO40*0.44704)^2*$C$3*$C$5+$C$4*9.81*($C$2*COS($C$7*PI()/180)+SIN($C$7*PI()/180)))*$C$6/AN$2</f>
        <v>43.672334401478828</v>
      </c>
      <c r="AQ40" s="37">
        <f t="shared" si="22"/>
        <v>2179.8887462558837</v>
      </c>
      <c r="AT40" s="26">
        <f t="shared" ref="AT40:AT68" si="39">PI()/30*$H40*$C$6/AS$2*2.23649</f>
        <v>95.783861100047062</v>
      </c>
      <c r="AU40" s="20">
        <f t="shared" ref="AU40:AU68" si="40">(0.5*1.2*(AT40*0.44704)^2*$C$3*$C$5+$C$4*9.81*($C$2*COS($C$7*PI()/180)+SIN($C$7*PI()/180)))*$C$6/AS$2</f>
        <v>90.574076410172083</v>
      </c>
      <c r="AV40" s="37">
        <f t="shared" si="23"/>
        <v>1634.9165596919129</v>
      </c>
      <c r="AY40" s="26">
        <f t="shared" ref="AY40:AY68" si="41">PI()/30*$H40*$C$6/AX$2*2.23649</f>
        <v>119.72982637505883</v>
      </c>
      <c r="AZ40" s="20">
        <f t="shared" ref="AZ40:AZ68" si="42">(0.5*1.2*(AY40*0.44704)^2*$C$3*$C$5+$C$4*9.81*($C$2*COS($C$7*PI()/180)+SIN($C$7*PI()/180)))*$C$6/AX$2</f>
        <v>165.19950174017984</v>
      </c>
      <c r="BA40" s="37"/>
    </row>
    <row r="41" spans="3:53" x14ac:dyDescent="0.2">
      <c r="H41" s="4">
        <v>4300</v>
      </c>
      <c r="I41" s="6">
        <v>155.5</v>
      </c>
      <c r="K41" s="15">
        <f t="shared" si="30"/>
        <v>22.207666477938886</v>
      </c>
      <c r="L41" s="12">
        <f t="shared" si="32"/>
        <v>44.415332955877773</v>
      </c>
      <c r="M41" s="12">
        <f t="shared" si="25"/>
        <v>66.622999433816659</v>
      </c>
      <c r="N41" s="12">
        <f t="shared" si="26"/>
        <v>88.830665911755545</v>
      </c>
      <c r="O41" s="12">
        <f t="shared" si="27"/>
        <v>111.03833238969443</v>
      </c>
      <c r="P41" s="12">
        <f t="shared" si="28"/>
        <v>133.24599886763332</v>
      </c>
      <c r="Q41" s="12">
        <f t="shared" si="29"/>
        <v>155.4536653455722</v>
      </c>
      <c r="R41" s="6">
        <f t="shared" si="31"/>
        <v>177.66133182351109</v>
      </c>
      <c r="S41" s="8"/>
      <c r="T41" s="4">
        <v>117</v>
      </c>
      <c r="U41" s="21">
        <f t="shared" si="1"/>
        <v>1338.3379525111809</v>
      </c>
      <c r="V41" s="21">
        <f t="shared" si="8"/>
        <v>1303.7450765432923</v>
      </c>
      <c r="W41" s="21">
        <f t="shared" si="2"/>
        <v>2234.1872822091627</v>
      </c>
      <c r="X41" s="21">
        <f t="shared" si="3"/>
        <v>3156.2473846251341</v>
      </c>
      <c r="Y41" s="21">
        <f t="shared" si="4"/>
        <v>4062.9079496567083</v>
      </c>
      <c r="Z41" s="21">
        <f t="shared" si="5"/>
        <v>4947.2687429473781</v>
      </c>
      <c r="AA41" s="45">
        <f t="shared" si="6"/>
        <v>5802.5992448685547</v>
      </c>
      <c r="AB41" s="37">
        <f t="shared" si="7"/>
        <v>6622.3898738379403</v>
      </c>
      <c r="AC41" s="8"/>
      <c r="AE41" s="26">
        <f t="shared" si="33"/>
        <v>32.688143073825586</v>
      </c>
      <c r="AF41" s="20">
        <f t="shared" si="34"/>
        <v>8.418166230501976</v>
      </c>
      <c r="AG41" s="37">
        <f t="shared" si="20"/>
        <v>4790.757381258024</v>
      </c>
      <c r="AJ41" s="26">
        <f t="shared" si="35"/>
        <v>49.032214610738379</v>
      </c>
      <c r="AK41" s="20">
        <f t="shared" si="36"/>
        <v>18.00865214044417</v>
      </c>
      <c r="AL41" s="37">
        <f t="shared" si="21"/>
        <v>3193.8382541720157</v>
      </c>
      <c r="AO41" s="26">
        <f t="shared" si="37"/>
        <v>73.548321916107568</v>
      </c>
      <c r="AP41" s="20">
        <f t="shared" si="38"/>
        <v>45.175212642749074</v>
      </c>
      <c r="AQ41" s="37">
        <f t="shared" si="22"/>
        <v>2129.2255027813439</v>
      </c>
      <c r="AT41" s="26">
        <f t="shared" si="39"/>
        <v>98.064429221476757</v>
      </c>
      <c r="AU41" s="20">
        <f t="shared" si="40"/>
        <v>94.136454463553363</v>
      </c>
      <c r="AV41" s="37">
        <f t="shared" si="23"/>
        <v>1596.9191270860078</v>
      </c>
      <c r="AY41" s="26">
        <f t="shared" si="41"/>
        <v>122.58053652684595</v>
      </c>
      <c r="AZ41" s="20">
        <f t="shared" si="42"/>
        <v>172.15727137569019</v>
      </c>
      <c r="BA41" s="37"/>
    </row>
    <row r="42" spans="3:53" x14ac:dyDescent="0.2">
      <c r="H42" s="4">
        <v>4400</v>
      </c>
      <c r="I42" s="6">
        <v>151.9</v>
      </c>
      <c r="K42" s="15">
        <f t="shared" si="30"/>
        <v>21.702946785258455</v>
      </c>
      <c r="L42" s="12">
        <f t="shared" si="32"/>
        <v>43.405893570516909</v>
      </c>
      <c r="M42" s="12">
        <f t="shared" si="25"/>
        <v>65.108840355775371</v>
      </c>
      <c r="N42" s="12">
        <f t="shared" si="26"/>
        <v>86.811787141033818</v>
      </c>
      <c r="O42" s="12">
        <f t="shared" si="27"/>
        <v>108.51473392629228</v>
      </c>
      <c r="P42" s="12">
        <f t="shared" si="28"/>
        <v>130.21768071155074</v>
      </c>
      <c r="Q42" s="12">
        <f t="shared" si="29"/>
        <v>151.9206274968092</v>
      </c>
      <c r="R42" s="6">
        <f t="shared" si="31"/>
        <v>173.62357428206764</v>
      </c>
      <c r="S42" s="8"/>
      <c r="T42" s="4">
        <v>120</v>
      </c>
      <c r="U42" s="21">
        <f t="shared" si="1"/>
        <v>1304.8795036984013</v>
      </c>
      <c r="V42" s="21">
        <f t="shared" si="8"/>
        <v>1362.5829695655934</v>
      </c>
      <c r="W42" s="21">
        <f t="shared" si="2"/>
        <v>2293.0251752314639</v>
      </c>
      <c r="X42" s="21">
        <f t="shared" si="3"/>
        <v>3215.0852776474349</v>
      </c>
      <c r="Y42" s="21">
        <f t="shared" si="4"/>
        <v>4121.745842679009</v>
      </c>
      <c r="Z42" s="21">
        <f t="shared" si="5"/>
        <v>5006.1066359696788</v>
      </c>
      <c r="AA42" s="45">
        <f t="shared" si="6"/>
        <v>5861.4371378908554</v>
      </c>
      <c r="AB42" s="37">
        <f t="shared" si="7"/>
        <v>6681.227766860241</v>
      </c>
      <c r="AC42" s="8"/>
      <c r="AE42" s="26">
        <f t="shared" si="33"/>
        <v>33.44833244763548</v>
      </c>
      <c r="AF42" s="20">
        <f t="shared" si="34"/>
        <v>8.5532106272968225</v>
      </c>
      <c r="AG42" s="37">
        <f t="shared" si="20"/>
        <v>4679.8459563543011</v>
      </c>
      <c r="AJ42" s="26">
        <f t="shared" si="35"/>
        <v>50.172498671453226</v>
      </c>
      <c r="AK42" s="20">
        <f t="shared" si="36"/>
        <v>18.464426979626779</v>
      </c>
      <c r="AL42" s="37">
        <f t="shared" si="21"/>
        <v>3119.8973042362009</v>
      </c>
      <c r="AO42" s="26">
        <f t="shared" si="37"/>
        <v>75.258748007179832</v>
      </c>
      <c r="AP42" s="20">
        <f t="shared" si="38"/>
        <v>46.713452724990383</v>
      </c>
      <c r="AQ42" s="37">
        <f t="shared" si="22"/>
        <v>2079.9315361574672</v>
      </c>
      <c r="AT42" s="26">
        <f t="shared" si="39"/>
        <v>100.34499734290645</v>
      </c>
      <c r="AU42" s="20">
        <f t="shared" si="40"/>
        <v>97.78265317701424</v>
      </c>
      <c r="AV42" s="37">
        <f t="shared" si="23"/>
        <v>1559.9486521181004</v>
      </c>
      <c r="AY42" s="26">
        <f t="shared" si="41"/>
        <v>125.43124667863307</v>
      </c>
      <c r="AZ42" s="20">
        <f t="shared" si="42"/>
        <v>179.27875323791847</v>
      </c>
      <c r="BA42" s="37"/>
    </row>
    <row r="43" spans="3:53" x14ac:dyDescent="0.2">
      <c r="H43" s="4">
        <v>4500</v>
      </c>
      <c r="I43" s="6">
        <v>148.5</v>
      </c>
      <c r="K43" s="15">
        <f t="shared" si="30"/>
        <v>21.220659078919375</v>
      </c>
      <c r="L43" s="12">
        <f t="shared" si="32"/>
        <v>42.441318157838751</v>
      </c>
      <c r="M43" s="12">
        <f t="shared" si="25"/>
        <v>63.661977236758133</v>
      </c>
      <c r="N43" s="12">
        <f t="shared" si="26"/>
        <v>84.882636315677502</v>
      </c>
      <c r="O43" s="12">
        <f t="shared" si="27"/>
        <v>106.10329539459688</v>
      </c>
      <c r="P43" s="12">
        <f t="shared" si="28"/>
        <v>127.32395447351627</v>
      </c>
      <c r="Q43" s="12">
        <f t="shared" si="29"/>
        <v>148.54461355243564</v>
      </c>
      <c r="R43" s="6">
        <f t="shared" si="31"/>
        <v>169.765272631355</v>
      </c>
      <c r="S43" s="8"/>
      <c r="T43" s="4">
        <v>123</v>
      </c>
      <c r="U43" s="21">
        <f t="shared" si="1"/>
        <v>1273.0531743399038</v>
      </c>
      <c r="V43" s="21">
        <f t="shared" si="8"/>
        <v>1422.9104294998519</v>
      </c>
      <c r="W43" s="21">
        <f t="shared" si="2"/>
        <v>2353.3526351657224</v>
      </c>
      <c r="X43" s="21">
        <f t="shared" si="3"/>
        <v>3275.4127375816934</v>
      </c>
      <c r="Y43" s="21">
        <f t="shared" si="4"/>
        <v>4182.0733026132675</v>
      </c>
      <c r="Z43" s="21">
        <f t="shared" si="5"/>
        <v>5066.4340959039373</v>
      </c>
      <c r="AA43" s="45">
        <f t="shared" si="6"/>
        <v>5921.7645978251139</v>
      </c>
      <c r="AB43" s="37">
        <f t="shared" si="7"/>
        <v>6741.5552267944995</v>
      </c>
      <c r="AC43" s="8"/>
      <c r="AE43" s="26">
        <f t="shared" si="33"/>
        <v>34.20852182144538</v>
      </c>
      <c r="AF43" s="20">
        <f t="shared" si="34"/>
        <v>8.691359492983505</v>
      </c>
      <c r="AG43" s="37">
        <f t="shared" si="20"/>
        <v>4575.0962772785624</v>
      </c>
      <c r="AJ43" s="26">
        <f t="shared" si="35"/>
        <v>51.312782732168067</v>
      </c>
      <c r="AK43" s="20">
        <f t="shared" si="36"/>
        <v>18.930679401319328</v>
      </c>
      <c r="AL43" s="37">
        <f t="shared" si="21"/>
        <v>3050.0641848523751</v>
      </c>
      <c r="AO43" s="26">
        <f t="shared" si="37"/>
        <v>76.969174098252111</v>
      </c>
      <c r="AP43" s="20">
        <f t="shared" si="38"/>
        <v>48.287054648202748</v>
      </c>
      <c r="AQ43" s="37">
        <f t="shared" si="22"/>
        <v>2033.3761232349168</v>
      </c>
      <c r="AT43" s="26">
        <f t="shared" si="39"/>
        <v>102.62556546433613</v>
      </c>
      <c r="AU43" s="20">
        <f t="shared" si="40"/>
        <v>101.51267255055465</v>
      </c>
      <c r="AV43" s="37">
        <f t="shared" si="23"/>
        <v>1525.0320924261875</v>
      </c>
      <c r="AY43" s="26">
        <f t="shared" si="41"/>
        <v>128.28195683042017</v>
      </c>
      <c r="AZ43" s="20">
        <f t="shared" si="42"/>
        <v>186.56394732686459</v>
      </c>
      <c r="BA43" s="37"/>
    </row>
    <row r="44" spans="3:53" x14ac:dyDescent="0.2">
      <c r="H44" s="4">
        <v>4600</v>
      </c>
      <c r="I44" s="6">
        <v>145.30000000000001</v>
      </c>
      <c r="K44" s="15">
        <f t="shared" si="30"/>
        <v>20.759340403290697</v>
      </c>
      <c r="L44" s="12">
        <f t="shared" si="32"/>
        <v>41.518680806581393</v>
      </c>
      <c r="M44" s="12">
        <f t="shared" ref="M44:M68" si="43">30000/($H44*PI()/30)</f>
        <v>62.278021209872094</v>
      </c>
      <c r="N44" s="12">
        <f t="shared" si="26"/>
        <v>83.037361613162787</v>
      </c>
      <c r="O44" s="12">
        <f t="shared" si="27"/>
        <v>103.79670201645348</v>
      </c>
      <c r="P44" s="12">
        <f t="shared" si="28"/>
        <v>124.55604241974419</v>
      </c>
      <c r="Q44" s="12">
        <f t="shared" si="29"/>
        <v>145.31538282303487</v>
      </c>
      <c r="R44" s="6">
        <f t="shared" si="31"/>
        <v>166.07472322632557</v>
      </c>
      <c r="S44" s="8"/>
      <c r="T44" s="4">
        <v>126</v>
      </c>
      <c r="U44" s="21">
        <f t="shared" si="1"/>
        <v>1242.7423844746679</v>
      </c>
      <c r="V44" s="21">
        <f t="shared" si="8"/>
        <v>1484.7274563460669</v>
      </c>
      <c r="W44" s="21">
        <f t="shared" si="2"/>
        <v>2415.1696620119374</v>
      </c>
      <c r="X44" s="21">
        <f t="shared" si="3"/>
        <v>3337.2297644279088</v>
      </c>
      <c r="Y44" s="21">
        <f t="shared" si="4"/>
        <v>4243.8903294594829</v>
      </c>
      <c r="Z44" s="21">
        <f t="shared" si="5"/>
        <v>5128.2511227501527</v>
      </c>
      <c r="AA44" s="45">
        <f t="shared" si="6"/>
        <v>5983.5816246713293</v>
      </c>
      <c r="AB44" s="37">
        <f t="shared" si="7"/>
        <v>6803.3722536407149</v>
      </c>
      <c r="AC44" s="8"/>
      <c r="AE44" s="26">
        <f t="shared" si="33"/>
        <v>34.968711195255281</v>
      </c>
      <c r="AF44" s="20">
        <f t="shared" si="34"/>
        <v>8.8326128275620235</v>
      </c>
      <c r="AG44" s="37">
        <f t="shared" si="20"/>
        <v>4476.508344030809</v>
      </c>
      <c r="AJ44" s="26">
        <f t="shared" si="35"/>
        <v>52.453066792882915</v>
      </c>
      <c r="AK44" s="20">
        <f t="shared" si="36"/>
        <v>19.407409405521829</v>
      </c>
      <c r="AL44" s="37">
        <f t="shared" si="21"/>
        <v>2984.3388960205398</v>
      </c>
      <c r="AO44" s="26">
        <f t="shared" si="37"/>
        <v>78.679600189324375</v>
      </c>
      <c r="AP44" s="20">
        <f t="shared" si="38"/>
        <v>49.896018412386184</v>
      </c>
      <c r="AQ44" s="37">
        <f t="shared" si="22"/>
        <v>1989.5592640136931</v>
      </c>
      <c r="AT44" s="26">
        <f t="shared" si="39"/>
        <v>104.90613358576583</v>
      </c>
      <c r="AU44" s="20">
        <f t="shared" si="40"/>
        <v>105.32651258417467</v>
      </c>
      <c r="AV44" s="37">
        <f t="shared" si="23"/>
        <v>1492.1694480102699</v>
      </c>
      <c r="AY44" s="26">
        <f t="shared" si="41"/>
        <v>131.1326669822073</v>
      </c>
      <c r="AZ44" s="20">
        <f t="shared" si="42"/>
        <v>194.01285364252868</v>
      </c>
      <c r="BA44" s="37"/>
    </row>
    <row r="45" spans="3:53" x14ac:dyDescent="0.2">
      <c r="H45" s="4">
        <v>4700</v>
      </c>
      <c r="I45" s="6">
        <v>142.19999999999999</v>
      </c>
      <c r="K45" s="15">
        <f t="shared" si="30"/>
        <v>20.317652309603663</v>
      </c>
      <c r="L45" s="12">
        <f t="shared" si="32"/>
        <v>40.635304619207325</v>
      </c>
      <c r="M45" s="12">
        <f t="shared" si="43"/>
        <v>60.952956928810984</v>
      </c>
      <c r="N45" s="12">
        <f t="shared" si="26"/>
        <v>81.27060923841465</v>
      </c>
      <c r="O45" s="12">
        <f t="shared" si="27"/>
        <v>101.58826154801831</v>
      </c>
      <c r="P45" s="12">
        <f t="shared" si="28"/>
        <v>121.90591385762197</v>
      </c>
      <c r="Q45" s="12">
        <f t="shared" si="29"/>
        <v>142.22356616722561</v>
      </c>
      <c r="R45" s="6">
        <f t="shared" si="31"/>
        <v>162.5412184768293</v>
      </c>
      <c r="S45" s="8"/>
      <c r="T45" s="4">
        <v>129</v>
      </c>
      <c r="U45" s="21">
        <f t="shared" si="1"/>
        <v>1213.8413987892106</v>
      </c>
      <c r="V45" s="21">
        <f t="shared" si="8"/>
        <v>1548.0340501042392</v>
      </c>
      <c r="W45" s="21">
        <f t="shared" si="2"/>
        <v>2478.4762557701097</v>
      </c>
      <c r="X45" s="21">
        <f t="shared" si="3"/>
        <v>3400.5363581860811</v>
      </c>
      <c r="Y45" s="21">
        <f t="shared" si="4"/>
        <v>4307.1969232176552</v>
      </c>
      <c r="Z45" s="21">
        <f t="shared" si="5"/>
        <v>5191.557716508325</v>
      </c>
      <c r="AA45" s="45">
        <f t="shared" si="6"/>
        <v>6046.8882184295016</v>
      </c>
      <c r="AB45" s="37">
        <f t="shared" si="7"/>
        <v>6866.6788473988872</v>
      </c>
      <c r="AC45" s="8"/>
      <c r="AE45" s="26">
        <f t="shared" si="33"/>
        <v>35.728900569065175</v>
      </c>
      <c r="AF45" s="20">
        <f t="shared" si="34"/>
        <v>8.9769706310323762</v>
      </c>
      <c r="AG45" s="37">
        <f t="shared" si="20"/>
        <v>4381.0012836970482</v>
      </c>
      <c r="AJ45" s="26">
        <f t="shared" si="35"/>
        <v>53.593350853597762</v>
      </c>
      <c r="AK45" s="20">
        <f t="shared" si="36"/>
        <v>19.894616992234276</v>
      </c>
      <c r="AL45" s="37">
        <f t="shared" si="21"/>
        <v>2920.6675224646983</v>
      </c>
      <c r="AO45" s="26">
        <f t="shared" si="37"/>
        <v>80.39002628039664</v>
      </c>
      <c r="AP45" s="20">
        <f t="shared" si="38"/>
        <v>51.540344017540676</v>
      </c>
      <c r="AQ45" s="37">
        <f t="shared" si="22"/>
        <v>1947.1116816431322</v>
      </c>
      <c r="AT45" s="26">
        <f t="shared" si="39"/>
        <v>107.18670170719552</v>
      </c>
      <c r="AU45" s="20">
        <f t="shared" si="40"/>
        <v>109.22417327787421</v>
      </c>
      <c r="AV45" s="37">
        <f t="shared" si="23"/>
        <v>1460.3337612323492</v>
      </c>
      <c r="AY45" s="26">
        <f t="shared" si="41"/>
        <v>133.98337713399442</v>
      </c>
      <c r="AZ45" s="20">
        <f t="shared" si="42"/>
        <v>201.62547218491065</v>
      </c>
      <c r="BA45" s="37"/>
    </row>
    <row r="46" spans="3:53" x14ac:dyDescent="0.2">
      <c r="H46" s="4">
        <v>4800</v>
      </c>
      <c r="I46" s="6">
        <v>139.30000000000001</v>
      </c>
      <c r="K46" s="15">
        <f t="shared" si="30"/>
        <v>19.894367886486918</v>
      </c>
      <c r="L46" s="12">
        <f t="shared" si="32"/>
        <v>39.788735772973837</v>
      </c>
      <c r="M46" s="12">
        <f t="shared" si="43"/>
        <v>59.683103659460755</v>
      </c>
      <c r="N46" s="12">
        <f t="shared" si="26"/>
        <v>79.577471545947674</v>
      </c>
      <c r="O46" s="12">
        <f t="shared" si="27"/>
        <v>99.471839432434592</v>
      </c>
      <c r="P46" s="12">
        <f t="shared" si="28"/>
        <v>119.36620731892151</v>
      </c>
      <c r="Q46" s="12">
        <f t="shared" si="29"/>
        <v>139.26057520540843</v>
      </c>
      <c r="R46" s="6">
        <f t="shared" si="31"/>
        <v>159.15494309189535</v>
      </c>
      <c r="S46" s="8"/>
      <c r="T46" s="4">
        <v>132</v>
      </c>
      <c r="U46" s="21">
        <f t="shared" si="1"/>
        <v>1186.254094271274</v>
      </c>
      <c r="V46" s="21">
        <f t="shared" si="8"/>
        <v>1612.830210774368</v>
      </c>
      <c r="W46" s="21">
        <f t="shared" si="2"/>
        <v>2543.2724164402389</v>
      </c>
      <c r="X46" s="21">
        <f t="shared" si="3"/>
        <v>3465.3325188562098</v>
      </c>
      <c r="Y46" s="21">
        <f t="shared" si="4"/>
        <v>4371.9930838877845</v>
      </c>
      <c r="Z46" s="21">
        <f t="shared" si="5"/>
        <v>5256.3538771784533</v>
      </c>
      <c r="AA46" s="45">
        <f t="shared" si="6"/>
        <v>6111.68437909963</v>
      </c>
      <c r="AB46" s="37">
        <f t="shared" si="7"/>
        <v>6931.4750080690155</v>
      </c>
      <c r="AC46" s="8"/>
      <c r="AE46" s="26">
        <f t="shared" si="33"/>
        <v>36.489089942875076</v>
      </c>
      <c r="AF46" s="20">
        <f t="shared" si="34"/>
        <v>9.1244329033945686</v>
      </c>
      <c r="AG46" s="37">
        <f t="shared" si="20"/>
        <v>4291.6559691912717</v>
      </c>
      <c r="AJ46" s="26">
        <f t="shared" si="35"/>
        <v>54.73363491431261</v>
      </c>
      <c r="AK46" s="20">
        <f t="shared" si="36"/>
        <v>20.392302161456666</v>
      </c>
      <c r="AL46" s="37">
        <f t="shared" si="21"/>
        <v>2861.1039794608478</v>
      </c>
      <c r="AO46" s="26">
        <f t="shared" si="37"/>
        <v>82.100452371468918</v>
      </c>
      <c r="AP46" s="20">
        <f t="shared" si="38"/>
        <v>53.220031463666238</v>
      </c>
      <c r="AQ46" s="37">
        <f t="shared" si="22"/>
        <v>1907.4026529738985</v>
      </c>
      <c r="AT46" s="26">
        <f t="shared" si="39"/>
        <v>109.46726982862522</v>
      </c>
      <c r="AU46" s="20">
        <f t="shared" si="40"/>
        <v>113.2056546316533</v>
      </c>
      <c r="AV46" s="37">
        <f t="shared" si="23"/>
        <v>1430.5519897304239</v>
      </c>
      <c r="AY46" s="26">
        <f t="shared" si="41"/>
        <v>136.83408728578152</v>
      </c>
      <c r="AZ46" s="20">
        <f t="shared" si="42"/>
        <v>209.40180295401038</v>
      </c>
      <c r="BA46" s="37"/>
    </row>
    <row r="47" spans="3:53" x14ac:dyDescent="0.2">
      <c r="H47" s="4">
        <v>4900</v>
      </c>
      <c r="I47" s="6">
        <v>136.4</v>
      </c>
      <c r="K47" s="15">
        <f t="shared" si="30"/>
        <v>19.488360378599431</v>
      </c>
      <c r="L47" s="12">
        <f t="shared" si="32"/>
        <v>38.976720757198862</v>
      </c>
      <c r="M47" s="12">
        <f t="shared" si="43"/>
        <v>58.465081135798286</v>
      </c>
      <c r="N47" s="12">
        <f t="shared" si="26"/>
        <v>77.953441514397724</v>
      </c>
      <c r="O47" s="12">
        <f t="shared" si="27"/>
        <v>97.441801892997148</v>
      </c>
      <c r="P47" s="12">
        <f t="shared" si="28"/>
        <v>116.93016227159657</v>
      </c>
      <c r="Q47" s="12">
        <f t="shared" si="29"/>
        <v>136.418522650196</v>
      </c>
      <c r="R47" s="6">
        <f t="shared" si="31"/>
        <v>155.90688302879545</v>
      </c>
      <c r="S47" s="8"/>
      <c r="T47" s="4">
        <v>135</v>
      </c>
      <c r="U47" s="21">
        <f t="shared" si="1"/>
        <v>1159.8928921763568</v>
      </c>
      <c r="V47" s="21">
        <f t="shared" si="8"/>
        <v>1679.1159383564541</v>
      </c>
      <c r="W47" s="21">
        <f t="shared" si="2"/>
        <v>2609.558144022325</v>
      </c>
      <c r="X47" s="21">
        <f t="shared" si="3"/>
        <v>3531.618246438296</v>
      </c>
      <c r="Y47" s="21">
        <f t="shared" si="4"/>
        <v>4438.2788114698706</v>
      </c>
      <c r="Z47" s="21">
        <f t="shared" si="5"/>
        <v>5322.6396047605394</v>
      </c>
      <c r="AA47" s="45">
        <f t="shared" si="6"/>
        <v>6177.9701066817161</v>
      </c>
      <c r="AB47" s="37">
        <f t="shared" si="7"/>
        <v>6997.7607356511016</v>
      </c>
      <c r="AC47" s="8"/>
      <c r="AE47" s="26">
        <f t="shared" si="33"/>
        <v>37.249279316684962</v>
      </c>
      <c r="AF47" s="20">
        <f t="shared" si="34"/>
        <v>9.2749996446485898</v>
      </c>
      <c r="AG47" s="37">
        <f t="shared" si="20"/>
        <v>4202.3106546854951</v>
      </c>
      <c r="AJ47" s="26">
        <f t="shared" si="35"/>
        <v>55.873918975027451</v>
      </c>
      <c r="AK47" s="20">
        <f t="shared" si="36"/>
        <v>20.900464913188994</v>
      </c>
      <c r="AL47" s="37">
        <f t="shared" si="21"/>
        <v>2801.5404364569968</v>
      </c>
      <c r="AO47" s="26">
        <f t="shared" si="37"/>
        <v>83.810878462541169</v>
      </c>
      <c r="AP47" s="20">
        <f t="shared" si="38"/>
        <v>54.935080750762857</v>
      </c>
      <c r="AQ47" s="37">
        <f t="shared" si="22"/>
        <v>1867.6936243046644</v>
      </c>
      <c r="AT47" s="26">
        <f t="shared" si="39"/>
        <v>111.7478379500549</v>
      </c>
      <c r="AU47" s="20">
        <f t="shared" si="40"/>
        <v>117.27095664551196</v>
      </c>
      <c r="AV47" s="37">
        <f t="shared" si="23"/>
        <v>1400.7702182284984</v>
      </c>
      <c r="AY47" s="26">
        <f t="shared" si="41"/>
        <v>139.68479743756862</v>
      </c>
      <c r="AZ47" s="20">
        <f t="shared" si="42"/>
        <v>217.34184594982807</v>
      </c>
      <c r="BA47" s="37"/>
    </row>
    <row r="48" spans="3:53" x14ac:dyDescent="0.2">
      <c r="H48" s="4">
        <v>5000</v>
      </c>
      <c r="I48" s="6">
        <v>133.69999999999999</v>
      </c>
      <c r="K48" s="15">
        <f t="shared" si="30"/>
        <v>19.098593171027442</v>
      </c>
      <c r="L48" s="12">
        <f t="shared" si="32"/>
        <v>38.197186342054884</v>
      </c>
      <c r="M48" s="12">
        <f t="shared" si="43"/>
        <v>57.295779513082323</v>
      </c>
      <c r="N48" s="12">
        <f t="shared" si="26"/>
        <v>76.394372684109769</v>
      </c>
      <c r="O48" s="12">
        <f t="shared" si="27"/>
        <v>95.4929658551372</v>
      </c>
      <c r="P48" s="12">
        <f t="shared" si="28"/>
        <v>114.59155902616465</v>
      </c>
      <c r="Q48" s="12">
        <f t="shared" si="29"/>
        <v>133.69015219719208</v>
      </c>
      <c r="R48" s="6">
        <f t="shared" si="31"/>
        <v>152.78874536821954</v>
      </c>
      <c r="S48" s="8"/>
      <c r="T48" s="4">
        <v>138</v>
      </c>
      <c r="U48" s="21">
        <f t="shared" si="1"/>
        <v>1134.6778293029577</v>
      </c>
      <c r="V48" s="21">
        <f t="shared" si="8"/>
        <v>1746.8912328504971</v>
      </c>
      <c r="W48" s="21">
        <f t="shared" si="2"/>
        <v>2677.333438516368</v>
      </c>
      <c r="X48" s="21">
        <f t="shared" si="3"/>
        <v>3599.393540932339</v>
      </c>
      <c r="Y48" s="21">
        <f t="shared" si="4"/>
        <v>4506.0541059639127</v>
      </c>
      <c r="Z48" s="21">
        <f t="shared" si="5"/>
        <v>5390.4148992545834</v>
      </c>
      <c r="AA48" s="45">
        <f t="shared" si="6"/>
        <v>6245.74540117576</v>
      </c>
      <c r="AB48" s="37">
        <f t="shared" si="7"/>
        <v>7065.5360301451456</v>
      </c>
      <c r="AC48" s="8"/>
      <c r="AE48" s="26">
        <f t="shared" si="33"/>
        <v>38.009468690494863</v>
      </c>
      <c r="AF48" s="20">
        <f t="shared" si="34"/>
        <v>9.4286708547944524</v>
      </c>
      <c r="AG48" s="37">
        <f t="shared" si="20"/>
        <v>4119.1270860077029</v>
      </c>
      <c r="AJ48" s="26">
        <f t="shared" si="35"/>
        <v>57.014203035742291</v>
      </c>
      <c r="AK48" s="20">
        <f t="shared" si="36"/>
        <v>21.419105247431272</v>
      </c>
      <c r="AL48" s="37">
        <f t="shared" si="21"/>
        <v>2746.0847240051348</v>
      </c>
      <c r="AO48" s="26">
        <f t="shared" si="37"/>
        <v>85.521304553613433</v>
      </c>
      <c r="AP48" s="20">
        <f t="shared" si="38"/>
        <v>56.685491878830533</v>
      </c>
      <c r="AQ48" s="37">
        <f t="shared" si="22"/>
        <v>1830.7231493367565</v>
      </c>
      <c r="AT48" s="26">
        <f t="shared" si="39"/>
        <v>114.02840607148458</v>
      </c>
      <c r="AU48" s="20">
        <f t="shared" si="40"/>
        <v>121.42007931945018</v>
      </c>
      <c r="AV48" s="37">
        <f t="shared" si="23"/>
        <v>1373.0423620025674</v>
      </c>
      <c r="AY48" s="26">
        <f t="shared" si="41"/>
        <v>142.53550758935575</v>
      </c>
      <c r="AZ48" s="20">
        <f t="shared" si="42"/>
        <v>225.44560117236369</v>
      </c>
      <c r="BA48" s="37"/>
    </row>
    <row r="49" spans="8:53" x14ac:dyDescent="0.2">
      <c r="H49" s="4">
        <v>5100</v>
      </c>
      <c r="I49" s="6">
        <v>131.1</v>
      </c>
      <c r="K49" s="15">
        <f t="shared" si="30"/>
        <v>18.724110951987686</v>
      </c>
      <c r="L49" s="12">
        <f t="shared" si="32"/>
        <v>37.448221903975373</v>
      </c>
      <c r="M49" s="12">
        <f t="shared" si="43"/>
        <v>56.172332855963063</v>
      </c>
      <c r="N49" s="12">
        <f t="shared" ref="N49:N68" si="44">40000/($H49*PI()/30)</f>
        <v>74.896443807950746</v>
      </c>
      <c r="O49" s="12">
        <f t="shared" si="27"/>
        <v>93.620554759938429</v>
      </c>
      <c r="P49" s="12">
        <f t="shared" si="28"/>
        <v>112.34466571192613</v>
      </c>
      <c r="Q49" s="12">
        <f t="shared" si="29"/>
        <v>131.06877666391381</v>
      </c>
      <c r="R49" s="6">
        <f t="shared" si="31"/>
        <v>149.79288761590149</v>
      </c>
      <c r="S49" s="8"/>
      <c r="T49" s="4">
        <v>141</v>
      </c>
      <c r="U49" s="21">
        <f t="shared" si="1"/>
        <v>1110.5357478284266</v>
      </c>
      <c r="V49" s="21">
        <f t="shared" si="8"/>
        <v>1816.1560942564979</v>
      </c>
      <c r="W49" s="21">
        <f t="shared" si="2"/>
        <v>2746.5982999223684</v>
      </c>
      <c r="X49" s="21">
        <f t="shared" si="3"/>
        <v>3668.6584023383393</v>
      </c>
      <c r="Y49" s="21">
        <f t="shared" si="4"/>
        <v>4575.3189673699135</v>
      </c>
      <c r="Z49" s="21">
        <f t="shared" si="5"/>
        <v>5459.6797606605833</v>
      </c>
      <c r="AA49" s="45">
        <f t="shared" si="6"/>
        <v>6315.0102625817599</v>
      </c>
      <c r="AB49" s="37">
        <f t="shared" si="7"/>
        <v>7134.8008915511455</v>
      </c>
      <c r="AC49" s="8"/>
      <c r="AE49" s="26">
        <f t="shared" si="33"/>
        <v>38.769658064304757</v>
      </c>
      <c r="AF49" s="20">
        <f t="shared" si="34"/>
        <v>9.5854465338321457</v>
      </c>
      <c r="AG49" s="37">
        <f t="shared" si="20"/>
        <v>4039.0243902439024</v>
      </c>
      <c r="AJ49" s="26">
        <f t="shared" si="35"/>
        <v>58.154487096457139</v>
      </c>
      <c r="AK49" s="20">
        <f t="shared" si="36"/>
        <v>21.948223164183499</v>
      </c>
      <c r="AL49" s="37">
        <f t="shared" si="21"/>
        <v>2692.6829268292681</v>
      </c>
      <c r="AO49" s="26">
        <f t="shared" si="37"/>
        <v>87.231730644685712</v>
      </c>
      <c r="AP49" s="20">
        <f t="shared" si="38"/>
        <v>58.471264847869307</v>
      </c>
      <c r="AQ49" s="37">
        <f t="shared" si="22"/>
        <v>1795.1219512195123</v>
      </c>
      <c r="AT49" s="26">
        <f t="shared" si="39"/>
        <v>116.30897419291428</v>
      </c>
      <c r="AU49" s="20">
        <f t="shared" si="40"/>
        <v>125.65302265346797</v>
      </c>
      <c r="AV49" s="37">
        <f t="shared" si="23"/>
        <v>1346.3414634146341</v>
      </c>
      <c r="AY49" s="26">
        <f t="shared" si="41"/>
        <v>145.38621774114287</v>
      </c>
      <c r="AZ49" s="20">
        <f t="shared" si="42"/>
        <v>233.71306862161714</v>
      </c>
      <c r="BA49" s="37"/>
    </row>
    <row r="50" spans="8:53" x14ac:dyDescent="0.2">
      <c r="H50" s="4">
        <v>5200</v>
      </c>
      <c r="I50" s="6">
        <v>128.5</v>
      </c>
      <c r="K50" s="15">
        <f t="shared" si="30"/>
        <v>18.364031895218695</v>
      </c>
      <c r="L50" s="12">
        <f t="shared" si="32"/>
        <v>36.728063790437389</v>
      </c>
      <c r="M50" s="12">
        <f t="shared" si="43"/>
        <v>55.092095685656076</v>
      </c>
      <c r="N50" s="12">
        <f t="shared" si="44"/>
        <v>73.456127580874778</v>
      </c>
      <c r="O50" s="12">
        <f t="shared" si="27"/>
        <v>91.820159476093465</v>
      </c>
      <c r="P50" s="12">
        <f t="shared" si="28"/>
        <v>110.18419137131215</v>
      </c>
      <c r="Q50" s="12">
        <f t="shared" si="29"/>
        <v>128.54822326653084</v>
      </c>
      <c r="R50" s="6">
        <f t="shared" si="31"/>
        <v>146.91225516174956</v>
      </c>
      <c r="S50" s="8"/>
      <c r="T50" s="4">
        <v>144</v>
      </c>
      <c r="U50" s="21">
        <f t="shared" si="1"/>
        <v>1087.3995864153344</v>
      </c>
      <c r="V50" s="21">
        <f t="shared" si="8"/>
        <v>1886.9105225744552</v>
      </c>
      <c r="W50" s="21">
        <f t="shared" si="2"/>
        <v>2817.3527282403256</v>
      </c>
      <c r="X50" s="21">
        <f t="shared" si="3"/>
        <v>3739.412830656297</v>
      </c>
      <c r="Y50" s="21">
        <f t="shared" si="4"/>
        <v>4646.0733956878712</v>
      </c>
      <c r="Z50" s="21">
        <f t="shared" si="5"/>
        <v>5530.434188978541</v>
      </c>
      <c r="AA50" s="45">
        <f t="shared" si="6"/>
        <v>6385.7646908997176</v>
      </c>
      <c r="AB50" s="37">
        <f t="shared" si="7"/>
        <v>7205.5553198691032</v>
      </c>
      <c r="AC50" s="8"/>
      <c r="AE50" s="26">
        <f t="shared" si="33"/>
        <v>39.529847438114658</v>
      </c>
      <c r="AF50" s="20">
        <f t="shared" si="34"/>
        <v>9.7453266817616786</v>
      </c>
      <c r="AG50" s="37">
        <f t="shared" si="20"/>
        <v>3958.9216944801033</v>
      </c>
      <c r="AJ50" s="26">
        <f t="shared" si="35"/>
        <v>59.294771157171986</v>
      </c>
      <c r="AK50" s="20">
        <f t="shared" si="36"/>
        <v>22.487818663445665</v>
      </c>
      <c r="AL50" s="37">
        <f t="shared" si="21"/>
        <v>2639.2811296534019</v>
      </c>
      <c r="AO50" s="26">
        <f t="shared" si="37"/>
        <v>88.942156735757976</v>
      </c>
      <c r="AP50" s="20">
        <f t="shared" si="38"/>
        <v>60.292399657879102</v>
      </c>
      <c r="AQ50" s="37">
        <f t="shared" si="22"/>
        <v>1759.5207531022681</v>
      </c>
      <c r="AT50" s="26">
        <f t="shared" si="39"/>
        <v>118.58954231434397</v>
      </c>
      <c r="AU50" s="20">
        <f t="shared" si="40"/>
        <v>129.96978664756531</v>
      </c>
      <c r="AV50" s="37"/>
      <c r="AY50" s="26">
        <f t="shared" si="41"/>
        <v>148.23692789292997</v>
      </c>
      <c r="AZ50" s="20">
        <f t="shared" si="42"/>
        <v>242.14424829758846</v>
      </c>
      <c r="BA50" s="37"/>
    </row>
    <row r="51" spans="8:53" x14ac:dyDescent="0.2">
      <c r="H51" s="4">
        <v>5300</v>
      </c>
      <c r="I51" s="6">
        <v>126.1</v>
      </c>
      <c r="K51" s="15">
        <f t="shared" si="30"/>
        <v>18.017540727384379</v>
      </c>
      <c r="L51" s="12">
        <f t="shared" si="32"/>
        <v>36.035081454768758</v>
      </c>
      <c r="M51" s="12">
        <f t="shared" si="43"/>
        <v>54.052622182153137</v>
      </c>
      <c r="N51" s="12">
        <f t="shared" si="44"/>
        <v>72.070162909537515</v>
      </c>
      <c r="O51" s="12">
        <f t="shared" si="27"/>
        <v>90.087703636921887</v>
      </c>
      <c r="P51" s="12">
        <f t="shared" si="28"/>
        <v>108.10524436430627</v>
      </c>
      <c r="Q51" s="12">
        <f t="shared" si="29"/>
        <v>126.12278509169064</v>
      </c>
      <c r="R51" s="6">
        <f t="shared" si="31"/>
        <v>144.14032581907503</v>
      </c>
      <c r="S51" s="8"/>
      <c r="T51" s="4">
        <v>147</v>
      </c>
      <c r="U51" s="21">
        <f t="shared" si="1"/>
        <v>1065.207758121144</v>
      </c>
      <c r="V51" s="21">
        <f t="shared" si="8"/>
        <v>1959.154517804368</v>
      </c>
      <c r="W51" s="21">
        <f t="shared" si="2"/>
        <v>2889.5967234702384</v>
      </c>
      <c r="X51" s="21">
        <f t="shared" si="3"/>
        <v>3811.6568258862098</v>
      </c>
      <c r="Y51" s="21">
        <f t="shared" si="4"/>
        <v>4718.317390917784</v>
      </c>
      <c r="Z51" s="21">
        <f t="shared" si="5"/>
        <v>5602.6781842084538</v>
      </c>
      <c r="AA51" s="45">
        <f t="shared" si="6"/>
        <v>6458.0086861296304</v>
      </c>
      <c r="AB51" s="37">
        <f t="shared" si="7"/>
        <v>7277.799315099016</v>
      </c>
      <c r="AC51" s="8"/>
      <c r="AE51" s="26">
        <f t="shared" si="33"/>
        <v>40.290036811924551</v>
      </c>
      <c r="AF51" s="20">
        <f t="shared" si="34"/>
        <v>9.9083112985830439</v>
      </c>
      <c r="AG51" s="37">
        <f t="shared" si="20"/>
        <v>3884.9807445442875</v>
      </c>
      <c r="AJ51" s="26">
        <f t="shared" si="35"/>
        <v>60.435055217886827</v>
      </c>
      <c r="AK51" s="20">
        <f t="shared" si="36"/>
        <v>23.037891745217777</v>
      </c>
      <c r="AL51" s="37">
        <f t="shared" si="21"/>
        <v>2589.9871630295252</v>
      </c>
      <c r="AO51" s="26">
        <f t="shared" si="37"/>
        <v>90.65258282683024</v>
      </c>
      <c r="AP51" s="20">
        <f t="shared" si="38"/>
        <v>62.148896308859996</v>
      </c>
      <c r="AQ51" s="37">
        <f t="shared" si="22"/>
        <v>1726.65810868635</v>
      </c>
      <c r="AT51" s="26">
        <f t="shared" si="39"/>
        <v>120.87011043577365</v>
      </c>
      <c r="AU51" s="20">
        <f t="shared" si="40"/>
        <v>134.37037130174221</v>
      </c>
      <c r="AV51" s="37"/>
      <c r="AY51" s="26">
        <f t="shared" si="41"/>
        <v>151.0876380447171</v>
      </c>
      <c r="AZ51" s="20">
        <f t="shared" si="42"/>
        <v>250.73914020027786</v>
      </c>
      <c r="BA51" s="37"/>
    </row>
    <row r="52" spans="8:53" x14ac:dyDescent="0.2">
      <c r="H52" s="4">
        <v>5400</v>
      </c>
      <c r="I52" s="6">
        <v>123.8</v>
      </c>
      <c r="K52" s="15">
        <f t="shared" si="30"/>
        <v>17.683882565766147</v>
      </c>
      <c r="L52" s="12">
        <f t="shared" si="32"/>
        <v>35.367765131532295</v>
      </c>
      <c r="M52" s="12">
        <f t="shared" si="43"/>
        <v>53.051647697298449</v>
      </c>
      <c r="N52" s="12">
        <f t="shared" si="44"/>
        <v>70.735530263064589</v>
      </c>
      <c r="O52" s="12">
        <f t="shared" si="27"/>
        <v>88.419412828830744</v>
      </c>
      <c r="P52" s="12">
        <f t="shared" si="28"/>
        <v>106.1032953945969</v>
      </c>
      <c r="Q52" s="12">
        <f t="shared" si="29"/>
        <v>123.78717796036304</v>
      </c>
      <c r="R52" s="6">
        <f t="shared" si="31"/>
        <v>141.47106052612918</v>
      </c>
      <c r="S52" s="8"/>
      <c r="T52" s="4">
        <v>150</v>
      </c>
      <c r="U52" s="21">
        <f t="shared" si="1"/>
        <v>1043.9036029587212</v>
      </c>
      <c r="V52" s="21">
        <f t="shared" si="8"/>
        <v>2032.8880799462395</v>
      </c>
      <c r="W52" s="21">
        <f t="shared" si="2"/>
        <v>2963.3302856121099</v>
      </c>
      <c r="X52" s="21">
        <f t="shared" si="3"/>
        <v>3885.3903880280814</v>
      </c>
      <c r="Y52" s="21">
        <f t="shared" si="4"/>
        <v>4792.0509530596555</v>
      </c>
      <c r="Z52" s="21">
        <f t="shared" si="5"/>
        <v>5676.4117463503253</v>
      </c>
      <c r="AA52" s="45">
        <f t="shared" si="6"/>
        <v>6531.7422482715019</v>
      </c>
      <c r="AB52" s="37">
        <f t="shared" si="7"/>
        <v>7351.5328772408875</v>
      </c>
      <c r="AC52" s="8"/>
      <c r="AE52" s="26">
        <f t="shared" si="33"/>
        <v>41.050226185734452</v>
      </c>
      <c r="AF52" s="20">
        <f t="shared" si="34"/>
        <v>10.074400384296247</v>
      </c>
      <c r="AG52" s="37">
        <f t="shared" si="20"/>
        <v>3814.1206675224653</v>
      </c>
      <c r="AJ52" s="26">
        <f t="shared" si="35"/>
        <v>61.575339278601675</v>
      </c>
      <c r="AK52" s="20">
        <f t="shared" si="36"/>
        <v>23.598442409499835</v>
      </c>
      <c r="AL52" s="37">
        <f t="shared" si="21"/>
        <v>2542.7471116816432</v>
      </c>
      <c r="AO52" s="26">
        <f t="shared" si="37"/>
        <v>92.363008917902519</v>
      </c>
      <c r="AP52" s="20">
        <f t="shared" si="38"/>
        <v>64.040754800811953</v>
      </c>
      <c r="AQ52" s="37">
        <f t="shared" si="22"/>
        <v>1695.1647411210956</v>
      </c>
      <c r="AT52" s="26">
        <f t="shared" si="39"/>
        <v>123.15067855720335</v>
      </c>
      <c r="AU52" s="20">
        <f t="shared" si="40"/>
        <v>138.85477661599865</v>
      </c>
      <c r="AV52" s="37"/>
      <c r="AY52" s="26">
        <f t="shared" si="41"/>
        <v>153.93834819650422</v>
      </c>
      <c r="AZ52" s="20">
        <f t="shared" si="42"/>
        <v>259.49774432968502</v>
      </c>
      <c r="BA52" s="37"/>
    </row>
    <row r="53" spans="8:53" x14ac:dyDescent="0.2">
      <c r="H53" s="4">
        <v>5500</v>
      </c>
      <c r="I53" s="6">
        <v>121.5</v>
      </c>
      <c r="K53" s="15">
        <f t="shared" si="30"/>
        <v>17.362357428206767</v>
      </c>
      <c r="L53" s="12">
        <f t="shared" si="32"/>
        <v>34.724714856413534</v>
      </c>
      <c r="M53" s="12">
        <f t="shared" si="43"/>
        <v>52.087072284620305</v>
      </c>
      <c r="N53" s="12">
        <f t="shared" si="44"/>
        <v>69.449429712827069</v>
      </c>
      <c r="O53" s="12">
        <f t="shared" si="27"/>
        <v>86.811787141033832</v>
      </c>
      <c r="P53" s="12">
        <f t="shared" si="28"/>
        <v>104.17414456924061</v>
      </c>
      <c r="Q53" s="12">
        <f t="shared" si="29"/>
        <v>121.53650199744737</v>
      </c>
      <c r="R53" s="6">
        <f t="shared" si="31"/>
        <v>138.89885942565414</v>
      </c>
      <c r="S53" s="8"/>
      <c r="T53" s="4">
        <v>153</v>
      </c>
      <c r="U53" s="21">
        <f t="shared" si="1"/>
        <v>1023.4349048614912</v>
      </c>
      <c r="V53" s="21">
        <f t="shared" si="8"/>
        <v>2108.1112090000684</v>
      </c>
      <c r="W53" s="21">
        <f t="shared" si="2"/>
        <v>3038.5534146659388</v>
      </c>
      <c r="X53" s="21">
        <f t="shared" si="3"/>
        <v>3960.6135170819098</v>
      </c>
      <c r="Y53" s="21">
        <f t="shared" si="4"/>
        <v>4867.2740821134839</v>
      </c>
      <c r="Z53" s="21">
        <f t="shared" si="5"/>
        <v>5751.6348754041537</v>
      </c>
      <c r="AA53" s="45">
        <f t="shared" si="6"/>
        <v>6606.9653773253303</v>
      </c>
      <c r="AB53" s="37">
        <f t="shared" si="7"/>
        <v>7426.7560062947159</v>
      </c>
      <c r="AC53" s="8"/>
      <c r="AE53" s="26">
        <f t="shared" si="33"/>
        <v>41.810415559544346</v>
      </c>
      <c r="AF53" s="20">
        <f t="shared" si="34"/>
        <v>10.243593938901284</v>
      </c>
      <c r="AG53" s="37">
        <f t="shared" si="20"/>
        <v>3743.2605905006421</v>
      </c>
      <c r="AJ53" s="26">
        <f t="shared" si="35"/>
        <v>62.715623339316529</v>
      </c>
      <c r="AK53" s="20">
        <f t="shared" si="36"/>
        <v>24.169470656291839</v>
      </c>
      <c r="AL53" s="37">
        <f t="shared" si="21"/>
        <v>2495.5070603337617</v>
      </c>
      <c r="AO53" s="26">
        <f t="shared" si="37"/>
        <v>94.073435008974783</v>
      </c>
      <c r="AP53" s="20">
        <f t="shared" si="38"/>
        <v>65.967975133734953</v>
      </c>
      <c r="AQ53" s="37">
        <f t="shared" si="22"/>
        <v>1663.671373555841</v>
      </c>
      <c r="AT53" s="26">
        <f t="shared" si="39"/>
        <v>125.43124667863306</v>
      </c>
      <c r="AU53" s="20">
        <f t="shared" si="40"/>
        <v>143.42300259033473</v>
      </c>
      <c r="AV53" s="37"/>
      <c r="AY53" s="26">
        <f t="shared" si="41"/>
        <v>156.78905834829129</v>
      </c>
      <c r="AZ53" s="20">
        <f t="shared" si="42"/>
        <v>268.42006068580991</v>
      </c>
      <c r="BA53" s="37"/>
    </row>
    <row r="54" spans="8:53" x14ac:dyDescent="0.2">
      <c r="H54" s="4">
        <v>5600</v>
      </c>
      <c r="I54" s="6">
        <v>119.4</v>
      </c>
      <c r="K54" s="15">
        <f t="shared" si="30"/>
        <v>17.052315331274503</v>
      </c>
      <c r="L54" s="12">
        <f t="shared" si="32"/>
        <v>34.104630662549006</v>
      </c>
      <c r="M54" s="12">
        <f t="shared" si="43"/>
        <v>51.156945993823513</v>
      </c>
      <c r="N54" s="12">
        <f t="shared" si="44"/>
        <v>68.209261325098012</v>
      </c>
      <c r="O54" s="12">
        <f t="shared" si="27"/>
        <v>85.261576656372512</v>
      </c>
      <c r="P54" s="12">
        <f t="shared" si="28"/>
        <v>102.31389198764703</v>
      </c>
      <c r="Q54" s="12">
        <f t="shared" si="29"/>
        <v>119.36620731892152</v>
      </c>
      <c r="R54" s="6">
        <f t="shared" si="31"/>
        <v>136.41852265019602</v>
      </c>
      <c r="S54" s="8"/>
      <c r="T54" s="4">
        <v>156</v>
      </c>
      <c r="U54" s="21">
        <f t="shared" si="1"/>
        <v>1003.7534643833856</v>
      </c>
      <c r="V54" s="21">
        <f t="shared" si="8"/>
        <v>2184.8239049658532</v>
      </c>
      <c r="W54" s="21">
        <f t="shared" si="2"/>
        <v>3115.2661106317237</v>
      </c>
      <c r="X54" s="21">
        <f t="shared" si="3"/>
        <v>4037.3262130476951</v>
      </c>
      <c r="Y54" s="21">
        <f t="shared" si="4"/>
        <v>4943.9867780792692</v>
      </c>
      <c r="Z54" s="21">
        <f t="shared" si="5"/>
        <v>5828.347571369939</v>
      </c>
      <c r="AA54" s="45">
        <f t="shared" si="6"/>
        <v>6683.6780732911157</v>
      </c>
      <c r="AB54" s="37">
        <f t="shared" si="7"/>
        <v>7503.4687022605012</v>
      </c>
      <c r="AC54" s="8"/>
      <c r="AE54" s="26">
        <f t="shared" si="33"/>
        <v>42.570604933354254</v>
      </c>
      <c r="AF54" s="20">
        <f t="shared" si="34"/>
        <v>10.415891962398158</v>
      </c>
      <c r="AG54" s="37">
        <f t="shared" si="20"/>
        <v>3678.5622593068047</v>
      </c>
      <c r="AJ54" s="26">
        <f t="shared" si="35"/>
        <v>63.85590740003137</v>
      </c>
      <c r="AK54" s="20">
        <f t="shared" si="36"/>
        <v>24.750976485593792</v>
      </c>
      <c r="AL54" s="37">
        <f t="shared" si="21"/>
        <v>2452.3748395378698</v>
      </c>
      <c r="AO54" s="26">
        <f t="shared" si="37"/>
        <v>95.783861100047062</v>
      </c>
      <c r="AP54" s="20">
        <f t="shared" si="38"/>
        <v>67.930557307629059</v>
      </c>
      <c r="AQ54" s="37">
        <f t="shared" si="22"/>
        <v>1634.9165596919129</v>
      </c>
      <c r="AT54" s="26">
        <f t="shared" si="39"/>
        <v>127.71181480006274</v>
      </c>
      <c r="AU54" s="20">
        <f t="shared" si="40"/>
        <v>148.0750492247503</v>
      </c>
      <c r="AV54" s="37"/>
      <c r="AY54" s="26">
        <f t="shared" si="41"/>
        <v>159.63976850007842</v>
      </c>
      <c r="AZ54" s="20">
        <f t="shared" si="42"/>
        <v>277.506089268653</v>
      </c>
      <c r="BA54" s="37"/>
    </row>
    <row r="55" spans="8:53" x14ac:dyDescent="0.2">
      <c r="H55" s="4">
        <v>5700</v>
      </c>
      <c r="I55" s="6">
        <v>117.3</v>
      </c>
      <c r="K55" s="15">
        <f t="shared" si="30"/>
        <v>16.753151904410039</v>
      </c>
      <c r="L55" s="12">
        <f t="shared" si="32"/>
        <v>33.506303808820078</v>
      </c>
      <c r="M55" s="12">
        <f t="shared" si="43"/>
        <v>50.259455713230118</v>
      </c>
      <c r="N55" s="12">
        <f t="shared" si="44"/>
        <v>67.012607617640157</v>
      </c>
      <c r="O55" s="12">
        <f t="shared" si="27"/>
        <v>83.765759522050189</v>
      </c>
      <c r="P55" s="12">
        <f t="shared" si="28"/>
        <v>100.51891142646024</v>
      </c>
      <c r="Q55" s="12">
        <f t="shared" si="29"/>
        <v>117.27206333087027</v>
      </c>
      <c r="R55" s="6">
        <f t="shared" si="31"/>
        <v>134.02521523528031</v>
      </c>
      <c r="S55" s="8"/>
      <c r="T55" s="4">
        <v>159</v>
      </c>
      <c r="U55" s="21">
        <f t="shared" si="1"/>
        <v>984.81471977237845</v>
      </c>
      <c r="V55" s="21">
        <f t="shared" si="8"/>
        <v>2263.026167843595</v>
      </c>
      <c r="W55" s="21">
        <f t="shared" si="2"/>
        <v>3193.4683735094659</v>
      </c>
      <c r="X55" s="21">
        <f t="shared" si="3"/>
        <v>4115.5284759254373</v>
      </c>
      <c r="Y55" s="21">
        <f t="shared" si="4"/>
        <v>5022.1890409570115</v>
      </c>
      <c r="Z55" s="21">
        <f t="shared" si="5"/>
        <v>5906.5498342476803</v>
      </c>
      <c r="AA55" s="45">
        <f t="shared" si="6"/>
        <v>6761.880336168857</v>
      </c>
      <c r="AB55" s="37">
        <f t="shared" si="7"/>
        <v>7581.6709651382425</v>
      </c>
      <c r="AC55" s="8"/>
      <c r="AE55" s="26">
        <f t="shared" si="33"/>
        <v>43.330794307164147</v>
      </c>
      <c r="AF55" s="20">
        <f t="shared" si="34"/>
        <v>10.591294454786869</v>
      </c>
      <c r="AG55" s="37">
        <f t="shared" si="20"/>
        <v>3613.8639281129658</v>
      </c>
      <c r="AJ55" s="26">
        <f t="shared" si="35"/>
        <v>64.996191460746218</v>
      </c>
      <c r="AK55" s="20">
        <f t="shared" si="36"/>
        <v>25.342959897405681</v>
      </c>
      <c r="AL55" s="37">
        <f t="shared" si="21"/>
        <v>2409.2426187419769</v>
      </c>
      <c r="AO55" s="26">
        <f t="shared" si="37"/>
        <v>97.494287191119327</v>
      </c>
      <c r="AP55" s="20">
        <f t="shared" si="38"/>
        <v>69.928501322494171</v>
      </c>
      <c r="AQ55" s="37">
        <f t="shared" si="22"/>
        <v>1606.1617458279848</v>
      </c>
      <c r="AT55" s="26">
        <f t="shared" si="39"/>
        <v>129.99238292149244</v>
      </c>
      <c r="AU55" s="20">
        <f t="shared" si="40"/>
        <v>152.81091651924547</v>
      </c>
      <c r="AV55" s="37"/>
      <c r="AY55" s="26">
        <f t="shared" si="41"/>
        <v>162.49047865186557</v>
      </c>
      <c r="AZ55" s="20">
        <f t="shared" si="42"/>
        <v>286.75583007821388</v>
      </c>
      <c r="BA55" s="37"/>
    </row>
    <row r="56" spans="8:53" x14ac:dyDescent="0.2">
      <c r="H56" s="4">
        <v>5800</v>
      </c>
      <c r="I56" s="6">
        <v>115.3</v>
      </c>
      <c r="K56" s="15">
        <f t="shared" si="30"/>
        <v>16.464304457782276</v>
      </c>
      <c r="L56" s="12">
        <f t="shared" si="32"/>
        <v>32.928608915564553</v>
      </c>
      <c r="M56" s="12">
        <f t="shared" si="43"/>
        <v>49.392913373346829</v>
      </c>
      <c r="N56" s="12">
        <f t="shared" si="44"/>
        <v>65.857217831129105</v>
      </c>
      <c r="O56" s="12">
        <f t="shared" si="27"/>
        <v>82.321522288911382</v>
      </c>
      <c r="P56" s="12">
        <f t="shared" si="28"/>
        <v>98.785826746693658</v>
      </c>
      <c r="Q56" s="12">
        <f t="shared" si="29"/>
        <v>115.25013120447593</v>
      </c>
      <c r="R56" s="6">
        <f t="shared" si="31"/>
        <v>131.71443566225821</v>
      </c>
      <c r="S56" s="8"/>
      <c r="T56" s="4">
        <v>162</v>
      </c>
      <c r="U56" s="21">
        <f t="shared" si="1"/>
        <v>966.57741014696398</v>
      </c>
      <c r="V56" s="21">
        <f t="shared" si="8"/>
        <v>2342.7179976332936</v>
      </c>
      <c r="W56" s="21">
        <f t="shared" si="2"/>
        <v>3273.1602032991641</v>
      </c>
      <c r="X56" s="21">
        <f t="shared" si="3"/>
        <v>4195.2203057151355</v>
      </c>
      <c r="Y56" s="21">
        <f t="shared" si="4"/>
        <v>5101.8808707467097</v>
      </c>
      <c r="Z56" s="21">
        <f t="shared" si="5"/>
        <v>5986.2416640373795</v>
      </c>
      <c r="AA56" s="45">
        <f t="shared" si="6"/>
        <v>6841.5721659585561</v>
      </c>
      <c r="AB56" s="37">
        <f t="shared" si="7"/>
        <v>7661.3627949279416</v>
      </c>
      <c r="AC56" s="8"/>
      <c r="AE56" s="26">
        <f t="shared" si="33"/>
        <v>44.090983680974041</v>
      </c>
      <c r="AF56" s="20">
        <f t="shared" si="34"/>
        <v>10.769801416067416</v>
      </c>
      <c r="AG56" s="37">
        <f t="shared" si="20"/>
        <v>3552.24646983312</v>
      </c>
      <c r="AJ56" s="26">
        <f t="shared" si="35"/>
        <v>66.136475521461065</v>
      </c>
      <c r="AK56" s="20">
        <f t="shared" si="36"/>
        <v>25.945420891727519</v>
      </c>
      <c r="AL56" s="37">
        <f t="shared" si="21"/>
        <v>2368.1643132220797</v>
      </c>
      <c r="AO56" s="26">
        <f t="shared" si="37"/>
        <v>99.204713282191591</v>
      </c>
      <c r="AP56" s="20">
        <f t="shared" si="38"/>
        <v>71.961807178330375</v>
      </c>
      <c r="AQ56" s="37">
        <f t="shared" si="22"/>
        <v>1578.7762088147199</v>
      </c>
      <c r="AT56" s="26">
        <f t="shared" si="39"/>
        <v>132.27295104292213</v>
      </c>
      <c r="AU56" s="20">
        <f t="shared" si="40"/>
        <v>157.6306044738202</v>
      </c>
      <c r="AV56" s="37"/>
      <c r="AY56" s="26">
        <f t="shared" si="41"/>
        <v>165.34118880365264</v>
      </c>
      <c r="AZ56" s="20">
        <f t="shared" si="42"/>
        <v>296.16928311449249</v>
      </c>
      <c r="BA56" s="37"/>
    </row>
    <row r="57" spans="8:53" x14ac:dyDescent="0.2">
      <c r="H57" s="4">
        <v>5900</v>
      </c>
      <c r="I57" s="6">
        <v>113.3</v>
      </c>
      <c r="K57" s="15">
        <f t="shared" si="30"/>
        <v>16.185248450023256</v>
      </c>
      <c r="L57" s="12">
        <f t="shared" si="32"/>
        <v>32.370496900046511</v>
      </c>
      <c r="M57" s="12">
        <f t="shared" si="43"/>
        <v>48.555745350069763</v>
      </c>
      <c r="N57" s="12">
        <f t="shared" si="44"/>
        <v>64.740993800093023</v>
      </c>
      <c r="O57" s="12">
        <f t="shared" si="27"/>
        <v>80.926242250116275</v>
      </c>
      <c r="P57" s="12">
        <f t="shared" si="28"/>
        <v>97.111490700139527</v>
      </c>
      <c r="Q57" s="12">
        <f t="shared" si="29"/>
        <v>113.29673915016278</v>
      </c>
      <c r="R57" s="6">
        <f t="shared" si="31"/>
        <v>129.48198760018605</v>
      </c>
      <c r="S57" s="8"/>
      <c r="T57" s="4">
        <v>165</v>
      </c>
      <c r="U57" s="21">
        <f t="shared" si="1"/>
        <v>949.00327541701915</v>
      </c>
      <c r="V57" s="21">
        <f t="shared" si="8"/>
        <v>2423.8993943349506</v>
      </c>
      <c r="W57" s="21">
        <f t="shared" si="2"/>
        <v>3354.341600000821</v>
      </c>
      <c r="X57" s="21">
        <f t="shared" si="3"/>
        <v>4276.4017024167924</v>
      </c>
      <c r="Y57" s="21">
        <f t="shared" si="4"/>
        <v>5183.0622674483666</v>
      </c>
      <c r="Z57" s="21">
        <f t="shared" si="5"/>
        <v>6067.4230607390364</v>
      </c>
      <c r="AA57" s="45">
        <f t="shared" si="6"/>
        <v>6922.753562660213</v>
      </c>
      <c r="AB57" s="37">
        <f t="shared" si="7"/>
        <v>7742.5441916295986</v>
      </c>
      <c r="AC57" s="8"/>
      <c r="AE57" s="26">
        <f t="shared" si="33"/>
        <v>44.851173054783942</v>
      </c>
      <c r="AF57" s="20">
        <f t="shared" si="34"/>
        <v>10.951412846239794</v>
      </c>
      <c r="AG57" s="37">
        <f t="shared" si="20"/>
        <v>3490.6290115532734</v>
      </c>
      <c r="AJ57" s="26">
        <f t="shared" si="35"/>
        <v>67.276759582175913</v>
      </c>
      <c r="AK57" s="20">
        <f t="shared" si="36"/>
        <v>26.558359468559306</v>
      </c>
      <c r="AL57" s="37">
        <f t="shared" si="21"/>
        <v>2327.0860077021825</v>
      </c>
      <c r="AO57" s="26">
        <f t="shared" si="37"/>
        <v>100.91513937326387</v>
      </c>
      <c r="AP57" s="20">
        <f t="shared" si="38"/>
        <v>74.030474875137656</v>
      </c>
      <c r="AQ57" s="37">
        <f t="shared" si="22"/>
        <v>1551.390671801455</v>
      </c>
      <c r="AT57" s="26">
        <f t="shared" si="39"/>
        <v>134.55351916435183</v>
      </c>
      <c r="AU57" s="20">
        <f t="shared" si="40"/>
        <v>162.53411308847447</v>
      </c>
      <c r="AV57" s="37"/>
      <c r="AY57" s="26">
        <f t="shared" si="41"/>
        <v>168.19189895543977</v>
      </c>
      <c r="AZ57" s="20">
        <f t="shared" si="42"/>
        <v>305.74644837748917</v>
      </c>
      <c r="BA57" s="37"/>
    </row>
    <row r="58" spans="8:53" x14ac:dyDescent="0.2">
      <c r="H58" s="4">
        <v>6000</v>
      </c>
      <c r="I58" s="6">
        <v>111.4</v>
      </c>
      <c r="K58" s="15">
        <f t="shared" si="30"/>
        <v>15.915494309189533</v>
      </c>
      <c r="L58" s="12">
        <f t="shared" si="32"/>
        <v>31.830988618379067</v>
      </c>
      <c r="M58" s="12">
        <f t="shared" si="43"/>
        <v>47.7464829275686</v>
      </c>
      <c r="N58" s="12">
        <f t="shared" si="44"/>
        <v>63.661977236758133</v>
      </c>
      <c r="O58" s="12">
        <f t="shared" si="27"/>
        <v>79.577471545947674</v>
      </c>
      <c r="P58" s="12">
        <f t="shared" si="28"/>
        <v>95.4929658551372</v>
      </c>
      <c r="Q58" s="12">
        <f t="shared" si="29"/>
        <v>111.40846016432674</v>
      </c>
      <c r="R58" s="6">
        <f t="shared" si="31"/>
        <v>127.32395447351627</v>
      </c>
      <c r="S58" s="8"/>
      <c r="T58" s="4">
        <v>168</v>
      </c>
      <c r="U58" s="21">
        <f t="shared" si="1"/>
        <v>932.05678835600088</v>
      </c>
      <c r="V58" s="21">
        <f t="shared" si="8"/>
        <v>2506.5703579485639</v>
      </c>
      <c r="W58" s="21">
        <f t="shared" si="2"/>
        <v>3437.0125636144348</v>
      </c>
      <c r="X58" s="21">
        <f t="shared" si="3"/>
        <v>4359.0726660304063</v>
      </c>
      <c r="Y58" s="21">
        <f t="shared" si="4"/>
        <v>5265.7332310619804</v>
      </c>
      <c r="Z58" s="21">
        <f t="shared" si="5"/>
        <v>6150.0940243526493</v>
      </c>
      <c r="AA58" s="45">
        <f t="shared" si="6"/>
        <v>7005.4245262738259</v>
      </c>
      <c r="AB58" s="37">
        <f t="shared" si="7"/>
        <v>7825.2151552432115</v>
      </c>
      <c r="AC58" s="8"/>
      <c r="AE58" s="26">
        <f t="shared" si="33"/>
        <v>45.611362428593836</v>
      </c>
      <c r="AF58" s="20">
        <f t="shared" si="34"/>
        <v>11.13612874530401</v>
      </c>
      <c r="AG58" s="37">
        <f t="shared" si="20"/>
        <v>3432.0924261874202</v>
      </c>
      <c r="AJ58" s="26">
        <f t="shared" si="35"/>
        <v>68.417043642890761</v>
      </c>
      <c r="AK58" s="20">
        <f t="shared" si="36"/>
        <v>27.181775627901036</v>
      </c>
      <c r="AL58" s="37">
        <f t="shared" si="21"/>
        <v>2288.0616174582806</v>
      </c>
      <c r="AO58" s="26">
        <f t="shared" si="37"/>
        <v>102.62556546433613</v>
      </c>
      <c r="AP58" s="20">
        <f t="shared" si="38"/>
        <v>76.134504412915987</v>
      </c>
      <c r="AQ58" s="37">
        <f t="shared" si="22"/>
        <v>1525.3744116388534</v>
      </c>
      <c r="AT58" s="26">
        <f t="shared" si="39"/>
        <v>136.83408728578152</v>
      </c>
      <c r="AU58" s="20">
        <f t="shared" si="40"/>
        <v>167.52144236320831</v>
      </c>
      <c r="AV58" s="37"/>
      <c r="AY58" s="26">
        <f t="shared" si="41"/>
        <v>171.04260910722689</v>
      </c>
      <c r="AZ58" s="20">
        <f t="shared" si="42"/>
        <v>315.48732586720371</v>
      </c>
      <c r="BA58" s="37"/>
    </row>
    <row r="59" spans="8:53" x14ac:dyDescent="0.2">
      <c r="H59" s="4">
        <v>6100</v>
      </c>
      <c r="I59" s="6">
        <v>109.1</v>
      </c>
      <c r="K59" s="15">
        <f t="shared" si="30"/>
        <v>15.654584566415934</v>
      </c>
      <c r="L59" s="12">
        <f t="shared" si="32"/>
        <v>31.309169132831869</v>
      </c>
      <c r="M59" s="12">
        <f t="shared" si="43"/>
        <v>46.963753699247803</v>
      </c>
      <c r="N59" s="12">
        <f t="shared" si="44"/>
        <v>62.618338265663738</v>
      </c>
      <c r="O59" s="12">
        <f t="shared" si="27"/>
        <v>78.272922832079672</v>
      </c>
      <c r="P59" s="12">
        <f t="shared" si="28"/>
        <v>93.927507398495607</v>
      </c>
      <c r="Q59" s="12">
        <f t="shared" si="29"/>
        <v>109.58209196491154</v>
      </c>
      <c r="R59" s="6">
        <f t="shared" si="31"/>
        <v>125.23667653132748</v>
      </c>
      <c r="S59" s="8"/>
      <c r="T59" s="4">
        <v>171</v>
      </c>
      <c r="U59" s="21">
        <f t="shared" si="1"/>
        <v>915.70491487607114</v>
      </c>
      <c r="V59" s="21">
        <f t="shared" si="8"/>
        <v>2590.7308884741328</v>
      </c>
      <c r="W59" s="21">
        <f t="shared" si="2"/>
        <v>3521.1730941400037</v>
      </c>
      <c r="X59" s="21">
        <f t="shared" si="3"/>
        <v>4443.2331965559752</v>
      </c>
      <c r="Y59" s="21">
        <f t="shared" si="4"/>
        <v>5349.8937615875493</v>
      </c>
      <c r="Z59" s="21">
        <f t="shared" si="5"/>
        <v>6234.2545548782182</v>
      </c>
      <c r="AA59" s="45">
        <f t="shared" si="6"/>
        <v>7089.5850567993948</v>
      </c>
      <c r="AB59" s="37">
        <f t="shared" si="7"/>
        <v>7909.3756857687804</v>
      </c>
      <c r="AC59" s="8"/>
      <c r="AE59" s="26">
        <f t="shared" si="33"/>
        <v>46.371551802403729</v>
      </c>
      <c r="AF59" s="20">
        <f t="shared" si="34"/>
        <v>11.323949113260063</v>
      </c>
      <c r="AG59" s="37">
        <f t="shared" si="20"/>
        <v>3361.232349165597</v>
      </c>
      <c r="AJ59" s="26">
        <f t="shared" si="35"/>
        <v>69.557327703605594</v>
      </c>
      <c r="AK59" s="20">
        <f t="shared" si="36"/>
        <v>27.815669369752708</v>
      </c>
      <c r="AL59" s="37">
        <f t="shared" si="21"/>
        <v>2240.8215661103977</v>
      </c>
      <c r="AO59" s="26">
        <f t="shared" si="37"/>
        <v>104.33599155540838</v>
      </c>
      <c r="AP59" s="20">
        <f t="shared" si="38"/>
        <v>78.273895791665382</v>
      </c>
      <c r="AQ59" s="37">
        <f t="shared" si="22"/>
        <v>1493.8810440735988</v>
      </c>
      <c r="AT59" s="26">
        <f t="shared" si="39"/>
        <v>139.11465540721119</v>
      </c>
      <c r="AU59" s="20">
        <f t="shared" si="40"/>
        <v>172.59259229802169</v>
      </c>
      <c r="AV59" s="37"/>
      <c r="AY59" s="26">
        <f t="shared" si="41"/>
        <v>173.89331925901399</v>
      </c>
      <c r="AZ59" s="20">
        <f t="shared" si="42"/>
        <v>325.39191558363598</v>
      </c>
      <c r="BA59" s="37"/>
    </row>
    <row r="60" spans="8:53" x14ac:dyDescent="0.2">
      <c r="H60" s="4">
        <v>6200</v>
      </c>
      <c r="I60" s="6">
        <v>106.1</v>
      </c>
      <c r="K60" s="15">
        <f t="shared" si="30"/>
        <v>15.402091266957614</v>
      </c>
      <c r="L60" s="12">
        <f t="shared" si="32"/>
        <v>30.804182533915228</v>
      </c>
      <c r="M60" s="12">
        <f t="shared" si="43"/>
        <v>46.206273800872836</v>
      </c>
      <c r="N60" s="12">
        <f t="shared" si="44"/>
        <v>61.608365067830455</v>
      </c>
      <c r="O60" s="12">
        <f t="shared" si="27"/>
        <v>77.01045633478806</v>
      </c>
      <c r="P60" s="12">
        <f t="shared" si="28"/>
        <v>92.412547601745672</v>
      </c>
      <c r="Q60" s="12">
        <f t="shared" si="29"/>
        <v>107.81463886870328</v>
      </c>
      <c r="R60" s="6">
        <f t="shared" si="31"/>
        <v>123.21673013566091</v>
      </c>
      <c r="S60" s="8"/>
      <c r="T60" s="4">
        <v>174</v>
      </c>
      <c r="U60" s="21">
        <f t="shared" si="1"/>
        <v>899.91689910234572</v>
      </c>
      <c r="V60" s="21">
        <f t="shared" si="8"/>
        <v>2676.38098591166</v>
      </c>
      <c r="W60" s="21">
        <f t="shared" si="2"/>
        <v>3606.8231915775305</v>
      </c>
      <c r="X60" s="21">
        <f t="shared" si="3"/>
        <v>4528.8832939935019</v>
      </c>
      <c r="Y60" s="21">
        <f t="shared" si="4"/>
        <v>5435.543859025076</v>
      </c>
      <c r="Z60" s="21">
        <f t="shared" si="5"/>
        <v>6319.9046523157458</v>
      </c>
      <c r="AA60" s="45">
        <f t="shared" si="6"/>
        <v>7175.2351542369224</v>
      </c>
      <c r="AB60" s="37">
        <f t="shared" si="7"/>
        <v>7995.025783206308</v>
      </c>
      <c r="AC60" s="8"/>
      <c r="AE60" s="26">
        <f t="shared" si="33"/>
        <v>47.131741176213623</v>
      </c>
      <c r="AF60" s="20">
        <f t="shared" si="34"/>
        <v>11.514873950107946</v>
      </c>
      <c r="AG60" s="37">
        <f t="shared" si="20"/>
        <v>3268.8061617458284</v>
      </c>
      <c r="AJ60" s="26">
        <f t="shared" si="35"/>
        <v>70.697611764320442</v>
      </c>
      <c r="AK60" s="20">
        <f t="shared" si="36"/>
        <v>28.460040694114323</v>
      </c>
      <c r="AL60" s="37">
        <f t="shared" si="21"/>
        <v>2179.2041078305519</v>
      </c>
      <c r="AO60" s="26">
        <f t="shared" si="37"/>
        <v>106.04641764648066</v>
      </c>
      <c r="AP60" s="20">
        <f t="shared" si="38"/>
        <v>80.448649011385839</v>
      </c>
      <c r="AQ60" s="37">
        <f t="shared" si="22"/>
        <v>1452.8027385537014</v>
      </c>
      <c r="AT60" s="26">
        <f t="shared" si="39"/>
        <v>141.39522352864088</v>
      </c>
      <c r="AU60" s="20">
        <f t="shared" si="40"/>
        <v>177.74756289291454</v>
      </c>
      <c r="AV60" s="37"/>
      <c r="AY60" s="26">
        <f t="shared" si="41"/>
        <v>176.74402941080109</v>
      </c>
      <c r="AZ60" s="20">
        <f t="shared" si="42"/>
        <v>335.46021752678627</v>
      </c>
      <c r="BA60" s="37"/>
    </row>
    <row r="61" spans="8:53" x14ac:dyDescent="0.2">
      <c r="H61" s="4">
        <v>6300</v>
      </c>
      <c r="I61" s="6">
        <v>102.3</v>
      </c>
      <c r="K61" s="15">
        <f t="shared" si="30"/>
        <v>15.157613627799556</v>
      </c>
      <c r="L61" s="12">
        <f t="shared" si="32"/>
        <v>30.315227255599112</v>
      </c>
      <c r="M61" s="12">
        <f t="shared" si="43"/>
        <v>45.472840883398668</v>
      </c>
      <c r="N61" s="12">
        <f t="shared" si="44"/>
        <v>60.630454511198224</v>
      </c>
      <c r="O61" s="12">
        <f t="shared" si="27"/>
        <v>75.788068138997772</v>
      </c>
      <c r="P61" s="12">
        <f t="shared" si="28"/>
        <v>90.945681766797335</v>
      </c>
      <c r="Q61" s="12">
        <f t="shared" si="29"/>
        <v>106.10329539459688</v>
      </c>
      <c r="R61" s="6">
        <f t="shared" si="31"/>
        <v>121.26090902239645</v>
      </c>
      <c r="S61" s="8"/>
      <c r="T61" s="4">
        <v>177</v>
      </c>
      <c r="U61" s="21">
        <f t="shared" si="1"/>
        <v>884.66407030400092</v>
      </c>
      <c r="V61" s="21">
        <f t="shared" si="8"/>
        <v>2763.520650261145</v>
      </c>
      <c r="W61" s="21">
        <f t="shared" si="2"/>
        <v>3693.9628559270159</v>
      </c>
      <c r="X61" s="21">
        <f t="shared" si="3"/>
        <v>4616.0229583429864</v>
      </c>
      <c r="Y61" s="21">
        <f t="shared" si="4"/>
        <v>5522.6835233745605</v>
      </c>
      <c r="Z61" s="21">
        <f t="shared" si="5"/>
        <v>6407.0443166652312</v>
      </c>
      <c r="AA61" s="45">
        <f t="shared" si="6"/>
        <v>7262.3748185864079</v>
      </c>
      <c r="AB61" s="37">
        <f t="shared" si="7"/>
        <v>8082.1654475557934</v>
      </c>
      <c r="AC61" s="8"/>
      <c r="AE61" s="26">
        <f t="shared" si="33"/>
        <v>47.891930550023517</v>
      </c>
      <c r="AF61" s="20">
        <f t="shared" si="34"/>
        <v>11.708903255847666</v>
      </c>
      <c r="AG61" s="37">
        <f t="shared" si="20"/>
        <v>3151.7329910141207</v>
      </c>
      <c r="AJ61" s="26">
        <f t="shared" si="35"/>
        <v>71.837895825035275</v>
      </c>
      <c r="AK61" s="20">
        <f t="shared" si="36"/>
        <v>29.11488960098588</v>
      </c>
      <c r="AL61" s="37">
        <f t="shared" si="21"/>
        <v>2101.1553273427471</v>
      </c>
      <c r="AO61" s="26">
        <f t="shared" si="37"/>
        <v>107.75684373755293</v>
      </c>
      <c r="AP61" s="20">
        <f t="shared" si="38"/>
        <v>82.658764072077361</v>
      </c>
      <c r="AQ61" s="37">
        <f t="shared" si="22"/>
        <v>1400.7702182284982</v>
      </c>
      <c r="AT61" s="26">
        <f t="shared" si="39"/>
        <v>143.67579165007055</v>
      </c>
      <c r="AU61" s="20">
        <f t="shared" si="40"/>
        <v>182.98635414788703</v>
      </c>
      <c r="AV61" s="37"/>
      <c r="AY61" s="26">
        <f t="shared" si="41"/>
        <v>179.59473956258822</v>
      </c>
      <c r="AZ61" s="20">
        <f t="shared" si="42"/>
        <v>345.6922316966544</v>
      </c>
      <c r="BA61" s="37"/>
    </row>
    <row r="62" spans="8:53" x14ac:dyDescent="0.2">
      <c r="H62" s="4">
        <v>6400</v>
      </c>
      <c r="I62" s="6">
        <v>97.8</v>
      </c>
      <c r="K62" s="15">
        <f t="shared" si="30"/>
        <v>14.920775914865187</v>
      </c>
      <c r="L62" s="12">
        <f t="shared" si="32"/>
        <v>29.841551829730374</v>
      </c>
      <c r="M62" s="12">
        <f t="shared" si="43"/>
        <v>44.762327744595559</v>
      </c>
      <c r="N62" s="12">
        <f t="shared" si="44"/>
        <v>59.683103659460748</v>
      </c>
      <c r="O62" s="12">
        <f t="shared" si="27"/>
        <v>74.603879574325944</v>
      </c>
      <c r="P62" s="12">
        <f t="shared" si="28"/>
        <v>89.524655489191119</v>
      </c>
      <c r="Q62" s="12">
        <f t="shared" si="29"/>
        <v>104.44543140405631</v>
      </c>
      <c r="R62" s="6">
        <f t="shared" si="31"/>
        <v>119.3662073189215</v>
      </c>
      <c r="S62" s="8"/>
      <c r="T62" s="4">
        <v>180</v>
      </c>
      <c r="U62" s="21">
        <f t="shared" si="1"/>
        <v>869.91966913226747</v>
      </c>
      <c r="V62" s="21">
        <f t="shared" si="8"/>
        <v>2852.1498815225859</v>
      </c>
      <c r="W62" s="21">
        <f t="shared" si="2"/>
        <v>3782.5920871884564</v>
      </c>
      <c r="X62" s="21">
        <f t="shared" si="3"/>
        <v>4704.6521896044278</v>
      </c>
      <c r="Y62" s="21">
        <f t="shared" si="4"/>
        <v>5611.312754636002</v>
      </c>
      <c r="Z62" s="21">
        <f t="shared" si="5"/>
        <v>6495.6735479266717</v>
      </c>
      <c r="AA62" s="45">
        <f t="shared" si="6"/>
        <v>7351.0040498478484</v>
      </c>
      <c r="AB62" s="37">
        <f t="shared" si="7"/>
        <v>8170.7946788172339</v>
      </c>
      <c r="AC62" s="8"/>
      <c r="AE62" s="26">
        <f t="shared" si="33"/>
        <v>48.652119923833425</v>
      </c>
      <c r="AF62" s="20">
        <f t="shared" si="34"/>
        <v>11.906037030479228</v>
      </c>
      <c r="AG62" s="37">
        <f t="shared" si="20"/>
        <v>3013.0937098844674</v>
      </c>
      <c r="AJ62" s="26">
        <f t="shared" si="35"/>
        <v>72.978179885750137</v>
      </c>
      <c r="AK62" s="20">
        <f t="shared" si="36"/>
        <v>29.780216090367404</v>
      </c>
      <c r="AL62" s="37">
        <f t="shared" si="21"/>
        <v>2008.7291399229782</v>
      </c>
      <c r="AO62" s="26">
        <f t="shared" si="37"/>
        <v>109.46726982862519</v>
      </c>
      <c r="AP62" s="20">
        <f t="shared" si="38"/>
        <v>84.904240973739945</v>
      </c>
      <c r="AQ62" s="37">
        <f t="shared" si="22"/>
        <v>1339.1527599486521</v>
      </c>
      <c r="AT62" s="26">
        <f t="shared" si="39"/>
        <v>145.95635977150027</v>
      </c>
      <c r="AU62" s="20">
        <f t="shared" si="40"/>
        <v>188.30896606293922</v>
      </c>
      <c r="AV62" s="37"/>
      <c r="AY62" s="26">
        <f t="shared" si="41"/>
        <v>182.44544971437534</v>
      </c>
      <c r="AZ62" s="20">
        <f t="shared" si="42"/>
        <v>356.08795809324062</v>
      </c>
      <c r="BA62" s="37"/>
    </row>
    <row r="63" spans="8:53" x14ac:dyDescent="0.2">
      <c r="H63" s="4">
        <v>6500</v>
      </c>
      <c r="I63" s="6">
        <v>92.6</v>
      </c>
      <c r="K63" s="15">
        <f t="shared" si="30"/>
        <v>14.691225516174955</v>
      </c>
      <c r="L63" s="12">
        <f t="shared" si="32"/>
        <v>29.382451032349909</v>
      </c>
      <c r="M63" s="12">
        <f t="shared" si="43"/>
        <v>44.073676548524858</v>
      </c>
      <c r="N63" s="12">
        <f t="shared" si="44"/>
        <v>58.764902064699818</v>
      </c>
      <c r="O63" s="12">
        <f t="shared" si="27"/>
        <v>73.456127580874764</v>
      </c>
      <c r="P63" s="12">
        <f t="shared" si="28"/>
        <v>88.147353097049717</v>
      </c>
      <c r="Q63" s="12">
        <f t="shared" si="29"/>
        <v>102.83857861322468</v>
      </c>
      <c r="R63" s="6">
        <f t="shared" si="31"/>
        <v>117.52980412939964</v>
      </c>
      <c r="S63" s="8"/>
      <c r="T63" s="4">
        <v>183</v>
      </c>
      <c r="U63" s="21">
        <f t="shared" si="1"/>
        <v>855.65869094977143</v>
      </c>
      <c r="V63" s="21">
        <f t="shared" si="8"/>
        <v>2942.2686796959833</v>
      </c>
      <c r="W63" s="21">
        <f t="shared" si="2"/>
        <v>3872.7108853618538</v>
      </c>
      <c r="X63" s="21">
        <f t="shared" si="3"/>
        <v>4794.7709877778252</v>
      </c>
      <c r="Y63" s="21">
        <f t="shared" si="4"/>
        <v>5701.4315528093994</v>
      </c>
      <c r="Z63" s="21">
        <f t="shared" si="5"/>
        <v>6585.7923461000692</v>
      </c>
      <c r="AA63" s="45">
        <f t="shared" si="6"/>
        <v>7441.1228480212458</v>
      </c>
      <c r="AB63" s="37">
        <f t="shared" si="7"/>
        <v>8260.9134769906304</v>
      </c>
      <c r="AC63" s="8"/>
      <c r="AE63" s="26">
        <f t="shared" si="33"/>
        <v>49.412309297643318</v>
      </c>
      <c r="AF63" s="20">
        <f t="shared" si="34"/>
        <v>12.10627527400262</v>
      </c>
      <c r="AG63" s="37">
        <f t="shared" si="20"/>
        <v>2852.8883183568682</v>
      </c>
      <c r="AJ63" s="26">
        <f t="shared" si="35"/>
        <v>74.118463946464985</v>
      </c>
      <c r="AK63" s="20">
        <f t="shared" si="36"/>
        <v>30.456020162258842</v>
      </c>
      <c r="AL63" s="37">
        <f t="shared" si="21"/>
        <v>1901.925545571245</v>
      </c>
      <c r="AO63" s="26">
        <f t="shared" si="37"/>
        <v>111.17769591969747</v>
      </c>
      <c r="AP63" s="20">
        <f t="shared" si="38"/>
        <v>87.185079716373622</v>
      </c>
      <c r="AQ63" s="37">
        <f t="shared" si="22"/>
        <v>1267.9503637141636</v>
      </c>
      <c r="AT63" s="26">
        <f t="shared" si="39"/>
        <v>148.23692789292997</v>
      </c>
      <c r="AU63" s="20">
        <f t="shared" si="40"/>
        <v>193.71539863807075</v>
      </c>
      <c r="AV63" s="37"/>
      <c r="AY63" s="26">
        <f t="shared" si="41"/>
        <v>185.29615986616244</v>
      </c>
      <c r="AZ63" s="20">
        <f t="shared" si="42"/>
        <v>366.64739671654451</v>
      </c>
      <c r="BA63" s="37"/>
    </row>
    <row r="64" spans="8:53" x14ac:dyDescent="0.2">
      <c r="H64" s="4">
        <v>6600</v>
      </c>
      <c r="I64" s="6"/>
      <c r="K64" s="15">
        <f t="shared" si="30"/>
        <v>14.468631190172303</v>
      </c>
      <c r="L64" s="12">
        <f t="shared" si="32"/>
        <v>28.937262380344606</v>
      </c>
      <c r="M64" s="12">
        <f t="shared" si="43"/>
        <v>43.405893570516909</v>
      </c>
      <c r="N64" s="12">
        <f t="shared" si="44"/>
        <v>57.874524760689212</v>
      </c>
      <c r="O64" s="12">
        <f t="shared" si="27"/>
        <v>72.343155950861515</v>
      </c>
      <c r="P64" s="12">
        <f t="shared" si="28"/>
        <v>86.811787141033818</v>
      </c>
      <c r="Q64" s="12">
        <f t="shared" si="29"/>
        <v>101.28041833120612</v>
      </c>
      <c r="R64" s="6">
        <f t="shared" si="31"/>
        <v>115.74904952137842</v>
      </c>
      <c r="S64" s="8"/>
      <c r="T64" s="4">
        <v>186</v>
      </c>
      <c r="U64" s="21">
        <f t="shared" si="1"/>
        <v>841.85774432154926</v>
      </c>
      <c r="V64" s="21">
        <f t="shared" si="8"/>
        <v>3033.8770447813376</v>
      </c>
      <c r="W64" s="21">
        <f t="shared" si="2"/>
        <v>3964.3192504472081</v>
      </c>
      <c r="X64" s="21">
        <f t="shared" si="3"/>
        <v>4886.3793528631795</v>
      </c>
      <c r="Y64" s="21">
        <f t="shared" si="4"/>
        <v>5793.0399178947537</v>
      </c>
      <c r="Z64" s="21">
        <f t="shared" si="5"/>
        <v>6677.4007111854235</v>
      </c>
      <c r="AA64" s="45">
        <f t="shared" si="6"/>
        <v>7532.7312131066001</v>
      </c>
      <c r="AB64" s="37">
        <f t="shared" si="7"/>
        <v>8352.5218420759848</v>
      </c>
      <c r="AC64" s="8"/>
      <c r="AE64" s="26">
        <f t="shared" si="33"/>
        <v>50.172498671453219</v>
      </c>
      <c r="AF64" s="20">
        <f t="shared" si="34"/>
        <v>12.309617986417853</v>
      </c>
      <c r="AG64" s="37"/>
      <c r="AJ64" s="26">
        <f t="shared" si="35"/>
        <v>75.258748007179818</v>
      </c>
      <c r="AK64" s="20">
        <f t="shared" si="36"/>
        <v>31.142301816660247</v>
      </c>
      <c r="AL64" s="37"/>
      <c r="AO64" s="26">
        <f t="shared" si="37"/>
        <v>112.88812201076973</v>
      </c>
      <c r="AP64" s="20">
        <f t="shared" si="38"/>
        <v>89.501280299978319</v>
      </c>
      <c r="AQ64" s="37"/>
      <c r="AT64" s="26">
        <f t="shared" si="39"/>
        <v>150.51749601435964</v>
      </c>
      <c r="AU64" s="20">
        <f t="shared" si="40"/>
        <v>199.20565187328194</v>
      </c>
      <c r="AV64" s="37"/>
      <c r="AY64" s="26">
        <f t="shared" si="41"/>
        <v>188.14687001794957</v>
      </c>
      <c r="AZ64" s="20">
        <f t="shared" si="42"/>
        <v>377.37054756656636</v>
      </c>
      <c r="BA64" s="37"/>
    </row>
    <row r="65" spans="8:53" x14ac:dyDescent="0.2">
      <c r="H65" s="4">
        <v>6700</v>
      </c>
      <c r="I65" s="6"/>
      <c r="K65" s="15">
        <f t="shared" si="30"/>
        <v>14.252681470916</v>
      </c>
      <c r="L65" s="12">
        <f t="shared" si="32"/>
        <v>28.505362941832001</v>
      </c>
      <c r="M65" s="12">
        <f t="shared" si="43"/>
        <v>42.758044412747999</v>
      </c>
      <c r="N65" s="12">
        <f t="shared" si="44"/>
        <v>57.010725883664001</v>
      </c>
      <c r="O65" s="12">
        <f t="shared" si="27"/>
        <v>71.263407354579996</v>
      </c>
      <c r="P65" s="12">
        <f t="shared" si="28"/>
        <v>85.516088825495999</v>
      </c>
      <c r="Q65" s="12">
        <f t="shared" si="29"/>
        <v>99.768770296412001</v>
      </c>
      <c r="R65" s="6">
        <f t="shared" si="31"/>
        <v>114.021451767328</v>
      </c>
      <c r="S65" s="8"/>
      <c r="T65" s="4">
        <v>189</v>
      </c>
      <c r="U65" s="21">
        <f t="shared" si="1"/>
        <v>828.49492298311191</v>
      </c>
      <c r="V65" s="21">
        <f t="shared" si="8"/>
        <v>3126.9749767786507</v>
      </c>
      <c r="W65" s="21">
        <f t="shared" si="2"/>
        <v>4057.4171824445211</v>
      </c>
      <c r="X65" s="21">
        <f t="shared" si="3"/>
        <v>4979.4772848604925</v>
      </c>
      <c r="Y65" s="21">
        <f t="shared" si="4"/>
        <v>5886.1378498920667</v>
      </c>
      <c r="Z65" s="21">
        <f t="shared" si="5"/>
        <v>6770.4986431827365</v>
      </c>
      <c r="AA65" s="45">
        <f t="shared" si="6"/>
        <v>7625.8291451039131</v>
      </c>
      <c r="AB65" s="37">
        <f t="shared" si="7"/>
        <v>8445.6197740732987</v>
      </c>
      <c r="AC65" s="8"/>
      <c r="AE65" s="26">
        <f t="shared" si="33"/>
        <v>50.932688045263113</v>
      </c>
      <c r="AF65" s="20">
        <f t="shared" si="34"/>
        <v>12.516065167724912</v>
      </c>
      <c r="AG65" s="37"/>
      <c r="AJ65" s="26">
        <f t="shared" si="35"/>
        <v>76.39903206789468</v>
      </c>
      <c r="AK65" s="20">
        <f t="shared" si="36"/>
        <v>31.839061053571598</v>
      </c>
      <c r="AL65" s="37"/>
      <c r="AO65" s="26">
        <f t="shared" si="37"/>
        <v>114.59854810184201</v>
      </c>
      <c r="AP65" s="20">
        <f t="shared" si="38"/>
        <v>91.852842724554151</v>
      </c>
      <c r="AQ65" s="37"/>
      <c r="AT65" s="26">
        <f t="shared" si="39"/>
        <v>152.79806413578936</v>
      </c>
      <c r="AU65" s="20">
        <f t="shared" si="40"/>
        <v>204.77972576857283</v>
      </c>
      <c r="AV65" s="37"/>
      <c r="AY65" s="26">
        <f t="shared" si="41"/>
        <v>190.99758016973669</v>
      </c>
      <c r="AZ65" s="20">
        <f t="shared" si="42"/>
        <v>388.25741064330623</v>
      </c>
      <c r="BA65" s="37"/>
    </row>
    <row r="66" spans="8:53" x14ac:dyDescent="0.2">
      <c r="H66" s="4">
        <v>6800</v>
      </c>
      <c r="I66" s="6"/>
      <c r="K66" s="15">
        <f t="shared" si="30"/>
        <v>14.043083213990768</v>
      </c>
      <c r="L66" s="12">
        <f t="shared" si="32"/>
        <v>28.086166427981535</v>
      </c>
      <c r="M66" s="12">
        <f t="shared" si="43"/>
        <v>42.129249641972301</v>
      </c>
      <c r="N66" s="12">
        <f t="shared" si="44"/>
        <v>56.17233285596307</v>
      </c>
      <c r="O66" s="12">
        <f t="shared" si="27"/>
        <v>70.215416069953832</v>
      </c>
      <c r="P66" s="12">
        <f t="shared" si="28"/>
        <v>84.258499283944602</v>
      </c>
      <c r="Q66" s="12">
        <f t="shared" si="29"/>
        <v>98.301582497935371</v>
      </c>
      <c r="R66" s="6">
        <f t="shared" si="31"/>
        <v>112.34466571192614</v>
      </c>
      <c r="S66" s="8"/>
      <c r="T66" s="4">
        <v>192</v>
      </c>
      <c r="U66" s="21">
        <f t="shared" si="1"/>
        <v>815.5496898115008</v>
      </c>
      <c r="V66" s="21">
        <f t="shared" si="8"/>
        <v>3221.5624756879197</v>
      </c>
      <c r="W66" s="21">
        <f t="shared" si="2"/>
        <v>4152.0046813537901</v>
      </c>
      <c r="X66" s="21">
        <f t="shared" si="3"/>
        <v>5074.0647837697616</v>
      </c>
      <c r="Y66" s="21">
        <f t="shared" si="4"/>
        <v>5980.7253488013357</v>
      </c>
      <c r="Z66" s="21">
        <f t="shared" si="5"/>
        <v>6865.0861420920055</v>
      </c>
      <c r="AA66" s="45">
        <f t="shared" si="6"/>
        <v>7720.4166440131821</v>
      </c>
      <c r="AB66" s="37">
        <f t="shared" si="7"/>
        <v>8540.2072729825668</v>
      </c>
      <c r="AC66" s="8"/>
      <c r="AE66" s="26">
        <f t="shared" si="33"/>
        <v>51.692877419073014</v>
      </c>
      <c r="AF66" s="20">
        <f t="shared" si="34"/>
        <v>12.725616817923814</v>
      </c>
      <c r="AG66" s="37"/>
      <c r="AJ66" s="26">
        <f t="shared" si="35"/>
        <v>77.539316128609514</v>
      </c>
      <c r="AK66" s="20">
        <f t="shared" si="36"/>
        <v>32.546297872992874</v>
      </c>
      <c r="AL66" s="37"/>
      <c r="AO66" s="26">
        <f t="shared" si="37"/>
        <v>116.30897419291428</v>
      </c>
      <c r="AP66" s="20">
        <f t="shared" si="38"/>
        <v>94.239766990100975</v>
      </c>
      <c r="AQ66" s="37"/>
      <c r="AT66" s="26">
        <f t="shared" si="39"/>
        <v>155.07863225721903</v>
      </c>
      <c r="AU66" s="20">
        <f t="shared" si="40"/>
        <v>210.43762032394298</v>
      </c>
      <c r="AV66" s="37"/>
      <c r="AY66" s="26">
        <f t="shared" si="41"/>
        <v>193.84829032152379</v>
      </c>
      <c r="AZ66" s="20">
        <f t="shared" si="42"/>
        <v>399.30798594676372</v>
      </c>
      <c r="BA66" s="37"/>
    </row>
    <row r="67" spans="8:53" x14ac:dyDescent="0.2">
      <c r="H67" s="4">
        <v>6900</v>
      </c>
      <c r="I67" s="6"/>
      <c r="K67" s="15">
        <f t="shared" si="30"/>
        <v>13.839560268860465</v>
      </c>
      <c r="L67" s="12">
        <f t="shared" si="32"/>
        <v>27.67912053772093</v>
      </c>
      <c r="M67" s="12">
        <f t="shared" si="43"/>
        <v>41.518680806581401</v>
      </c>
      <c r="N67" s="12">
        <f t="shared" si="44"/>
        <v>55.35824107544186</v>
      </c>
      <c r="O67" s="12">
        <f t="shared" si="27"/>
        <v>69.197801344302334</v>
      </c>
      <c r="P67" s="12">
        <f t="shared" si="28"/>
        <v>83.037361613162801</v>
      </c>
      <c r="Q67" s="12">
        <f t="shared" si="29"/>
        <v>96.876921882023254</v>
      </c>
      <c r="R67" s="6">
        <f t="shared" si="31"/>
        <v>110.71648215088372</v>
      </c>
      <c r="S67" s="8"/>
      <c r="T67" s="4">
        <v>195</v>
      </c>
      <c r="U67" s="21">
        <f t="shared" ref="U67:U68" si="45">70000/(T67*0.44704)</f>
        <v>803.00277150670854</v>
      </c>
      <c r="V67" s="21">
        <f t="shared" si="8"/>
        <v>3317.6395415091451</v>
      </c>
      <c r="W67" s="21">
        <f t="shared" ref="W67:W68" si="46">0.5*1.2*($T67*0.44704)^2*$C$3*$C$5+$C$4*9.81*($C$2*COS(5*PI()/180)+SIN(5*PI()/180))</f>
        <v>4248.0817471750161</v>
      </c>
      <c r="X67" s="21">
        <f t="shared" ref="X67:X68" si="47">0.5*1.2*($T67*0.44704)^2*$C$3*$C$5+$C$4*9.81*($C$2*COS(10*PI()/180)+SIN(10*PI()/180))</f>
        <v>5170.1418495909875</v>
      </c>
      <c r="Y67" s="21">
        <f t="shared" ref="Y67:Y68" si="48">0.5*1.2*($T67*0.44704)^2*$C$3*$C$5+$C$4*9.81*($C$2*COS(15*PI()/180)+SIN(15*PI()/180))</f>
        <v>6076.8024146225616</v>
      </c>
      <c r="Z67" s="21">
        <f t="shared" ref="Z67:Z68" si="49">0.5*1.2*($T67*0.44704)^2*$C$3*$C$5+$C$4*9.81*($C$2*COS(20*PI()/180)+SIN(20*PI()/180))</f>
        <v>6961.1632079132305</v>
      </c>
      <c r="AA67" s="45">
        <f t="shared" ref="AA67:AA68" si="50">0.5*1.2*($T67*0.44704)^2*$C$3*$C$5+$C$4*9.81*($C$2*COS(25*PI()/180)+SIN(25*PI()/180))</f>
        <v>7816.4937098344071</v>
      </c>
      <c r="AB67" s="37">
        <f t="shared" ref="AB67:AB68" si="51">0.5*1.2*($T67*0.44704)^2*$C$3*$C$5+$C$4*9.81*($C$2*COS(30*PI()/180)+SIN(30*PI()/180))</f>
        <v>8636.2843388037927</v>
      </c>
      <c r="AC67" s="8"/>
      <c r="AE67" s="26">
        <f t="shared" si="33"/>
        <v>52.453066792882908</v>
      </c>
      <c r="AF67" s="20">
        <f t="shared" si="34"/>
        <v>12.938272937014551</v>
      </c>
      <c r="AG67" s="37"/>
      <c r="AJ67" s="26">
        <f t="shared" si="35"/>
        <v>78.679600189324361</v>
      </c>
      <c r="AK67" s="20">
        <f t="shared" si="36"/>
        <v>33.264012274924113</v>
      </c>
      <c r="AL67" s="37"/>
      <c r="AO67" s="26">
        <f t="shared" si="37"/>
        <v>118.01940028398654</v>
      </c>
      <c r="AP67" s="20">
        <f t="shared" si="38"/>
        <v>96.662053096618891</v>
      </c>
      <c r="AQ67" s="37"/>
      <c r="AT67" s="26">
        <f t="shared" si="39"/>
        <v>157.35920037864872</v>
      </c>
      <c r="AU67" s="20">
        <f t="shared" si="40"/>
        <v>216.17933553939289</v>
      </c>
      <c r="AV67" s="37"/>
      <c r="AY67" s="26">
        <f t="shared" si="41"/>
        <v>196.69900047331092</v>
      </c>
      <c r="AZ67" s="20">
        <f t="shared" si="42"/>
        <v>410.52227347693935</v>
      </c>
      <c r="BA67" s="37"/>
    </row>
    <row r="68" spans="8:53" ht="17" thickBot="1" x14ac:dyDescent="0.25">
      <c r="H68" s="5">
        <v>7000</v>
      </c>
      <c r="I68" s="7"/>
      <c r="K68" s="17">
        <f t="shared" si="30"/>
        <v>13.641852265019601</v>
      </c>
      <c r="L68" s="16">
        <f t="shared" si="32"/>
        <v>27.283704530039202</v>
      </c>
      <c r="M68" s="16">
        <f t="shared" si="43"/>
        <v>40.925556795058803</v>
      </c>
      <c r="N68" s="16">
        <f t="shared" si="44"/>
        <v>54.567409060078404</v>
      </c>
      <c r="O68" s="16">
        <f t="shared" si="27"/>
        <v>68.209261325098012</v>
      </c>
      <c r="P68" s="16">
        <f t="shared" si="28"/>
        <v>81.851113590117606</v>
      </c>
      <c r="Q68" s="16">
        <f t="shared" si="29"/>
        <v>95.492965855137214</v>
      </c>
      <c r="R68" s="7">
        <f t="shared" si="31"/>
        <v>109.13481812015681</v>
      </c>
      <c r="S68" s="8"/>
      <c r="T68" s="5">
        <v>198</v>
      </c>
      <c r="U68" s="44">
        <f t="shared" si="45"/>
        <v>790.83606284751602</v>
      </c>
      <c r="V68" s="44">
        <f t="shared" ref="V68" si="52">0.5*1.2*($T68*0.44704)^2*$C$3*$C$5+$C$4*9.81*($C$2*COS(0*PI()/180)+SIN(0*PI()/180))</f>
        <v>3415.2061742423284</v>
      </c>
      <c r="W68" s="44">
        <f t="shared" si="46"/>
        <v>4345.6483799081989</v>
      </c>
      <c r="X68" s="44">
        <f t="shared" si="47"/>
        <v>5267.7084823241703</v>
      </c>
      <c r="Y68" s="44">
        <f t="shared" si="48"/>
        <v>6174.3690473557444</v>
      </c>
      <c r="Z68" s="44">
        <f t="shared" si="49"/>
        <v>7058.7298406464142</v>
      </c>
      <c r="AA68" s="46">
        <f t="shared" si="50"/>
        <v>7914.0603425675909</v>
      </c>
      <c r="AB68" s="39">
        <f t="shared" si="51"/>
        <v>8733.8509715369764</v>
      </c>
      <c r="AC68" s="8"/>
      <c r="AE68" s="28">
        <f t="shared" si="33"/>
        <v>53.213256166692808</v>
      </c>
      <c r="AF68" s="38">
        <f t="shared" si="34"/>
        <v>13.154033524997125</v>
      </c>
      <c r="AG68" s="39"/>
      <c r="AJ68" s="28">
        <f t="shared" si="35"/>
        <v>79.819884250039209</v>
      </c>
      <c r="AK68" s="38">
        <f t="shared" si="36"/>
        <v>33.992204259365302</v>
      </c>
      <c r="AL68" s="39"/>
      <c r="AO68" s="28">
        <f t="shared" si="37"/>
        <v>119.72982637505882</v>
      </c>
      <c r="AP68" s="38">
        <f t="shared" si="38"/>
        <v>99.119701044107899</v>
      </c>
      <c r="AQ68" s="39"/>
      <c r="AT68" s="28">
        <f t="shared" si="39"/>
        <v>159.63976850007842</v>
      </c>
      <c r="AU68" s="38">
        <f t="shared" si="40"/>
        <v>222.00487141492238</v>
      </c>
      <c r="AV68" s="39"/>
      <c r="AY68" s="28">
        <f t="shared" si="41"/>
        <v>199.54971062509804</v>
      </c>
      <c r="AZ68" s="38">
        <f t="shared" si="42"/>
        <v>421.90027323383288</v>
      </c>
      <c r="BA68" s="3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EC8F-A1B2-BA47-8C75-266BA33AA637}">
  <dimension ref="A1:T35"/>
  <sheetViews>
    <sheetView zoomScale="75" workbookViewId="0">
      <selection activeCell="K16" sqref="K16"/>
    </sheetView>
  </sheetViews>
  <sheetFormatPr baseColWidth="10" defaultColWidth="11" defaultRowHeight="16" x14ac:dyDescent="0.2"/>
  <cols>
    <col min="1" max="1" width="18.5" customWidth="1"/>
    <col min="2" max="2" width="10.83203125" style="1"/>
    <col min="3" max="3" width="10.83203125" customWidth="1"/>
    <col min="4" max="4" width="20.1640625" customWidth="1"/>
    <col min="5" max="5" width="10.83203125" style="1"/>
    <col min="7" max="8" width="10.83203125" style="1"/>
    <col min="10" max="10" width="18.6640625" customWidth="1"/>
    <col min="11" max="11" width="18.33203125" customWidth="1"/>
    <col min="12" max="12" width="18.83203125" customWidth="1"/>
    <col min="16" max="16" width="15" customWidth="1"/>
    <col min="19" max="19" width="17" customWidth="1"/>
    <col min="20" max="20" width="17.1640625" customWidth="1"/>
    <col min="24" max="24" width="14.5" customWidth="1"/>
  </cols>
  <sheetData>
    <row r="1" spans="1:9" x14ac:dyDescent="0.2">
      <c r="A1" s="31" t="s">
        <v>26</v>
      </c>
      <c r="B1" s="32">
        <v>1.6E-2</v>
      </c>
      <c r="D1" s="31" t="s">
        <v>34</v>
      </c>
      <c r="E1" s="49">
        <f>0.5*1.2*(B7*0.44704)^2*B2*B4</f>
        <v>1128.9460727208975</v>
      </c>
      <c r="G1" s="2" t="s">
        <v>35</v>
      </c>
      <c r="H1" s="3" t="s">
        <v>36</v>
      </c>
    </row>
    <row r="2" spans="1:9" x14ac:dyDescent="0.2">
      <c r="A2" s="33" t="s">
        <v>27</v>
      </c>
      <c r="B2" s="25">
        <v>0.32100000000000001</v>
      </c>
      <c r="D2" s="33" t="s">
        <v>37</v>
      </c>
      <c r="E2" s="27">
        <f>B3*9.81*B1*COS(B8*PI()/180)</f>
        <v>170.92944</v>
      </c>
      <c r="G2" s="4">
        <v>1</v>
      </c>
      <c r="H2" s="25">
        <v>9</v>
      </c>
      <c r="I2" t="s">
        <v>38</v>
      </c>
    </row>
    <row r="3" spans="1:9" x14ac:dyDescent="0.2">
      <c r="A3" s="33" t="s">
        <v>28</v>
      </c>
      <c r="B3" s="25">
        <v>1089</v>
      </c>
      <c r="D3" s="33" t="s">
        <v>39</v>
      </c>
      <c r="E3" s="27">
        <f>B3*9.81*SIN(B8*PI()/180)</f>
        <v>0</v>
      </c>
      <c r="G3" s="4">
        <v>2</v>
      </c>
      <c r="H3" s="25">
        <v>6</v>
      </c>
    </row>
    <row r="4" spans="1:9" ht="19" x14ac:dyDescent="0.2">
      <c r="A4" s="33" t="s">
        <v>29</v>
      </c>
      <c r="B4" s="25">
        <v>2.15</v>
      </c>
      <c r="D4" s="33" t="s">
        <v>40</v>
      </c>
      <c r="E4" s="27">
        <f>SUM(E1:E3)</f>
        <v>1299.8755127208974</v>
      </c>
      <c r="G4" s="4">
        <v>3</v>
      </c>
      <c r="H4" s="25">
        <v>4</v>
      </c>
    </row>
    <row r="5" spans="1:9" ht="17" thickBot="1" x14ac:dyDescent="0.25">
      <c r="A5" s="35" t="s">
        <v>30</v>
      </c>
      <c r="B5" s="47">
        <f>0.3075*0.95</f>
        <v>0.29212499999999997</v>
      </c>
      <c r="D5" s="35" t="s">
        <v>41</v>
      </c>
      <c r="E5" s="29">
        <f>E4*B7*0.00044704</f>
        <v>67.87205358734839</v>
      </c>
      <c r="G5" s="4">
        <v>4</v>
      </c>
      <c r="H5" s="25">
        <v>3</v>
      </c>
    </row>
    <row r="6" spans="1:9" ht="17" thickBot="1" x14ac:dyDescent="0.25">
      <c r="D6" s="18"/>
      <c r="G6" s="5">
        <v>5</v>
      </c>
      <c r="H6" s="36">
        <v>2.4</v>
      </c>
      <c r="I6" t="s">
        <v>42</v>
      </c>
    </row>
    <row r="7" spans="1:9" x14ac:dyDescent="0.2">
      <c r="A7" s="31" t="s">
        <v>10</v>
      </c>
      <c r="B7" s="32">
        <v>116.8</v>
      </c>
      <c r="D7" s="31" t="s">
        <v>43</v>
      </c>
      <c r="E7" s="49">
        <f>E4*B5</f>
        <v>379.72613415359211</v>
      </c>
    </row>
    <row r="8" spans="1:9" ht="17" thickBot="1" x14ac:dyDescent="0.25">
      <c r="A8" s="35" t="s">
        <v>31</v>
      </c>
      <c r="B8" s="36">
        <v>0</v>
      </c>
      <c r="D8" s="35" t="s">
        <v>44</v>
      </c>
      <c r="E8" s="39">
        <f>B7*0.44704/B5*30/PI()</f>
        <v>1706.8363519886509</v>
      </c>
    </row>
    <row r="9" spans="1:9" ht="17" thickBot="1" x14ac:dyDescent="0.25"/>
    <row r="10" spans="1:9" ht="17" thickBot="1" x14ac:dyDescent="0.25">
      <c r="A10" s="31" t="s">
        <v>20</v>
      </c>
      <c r="B10" s="48">
        <v>158.41</v>
      </c>
      <c r="D10" s="50" t="s">
        <v>45</v>
      </c>
      <c r="E10" s="49">
        <f>E7/B10</f>
        <v>2.3971096152616131</v>
      </c>
    </row>
    <row r="11" spans="1:9" ht="17" thickBot="1" x14ac:dyDescent="0.25">
      <c r="A11" s="35" t="s">
        <v>46</v>
      </c>
      <c r="B11" s="39">
        <v>3500</v>
      </c>
      <c r="E11" s="51">
        <f>1/(E8/B11)</f>
        <v>2.0505773713584889</v>
      </c>
    </row>
    <row r="16" spans="1:9" x14ac:dyDescent="0.2">
      <c r="A16" s="18" t="s">
        <v>47</v>
      </c>
    </row>
    <row r="17" spans="1:20" x14ac:dyDescent="0.2">
      <c r="A17" t="s">
        <v>48</v>
      </c>
      <c r="B17" s="1">
        <f>1.609344*B7</f>
        <v>187.9713792</v>
      </c>
    </row>
    <row r="18" spans="1:20" x14ac:dyDescent="0.2">
      <c r="A18" t="s">
        <v>49</v>
      </c>
      <c r="B18" s="1">
        <f>(B17*1000)/3600</f>
        <v>52.214272000000001</v>
      </c>
    </row>
    <row r="19" spans="1:20" x14ac:dyDescent="0.2">
      <c r="A19" t="s">
        <v>50</v>
      </c>
      <c r="B19" s="1">
        <f>(60*B18)/(2*B5*PI())</f>
        <v>1706.8363519886511</v>
      </c>
    </row>
    <row r="21" spans="1:20" x14ac:dyDescent="0.2">
      <c r="I21" s="108" t="s">
        <v>156</v>
      </c>
      <c r="J21" s="108"/>
      <c r="K21" s="108"/>
      <c r="L21" s="108"/>
      <c r="M21" s="108"/>
      <c r="N21" s="108"/>
      <c r="O21" s="108"/>
    </row>
    <row r="22" spans="1:20" x14ac:dyDescent="0.2">
      <c r="B22" s="1" t="s">
        <v>52</v>
      </c>
      <c r="I22" s="108"/>
      <c r="J22" s="108"/>
      <c r="K22" s="108"/>
      <c r="L22" s="108"/>
      <c r="M22" s="108"/>
      <c r="N22" s="108"/>
      <c r="O22" s="108"/>
    </row>
    <row r="23" spans="1:20" x14ac:dyDescent="0.2">
      <c r="D23" s="75"/>
      <c r="E23" s="75"/>
      <c r="G23" s="75"/>
      <c r="H23" s="75"/>
      <c r="J23" s="75"/>
      <c r="K23" s="75"/>
      <c r="M23" s="76"/>
      <c r="N23" s="76"/>
      <c r="P23" s="75"/>
      <c r="Q23" s="75"/>
      <c r="S23" s="75"/>
      <c r="T23" s="75"/>
    </row>
    <row r="24" spans="1:20" x14ac:dyDescent="0.2">
      <c r="D24" s="75"/>
      <c r="E24"/>
      <c r="G24" s="75"/>
      <c r="H24"/>
      <c r="J24" s="75"/>
      <c r="M24" s="76"/>
      <c r="N24" s="73"/>
      <c r="P24" s="75"/>
      <c r="S24" s="75"/>
    </row>
    <row r="25" spans="1:20" x14ac:dyDescent="0.2">
      <c r="D25" s="75"/>
      <c r="E25"/>
      <c r="G25" s="75"/>
      <c r="H25"/>
      <c r="J25" s="75"/>
      <c r="M25" s="76"/>
      <c r="N25" s="73"/>
      <c r="P25" s="75"/>
      <c r="S25" s="75"/>
    </row>
    <row r="26" spans="1:20" x14ac:dyDescent="0.2">
      <c r="D26" s="75"/>
      <c r="E26"/>
      <c r="G26" s="75"/>
      <c r="H26"/>
      <c r="J26" s="75"/>
      <c r="M26" s="76"/>
      <c r="N26" s="73"/>
      <c r="P26" s="75"/>
      <c r="S26" s="75"/>
    </row>
    <row r="27" spans="1:20" x14ac:dyDescent="0.2">
      <c r="D27" s="75"/>
      <c r="E27"/>
      <c r="G27" s="75"/>
      <c r="H27"/>
      <c r="J27" s="75"/>
      <c r="M27" s="76"/>
      <c r="N27" s="73"/>
      <c r="P27" s="75"/>
      <c r="S27" s="75"/>
    </row>
    <row r="28" spans="1:20" x14ac:dyDescent="0.2">
      <c r="D28" s="75"/>
      <c r="E28"/>
      <c r="G28" s="75"/>
      <c r="H28"/>
      <c r="J28" s="75"/>
      <c r="M28" s="76"/>
      <c r="N28" s="73"/>
      <c r="P28" s="75"/>
      <c r="S28" s="75"/>
    </row>
    <row r="29" spans="1:20" x14ac:dyDescent="0.2">
      <c r="D29" s="75"/>
      <c r="E29"/>
      <c r="G29" s="75"/>
      <c r="H29"/>
      <c r="J29" s="75"/>
      <c r="M29" s="76"/>
      <c r="N29" s="73"/>
      <c r="P29" s="75"/>
      <c r="S29" s="75"/>
    </row>
    <row r="30" spans="1:20" x14ac:dyDescent="0.2">
      <c r="D30" s="75"/>
      <c r="E30"/>
      <c r="G30" s="75"/>
      <c r="H30"/>
      <c r="J30" s="75"/>
      <c r="M30" s="76"/>
      <c r="N30" s="73"/>
      <c r="P30" s="75"/>
      <c r="S30" s="75"/>
    </row>
    <row r="31" spans="1:20" x14ac:dyDescent="0.2">
      <c r="D31" s="75"/>
      <c r="E31"/>
      <c r="G31" s="75"/>
      <c r="H31"/>
      <c r="J31" s="75"/>
      <c r="M31" s="76"/>
      <c r="N31" s="73"/>
      <c r="P31" s="75"/>
      <c r="S31" s="75"/>
    </row>
    <row r="32" spans="1:20" x14ac:dyDescent="0.2">
      <c r="D32" s="75"/>
      <c r="E32"/>
      <c r="G32" s="75"/>
      <c r="H32"/>
      <c r="J32" s="75"/>
      <c r="M32" s="76"/>
      <c r="N32" s="73"/>
      <c r="P32" s="75"/>
      <c r="S32" s="75"/>
    </row>
    <row r="33" spans="4:19" x14ac:dyDescent="0.2">
      <c r="D33" s="75"/>
      <c r="E33"/>
      <c r="G33" s="75"/>
      <c r="H33"/>
      <c r="J33" s="75"/>
      <c r="M33" s="76"/>
      <c r="N33" s="73"/>
      <c r="P33" s="75"/>
      <c r="S33" s="75"/>
    </row>
    <row r="34" spans="4:19" x14ac:dyDescent="0.2">
      <c r="D34" s="75"/>
      <c r="E34"/>
      <c r="G34" s="75"/>
      <c r="H34"/>
      <c r="J34" s="75"/>
      <c r="M34" s="76"/>
      <c r="N34" s="73"/>
      <c r="P34" s="75"/>
      <c r="S34" s="75"/>
    </row>
    <row r="35" spans="4:19" x14ac:dyDescent="0.2">
      <c r="D35" s="75"/>
      <c r="E35"/>
      <c r="G35" s="75"/>
      <c r="H35"/>
      <c r="J35" s="75"/>
      <c r="M35" s="76"/>
      <c r="N35" s="73"/>
      <c r="P35" s="75"/>
      <c r="S35" s="75"/>
    </row>
  </sheetData>
  <mergeCells count="1">
    <mergeCell ref="I21:O22"/>
  </mergeCells>
  <conditionalFormatting sqref="D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{7ECF2B5D-D430-E246-9AC9-72E9EEB204D0}</x14:id>
        </ext>
      </extLst>
    </cfRule>
  </conditionalFormatting>
  <conditionalFormatting sqref="D23:E32 D33:D35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{A9BFA1D0-3C09-CD46-A922-FCA954F52F86}</x14:id>
        </ext>
      </extLst>
    </cfRule>
  </conditionalFormatting>
  <conditionalFormatting sqref="D23:T34 D21:I21 D22:H22 P21:T2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{1CB01304-9512-7C42-B943-B8650312FDDD}</x14:id>
        </ext>
      </extLst>
    </cfRule>
  </conditionalFormatting>
  <conditionalFormatting sqref="E25:E35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{F29B3E20-710F-814F-BCC3-AB67591B0FA6}</x14:id>
        </ext>
      </extLst>
    </cfRule>
  </conditionalFormatting>
  <conditionalFormatting sqref="G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{C4E677D4-A1A9-BD44-B5B8-668CF85C4489}</x14:id>
        </ext>
      </extLst>
    </cfRule>
  </conditionalFormatting>
  <conditionalFormatting sqref="G23:H32 G33:G35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{5E5F5FB6-2AA5-0640-A5DA-FC2C7791F1FE}</x14:id>
        </ext>
      </extLst>
    </cfRule>
  </conditionalFormatting>
  <conditionalFormatting sqref="H25:H35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{3FD0617F-DA44-2E4D-893B-63D4C276ED23}</x14:id>
        </ext>
      </extLst>
    </cfRule>
  </conditionalFormatting>
  <conditionalFormatting sqref="J23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{ADFF8879-6776-6940-8AE9-D0032BE2C3D8}</x14:id>
        </ext>
      </extLst>
    </cfRule>
  </conditionalFormatting>
  <conditionalFormatting sqref="J23:K32 J33:J35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{2AB93A2D-F456-A541-B410-48B20A4D66F2}</x14:id>
        </ext>
      </extLst>
    </cfRule>
  </conditionalFormatting>
  <conditionalFormatting sqref="K25:K35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{B1CCF565-E90E-BF40-BEB7-4C2E53C032D0}</x14:id>
        </ext>
      </extLst>
    </cfRule>
  </conditionalFormatting>
  <conditionalFormatting sqref="N25:N3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{E980A531-C848-C346-A379-01315A575586}</x14:id>
        </ext>
      </extLst>
    </cfRule>
  </conditionalFormatting>
  <conditionalFormatting sqref="P2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{E768BBE1-EF02-584B-911C-2466F2281A8B}</x14:id>
        </ext>
      </extLst>
    </cfRule>
  </conditionalFormatting>
  <conditionalFormatting sqref="P23:Q32 P33:P35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{6894CA46-CB1D-8C43-B855-D5282338ADFF}</x14:id>
        </ext>
      </extLst>
    </cfRule>
  </conditionalFormatting>
  <conditionalFormatting sqref="Q25:Q35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{E60D68A1-D6EA-3447-AE41-9EDE7FA6CB33}</x14:id>
        </ext>
      </extLst>
    </cfRule>
  </conditionalFormatting>
  <conditionalFormatting sqref="S2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{E3DBA86B-212E-8C42-8FDE-8EB808A54658}</x14:id>
        </ext>
      </extLst>
    </cfRule>
  </conditionalFormatting>
  <conditionalFormatting sqref="S23:T32 S33:S3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{CA61927A-82D7-CB44-A5DB-2FCD3CC180F9}</x14:id>
        </ext>
      </extLst>
    </cfRule>
  </conditionalFormatting>
  <conditionalFormatting sqref="T25:T3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{B9D6ABE6-4402-974D-8710-29755A626A9F}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CF2B5D-D430-E246-9AC9-72E9EEB20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D23</xm:sqref>
        </x14:conditionalFormatting>
        <x14:conditionalFormatting xmlns:xm="http://schemas.microsoft.com/office/excel/2006/main">
          <x14:cfRule type="dataBar" id="{A9BFA1D0-3C09-CD46-A922-FCA954F52F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D23:E32 D33:D35</xm:sqref>
        </x14:conditionalFormatting>
        <x14:conditionalFormatting xmlns:xm="http://schemas.microsoft.com/office/excel/2006/main">
          <x14:cfRule type="dataBar" id="{1CB01304-9512-7C42-B943-B8650312FDD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D23:T34 D21:I21 D22:H22 P21:T22</xm:sqref>
        </x14:conditionalFormatting>
        <x14:conditionalFormatting xmlns:xm="http://schemas.microsoft.com/office/excel/2006/main">
          <x14:cfRule type="dataBar" id="{F29B3E20-710F-814F-BCC3-AB67591B0F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E25:E35</xm:sqref>
        </x14:conditionalFormatting>
        <x14:conditionalFormatting xmlns:xm="http://schemas.microsoft.com/office/excel/2006/main">
          <x14:cfRule type="dataBar" id="{C4E677D4-A1A9-BD44-B5B8-668CF85C44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G23</xm:sqref>
        </x14:conditionalFormatting>
        <x14:conditionalFormatting xmlns:xm="http://schemas.microsoft.com/office/excel/2006/main">
          <x14:cfRule type="dataBar" id="{5E5F5FB6-2AA5-0640-A5DA-FC2C7791F1F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G23:H32 G33:G35</xm:sqref>
        </x14:conditionalFormatting>
        <x14:conditionalFormatting xmlns:xm="http://schemas.microsoft.com/office/excel/2006/main">
          <x14:cfRule type="dataBar" id="{3FD0617F-DA44-2E4D-893B-63D4C276ED2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H25:H35</xm:sqref>
        </x14:conditionalFormatting>
        <x14:conditionalFormatting xmlns:xm="http://schemas.microsoft.com/office/excel/2006/main">
          <x14:cfRule type="dataBar" id="{ADFF8879-6776-6940-8AE9-D0032BE2C3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J23</xm:sqref>
        </x14:conditionalFormatting>
        <x14:conditionalFormatting xmlns:xm="http://schemas.microsoft.com/office/excel/2006/main">
          <x14:cfRule type="dataBar" id="{2AB93A2D-F456-A541-B410-48B20A4D66F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J23:K32 J33:J35</xm:sqref>
        </x14:conditionalFormatting>
        <x14:conditionalFormatting xmlns:xm="http://schemas.microsoft.com/office/excel/2006/main">
          <x14:cfRule type="dataBar" id="{B1CCF565-E90E-BF40-BEB7-4C2E53C032D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K25:K35</xm:sqref>
        </x14:conditionalFormatting>
        <x14:conditionalFormatting xmlns:xm="http://schemas.microsoft.com/office/excel/2006/main">
          <x14:cfRule type="dataBar" id="{E980A531-C848-C346-A379-01315A5755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N25:N35</xm:sqref>
        </x14:conditionalFormatting>
        <x14:conditionalFormatting xmlns:xm="http://schemas.microsoft.com/office/excel/2006/main">
          <x14:cfRule type="dataBar" id="{E768BBE1-EF02-584B-911C-2466F2281A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6894CA46-CB1D-8C43-B855-D5282338ADF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P23:Q32 P33:P35</xm:sqref>
        </x14:conditionalFormatting>
        <x14:conditionalFormatting xmlns:xm="http://schemas.microsoft.com/office/excel/2006/main">
          <x14:cfRule type="dataBar" id="{E60D68A1-D6EA-3447-AE41-9EDE7FA6CB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Q25:Q35</xm:sqref>
        </x14:conditionalFormatting>
        <x14:conditionalFormatting xmlns:xm="http://schemas.microsoft.com/office/excel/2006/main">
          <x14:cfRule type="dataBar" id="{E3DBA86B-212E-8C42-8FDE-8EB808A546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S23</xm:sqref>
        </x14:conditionalFormatting>
        <x14:conditionalFormatting xmlns:xm="http://schemas.microsoft.com/office/excel/2006/main">
          <x14:cfRule type="dataBar" id="{CA61927A-82D7-CB44-A5DB-2FCD3CC180F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S23:T32 S33:S35</xm:sqref>
        </x14:conditionalFormatting>
        <x14:conditionalFormatting xmlns:xm="http://schemas.microsoft.com/office/excel/2006/main">
          <x14:cfRule type="dataBar" id="{B9D6ABE6-4402-974D-8710-29755A626A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T25:T35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3361-4B02-904B-9B43-8893C7171C92}">
  <dimension ref="A1:AG119"/>
  <sheetViews>
    <sheetView topLeftCell="C48" zoomScale="67" zoomScaleNormal="83" workbookViewId="0">
      <selection activeCell="I93" sqref="I93"/>
    </sheetView>
  </sheetViews>
  <sheetFormatPr baseColWidth="10" defaultColWidth="11" defaultRowHeight="16" x14ac:dyDescent="0.2"/>
  <cols>
    <col min="1" max="1" width="52" customWidth="1"/>
    <col min="2" max="2" width="11.1640625" bestFit="1" customWidth="1"/>
    <col min="4" max="4" width="21" customWidth="1"/>
    <col min="5" max="5" width="18.83203125" customWidth="1"/>
    <col min="9" max="9" width="25.5" customWidth="1"/>
    <col min="10" max="10" width="30" customWidth="1"/>
    <col min="11" max="11" width="21.33203125" customWidth="1"/>
    <col min="12" max="12" width="22" customWidth="1"/>
    <col min="13" max="13" width="22.33203125" customWidth="1"/>
    <col min="14" max="14" width="26.83203125" customWidth="1"/>
    <col min="15" max="15" width="22" customWidth="1"/>
    <col min="16" max="16" width="24.6640625" customWidth="1"/>
    <col min="17" max="17" width="26.5" customWidth="1"/>
    <col min="18" max="18" width="12.6640625" customWidth="1"/>
    <col min="19" max="19" width="26.5" customWidth="1"/>
    <col min="20" max="20" width="37.1640625" customWidth="1"/>
    <col min="22" max="22" width="36.33203125" customWidth="1"/>
    <col min="23" max="23" width="20.33203125" customWidth="1"/>
    <col min="25" max="25" width="22.83203125" customWidth="1"/>
    <col min="26" max="26" width="27" customWidth="1"/>
  </cols>
  <sheetData>
    <row r="1" spans="1:26" x14ac:dyDescent="0.2">
      <c r="A1" t="s">
        <v>58</v>
      </c>
    </row>
    <row r="2" spans="1:26" ht="17" thickBot="1" x14ac:dyDescent="0.25">
      <c r="A2" t="s">
        <v>59</v>
      </c>
    </row>
    <row r="3" spans="1:26" ht="17" thickBot="1" x14ac:dyDescent="0.25">
      <c r="O3" s="56"/>
      <c r="P3" s="64"/>
    </row>
    <row r="4" spans="1:26" ht="17" thickBot="1" x14ac:dyDescent="0.25">
      <c r="A4" s="53" t="s">
        <v>60</v>
      </c>
      <c r="B4" s="52">
        <f>'Gear Ratio and forces'!B10</f>
        <v>158.41</v>
      </c>
      <c r="J4" s="56" t="s">
        <v>61</v>
      </c>
      <c r="K4" s="64"/>
      <c r="M4" s="56" t="s">
        <v>62</v>
      </c>
      <c r="N4" s="64"/>
      <c r="P4" s="56" t="s">
        <v>63</v>
      </c>
      <c r="Q4" s="64"/>
      <c r="S4" s="56" t="s">
        <v>64</v>
      </c>
      <c r="T4" s="64"/>
      <c r="V4" s="56" t="s">
        <v>65</v>
      </c>
      <c r="W4" s="64"/>
      <c r="Y4" s="56" t="s">
        <v>51</v>
      </c>
      <c r="Z4" s="64"/>
    </row>
    <row r="5" spans="1:26" ht="17" thickBot="1" x14ac:dyDescent="0.25">
      <c r="A5" t="s">
        <v>66</v>
      </c>
      <c r="B5" s="52">
        <f>'Gear Ratio and forces'!B11</f>
        <v>3500</v>
      </c>
      <c r="J5" s="68" t="s">
        <v>67</v>
      </c>
      <c r="K5" s="61"/>
      <c r="M5" s="68" t="s">
        <v>67</v>
      </c>
      <c r="N5" s="61"/>
      <c r="P5" s="68" t="s">
        <v>67</v>
      </c>
      <c r="Q5" s="61"/>
      <c r="S5" s="68" t="s">
        <v>67</v>
      </c>
      <c r="T5" s="61"/>
      <c r="V5" s="68" t="s">
        <v>67</v>
      </c>
      <c r="W5" s="61"/>
      <c r="Y5" s="68" t="s">
        <v>67</v>
      </c>
      <c r="Z5" s="61"/>
    </row>
    <row r="7" spans="1:26" x14ac:dyDescent="0.2">
      <c r="A7" s="53" t="s">
        <v>69</v>
      </c>
      <c r="B7">
        <v>1.5</v>
      </c>
      <c r="J7" s="59" t="s">
        <v>69</v>
      </c>
      <c r="K7" s="59">
        <v>1.5</v>
      </c>
      <c r="M7" s="59" t="s">
        <v>69</v>
      </c>
      <c r="N7" s="59">
        <v>1.5</v>
      </c>
      <c r="P7" s="59" t="s">
        <v>69</v>
      </c>
      <c r="Q7" s="59">
        <v>1.5</v>
      </c>
      <c r="S7" s="59" t="s">
        <v>69</v>
      </c>
      <c r="T7" s="59">
        <v>1.5</v>
      </c>
      <c r="V7" s="59" t="s">
        <v>69</v>
      </c>
      <c r="W7" s="59">
        <v>1.5</v>
      </c>
      <c r="Y7" s="59" t="s">
        <v>69</v>
      </c>
      <c r="Z7" s="59">
        <v>1.5</v>
      </c>
    </row>
    <row r="9" spans="1:26" x14ac:dyDescent="0.2">
      <c r="A9" t="s">
        <v>70</v>
      </c>
      <c r="B9">
        <v>10000</v>
      </c>
      <c r="C9" t="s">
        <v>71</v>
      </c>
      <c r="D9" t="s">
        <v>72</v>
      </c>
      <c r="J9" s="57" t="s">
        <v>60</v>
      </c>
      <c r="K9" s="60">
        <f>'Performance Map'!AF68</f>
        <v>13.154033524997125</v>
      </c>
      <c r="M9" s="57" t="s">
        <v>60</v>
      </c>
      <c r="N9" s="60">
        <v>30.46</v>
      </c>
      <c r="P9" s="57" t="s">
        <v>60</v>
      </c>
      <c r="Q9" s="60">
        <v>84.19</v>
      </c>
      <c r="S9" s="57" t="s">
        <v>60</v>
      </c>
      <c r="T9" s="60">
        <v>125</v>
      </c>
      <c r="V9" s="57" t="s">
        <v>60</v>
      </c>
      <c r="W9" s="60">
        <v>158.41</v>
      </c>
      <c r="Y9" s="57" t="s">
        <v>60</v>
      </c>
      <c r="Z9" s="60">
        <f>W9*W53</f>
        <v>89.359487179487175</v>
      </c>
    </row>
    <row r="10" spans="1:26" x14ac:dyDescent="0.2">
      <c r="D10" s="53" t="s">
        <v>73</v>
      </c>
      <c r="E10" t="s">
        <v>74</v>
      </c>
      <c r="F10" t="s">
        <v>223</v>
      </c>
      <c r="J10" s="59" t="s">
        <v>66</v>
      </c>
      <c r="K10" s="60">
        <v>3500</v>
      </c>
      <c r="M10" s="59" t="s">
        <v>66</v>
      </c>
      <c r="N10" s="60">
        <v>3500</v>
      </c>
      <c r="P10" s="59" t="s">
        <v>66</v>
      </c>
      <c r="Q10" s="60">
        <v>3500</v>
      </c>
      <c r="S10" s="59" t="s">
        <v>66</v>
      </c>
      <c r="T10" s="60">
        <v>3500</v>
      </c>
      <c r="V10" s="59" t="s">
        <v>66</v>
      </c>
      <c r="W10" s="60">
        <v>3500</v>
      </c>
      <c r="Y10" s="59" t="s">
        <v>66</v>
      </c>
      <c r="Z10" s="60">
        <f>W10/W53</f>
        <v>6204.545454545455</v>
      </c>
    </row>
    <row r="11" spans="1:26" x14ac:dyDescent="0.2">
      <c r="D11" s="53"/>
      <c r="J11" t="s">
        <v>75</v>
      </c>
      <c r="K11">
        <f>PI()*K10*K42/(1000*60)</f>
        <v>6.3482977748197609</v>
      </c>
      <c r="M11" t="s">
        <v>75</v>
      </c>
      <c r="N11">
        <f>PI()*N10*N42/(1000*60)</f>
        <v>9.2050317734886544</v>
      </c>
      <c r="P11" t="s">
        <v>75</v>
      </c>
      <c r="Q11">
        <f>PI()*Q10*Q42/(1000*60)</f>
        <v>12.590790586725861</v>
      </c>
      <c r="S11" t="s">
        <v>75</v>
      </c>
      <c r="T11">
        <f>PI()*T10*T42/(1000*60)</f>
        <v>14.812694807912777</v>
      </c>
      <c r="V11" t="s">
        <v>75</v>
      </c>
      <c r="W11">
        <f>PI()*W10*W42/(1000*60)</f>
        <v>24.758361321797071</v>
      </c>
      <c r="Y11" t="s">
        <v>75</v>
      </c>
      <c r="Z11">
        <f>PI()*Z10*Z42/(1000*60)</f>
        <v>22.507601201633701</v>
      </c>
    </row>
    <row r="12" spans="1:26" x14ac:dyDescent="0.2">
      <c r="A12" t="s">
        <v>76</v>
      </c>
      <c r="B12">
        <f>B9*B5*60</f>
        <v>2100000000</v>
      </c>
      <c r="D12">
        <v>1.5</v>
      </c>
      <c r="E12">
        <f>RADIANS(30)</f>
        <v>0.52359877559829882</v>
      </c>
      <c r="F12">
        <f>RADIANS(20)</f>
        <v>0.3490658503988659</v>
      </c>
      <c r="J12" t="s">
        <v>77</v>
      </c>
      <c r="K12">
        <f>PI()*K10*K43/(1000*60)</f>
        <v>13.490132771491993</v>
      </c>
      <c r="M12" t="s">
        <v>77</v>
      </c>
      <c r="N12">
        <f>PI()*N10*N43/(1000*60)</f>
        <v>13.014010438380511</v>
      </c>
      <c r="P12" t="s">
        <v>77</v>
      </c>
      <c r="Q12">
        <f>PI()*Q10*Q43/(1000*60)</f>
        <v>11.850155846330221</v>
      </c>
      <c r="S12" t="s">
        <v>77</v>
      </c>
      <c r="T12">
        <f>PI()*T10*T43/(1000*60)</f>
        <v>10.58049629136627</v>
      </c>
      <c r="V12" t="s">
        <v>77</v>
      </c>
      <c r="W12">
        <f>PI()*W10*W43/(1000*60)</f>
        <v>13.966255104603476</v>
      </c>
      <c r="Y12" t="s">
        <v>77</v>
      </c>
      <c r="Z12">
        <f>PI()*Z10*Z43/(1000*60)</f>
        <v>95.657305106943241</v>
      </c>
    </row>
    <row r="13" spans="1:26" x14ac:dyDescent="0.2">
      <c r="J13" s="57" t="s">
        <v>70</v>
      </c>
      <c r="K13" s="59">
        <v>10000</v>
      </c>
      <c r="M13" s="57" t="s">
        <v>70</v>
      </c>
      <c r="N13" s="59">
        <v>10000</v>
      </c>
      <c r="P13" s="57" t="s">
        <v>70</v>
      </c>
      <c r="Q13" s="59">
        <v>10000</v>
      </c>
      <c r="S13" s="57" t="s">
        <v>70</v>
      </c>
      <c r="T13" s="59">
        <v>10000</v>
      </c>
      <c r="V13" s="57" t="s">
        <v>70</v>
      </c>
      <c r="W13" s="59">
        <v>10000</v>
      </c>
      <c r="Y13" s="57" t="s">
        <v>70</v>
      </c>
      <c r="Z13" s="59">
        <v>10000</v>
      </c>
    </row>
    <row r="14" spans="1:26" x14ac:dyDescent="0.2">
      <c r="A14" t="s">
        <v>78</v>
      </c>
      <c r="B14">
        <v>1</v>
      </c>
      <c r="J14" s="59"/>
      <c r="K14" s="59"/>
      <c r="M14" s="59"/>
      <c r="N14" s="59"/>
      <c r="P14" s="59"/>
      <c r="Q14" s="59"/>
      <c r="S14" s="59"/>
      <c r="T14" s="59"/>
      <c r="V14" s="59"/>
      <c r="W14" s="59"/>
      <c r="Y14" s="59"/>
      <c r="Z14" s="59"/>
    </row>
    <row r="15" spans="1:26" x14ac:dyDescent="0.2">
      <c r="A15" t="s">
        <v>79</v>
      </c>
      <c r="B15">
        <v>1</v>
      </c>
      <c r="J15" s="59" t="s">
        <v>76</v>
      </c>
      <c r="K15" s="59">
        <f>K13*K10*60</f>
        <v>2100000000</v>
      </c>
      <c r="L15" t="s">
        <v>80</v>
      </c>
      <c r="M15" s="59" t="s">
        <v>76</v>
      </c>
      <c r="N15" s="59">
        <f>N13*N10*60</f>
        <v>2100000000</v>
      </c>
      <c r="P15" s="59" t="s">
        <v>76</v>
      </c>
      <c r="Q15" s="59">
        <f>Q13*Q10*60</f>
        <v>2100000000</v>
      </c>
      <c r="S15" s="59" t="s">
        <v>76</v>
      </c>
      <c r="T15" s="59">
        <f>T13*T10*60</f>
        <v>2100000000</v>
      </c>
      <c r="V15" s="59" t="s">
        <v>76</v>
      </c>
      <c r="W15" s="59">
        <f>W13*W10*60</f>
        <v>2100000000</v>
      </c>
      <c r="Y15" s="59" t="s">
        <v>76</v>
      </c>
      <c r="Z15" s="59">
        <f>Z13*Z10*60</f>
        <v>3722727272.727273</v>
      </c>
    </row>
    <row r="16" spans="1:26" x14ac:dyDescent="0.2">
      <c r="A16" t="s">
        <v>81</v>
      </c>
      <c r="B16">
        <v>1</v>
      </c>
    </row>
    <row r="17" spans="1:26" x14ac:dyDescent="0.2">
      <c r="A17" t="s">
        <v>82</v>
      </c>
      <c r="B17">
        <v>1</v>
      </c>
      <c r="J17" s="58" t="s">
        <v>78</v>
      </c>
      <c r="K17" s="59">
        <v>1</v>
      </c>
      <c r="M17" s="58" t="s">
        <v>78</v>
      </c>
      <c r="N17" s="59">
        <v>1</v>
      </c>
      <c r="P17" s="58" t="s">
        <v>78</v>
      </c>
      <c r="Q17" s="59">
        <v>1</v>
      </c>
      <c r="S17" s="58" t="s">
        <v>78</v>
      </c>
      <c r="T17" s="59">
        <v>1</v>
      </c>
      <c r="V17" s="58" t="s">
        <v>78</v>
      </c>
      <c r="W17" s="59">
        <v>1</v>
      </c>
      <c r="Y17" s="58" t="s">
        <v>78</v>
      </c>
      <c r="Z17" s="59">
        <v>1</v>
      </c>
    </row>
    <row r="18" spans="1:26" x14ac:dyDescent="0.2">
      <c r="J18" s="58" t="s">
        <v>79</v>
      </c>
      <c r="K18" s="59">
        <v>1</v>
      </c>
      <c r="M18" s="58" t="s">
        <v>79</v>
      </c>
      <c r="N18" s="59">
        <v>1</v>
      </c>
      <c r="P18" s="58" t="s">
        <v>79</v>
      </c>
      <c r="Q18" s="59">
        <v>1</v>
      </c>
      <c r="S18" s="58" t="s">
        <v>79</v>
      </c>
      <c r="T18" s="59">
        <v>1</v>
      </c>
      <c r="V18" s="58" t="s">
        <v>79</v>
      </c>
      <c r="W18" s="59">
        <v>1</v>
      </c>
      <c r="Y18" s="58" t="s">
        <v>79</v>
      </c>
      <c r="Z18" s="59">
        <v>1</v>
      </c>
    </row>
    <row r="19" spans="1:26" x14ac:dyDescent="0.2">
      <c r="J19" s="58" t="s">
        <v>81</v>
      </c>
      <c r="K19" s="59">
        <v>1</v>
      </c>
      <c r="M19" s="58" t="s">
        <v>81</v>
      </c>
      <c r="N19" s="59">
        <v>1</v>
      </c>
      <c r="P19" s="58" t="s">
        <v>81</v>
      </c>
      <c r="Q19" s="59">
        <v>1</v>
      </c>
      <c r="S19" s="58" t="s">
        <v>81</v>
      </c>
      <c r="T19" s="59">
        <v>1</v>
      </c>
      <c r="V19" s="58" t="s">
        <v>81</v>
      </c>
      <c r="W19" s="59">
        <v>1</v>
      </c>
      <c r="Y19" s="58" t="s">
        <v>81</v>
      </c>
      <c r="Z19" s="59">
        <v>1</v>
      </c>
    </row>
    <row r="20" spans="1:26" x14ac:dyDescent="0.2">
      <c r="A20" s="53" t="s">
        <v>83</v>
      </c>
      <c r="B20" s="69" t="s">
        <v>84</v>
      </c>
      <c r="J20" s="58" t="s">
        <v>82</v>
      </c>
      <c r="K20" s="59">
        <v>1.2</v>
      </c>
      <c r="M20" s="58" t="s">
        <v>82</v>
      </c>
      <c r="N20" s="59">
        <v>1.2</v>
      </c>
      <c r="P20" s="58" t="s">
        <v>82</v>
      </c>
      <c r="Q20" s="59">
        <v>1.2</v>
      </c>
      <c r="S20" s="58" t="s">
        <v>82</v>
      </c>
      <c r="T20" s="59">
        <v>1.2</v>
      </c>
      <c r="V20" s="58" t="s">
        <v>82</v>
      </c>
      <c r="W20" s="59">
        <v>1.2</v>
      </c>
      <c r="Y20" s="58" t="s">
        <v>82</v>
      </c>
      <c r="Z20" s="59">
        <v>1.2</v>
      </c>
    </row>
    <row r="21" spans="1:26" x14ac:dyDescent="0.2">
      <c r="J21" s="58" t="s">
        <v>85</v>
      </c>
      <c r="K21" s="59">
        <v>2.9</v>
      </c>
      <c r="M21" s="58" t="s">
        <v>85</v>
      </c>
      <c r="N21" s="59">
        <v>2.9</v>
      </c>
      <c r="P21" s="58" t="s">
        <v>85</v>
      </c>
      <c r="Q21" s="59">
        <v>2.9</v>
      </c>
      <c r="S21" s="58" t="s">
        <v>85</v>
      </c>
      <c r="T21" s="59">
        <v>2.9</v>
      </c>
      <c r="V21" s="58" t="s">
        <v>85</v>
      </c>
      <c r="W21" s="59">
        <v>2.9</v>
      </c>
      <c r="Y21" s="58" t="s">
        <v>85</v>
      </c>
      <c r="Z21" s="59">
        <v>2.9</v>
      </c>
    </row>
    <row r="22" spans="1:26" x14ac:dyDescent="0.2">
      <c r="A22" s="53" t="s">
        <v>86</v>
      </c>
      <c r="D22" s="53" t="s">
        <v>87</v>
      </c>
      <c r="E22" t="s">
        <v>88</v>
      </c>
      <c r="F22" t="s">
        <v>89</v>
      </c>
      <c r="J22" s="58" t="s">
        <v>90</v>
      </c>
      <c r="K22" s="59">
        <f>K7*K9</f>
        <v>19.731050287495687</v>
      </c>
      <c r="M22" s="58" t="s">
        <v>90</v>
      </c>
      <c r="N22" s="59">
        <f>N7*N9</f>
        <v>45.69</v>
      </c>
      <c r="P22" s="58" t="s">
        <v>90</v>
      </c>
      <c r="Q22" s="59">
        <f>Q7*Q9</f>
        <v>126.285</v>
      </c>
      <c r="S22" s="58" t="s">
        <v>90</v>
      </c>
      <c r="T22" s="59">
        <f>T7*T9</f>
        <v>187.5</v>
      </c>
      <c r="V22" s="58" t="s">
        <v>90</v>
      </c>
      <c r="W22" s="59">
        <f>W7*W9</f>
        <v>237.61500000000001</v>
      </c>
      <c r="Y22" s="58" t="s">
        <v>90</v>
      </c>
      <c r="Z22" s="59">
        <f>Z7*Z9</f>
        <v>134.03923076923076</v>
      </c>
    </row>
    <row r="23" spans="1:26" x14ac:dyDescent="0.2">
      <c r="A23" s="53"/>
      <c r="D23" s="53"/>
      <c r="J23" s="70" t="s">
        <v>91</v>
      </c>
      <c r="K23" s="71">
        <v>6</v>
      </c>
      <c r="M23" s="70" t="s">
        <v>91</v>
      </c>
      <c r="N23" s="71">
        <v>6</v>
      </c>
      <c r="P23" s="70" t="s">
        <v>91</v>
      </c>
      <c r="Q23" s="71">
        <v>6</v>
      </c>
      <c r="S23" s="70" t="s">
        <v>91</v>
      </c>
      <c r="T23" s="71">
        <v>6</v>
      </c>
      <c r="V23" s="70" t="s">
        <v>91</v>
      </c>
      <c r="W23" s="71">
        <v>6</v>
      </c>
      <c r="Y23" s="70" t="s">
        <v>91</v>
      </c>
      <c r="Z23" s="71">
        <v>6</v>
      </c>
    </row>
    <row r="24" spans="1:26" x14ac:dyDescent="0.2">
      <c r="A24" t="s">
        <v>92</v>
      </c>
      <c r="B24">
        <v>1500</v>
      </c>
      <c r="D24" t="s">
        <v>93</v>
      </c>
      <c r="E24" s="52">
        <f>B25*B14*B16*B17</f>
        <v>920</v>
      </c>
      <c r="J24" s="70" t="s">
        <v>94</v>
      </c>
      <c r="K24" s="71">
        <v>1.25</v>
      </c>
      <c r="M24" s="70" t="s">
        <v>94</v>
      </c>
      <c r="N24" s="71">
        <v>1.2</v>
      </c>
      <c r="P24" s="70" t="s">
        <v>94</v>
      </c>
      <c r="Q24" s="71">
        <v>1.32</v>
      </c>
      <c r="S24" s="70" t="s">
        <v>94</v>
      </c>
      <c r="T24" s="71">
        <v>1.32</v>
      </c>
      <c r="V24" s="70" t="s">
        <v>94</v>
      </c>
      <c r="W24" s="71">
        <v>1.32</v>
      </c>
      <c r="Y24" s="70" t="s">
        <v>94</v>
      </c>
      <c r="Z24" s="71">
        <v>1.45</v>
      </c>
    </row>
    <row r="25" spans="1:26" x14ac:dyDescent="0.2">
      <c r="A25" t="s">
        <v>95</v>
      </c>
      <c r="B25">
        <v>920</v>
      </c>
      <c r="D25" t="s">
        <v>96</v>
      </c>
      <c r="E25">
        <f>B24*B15*SQRT(B17)</f>
        <v>1500</v>
      </c>
      <c r="J25" s="62" t="s">
        <v>97</v>
      </c>
      <c r="K25" s="62">
        <f>1+0.6*(K24-1)</f>
        <v>1.1499999999999999</v>
      </c>
      <c r="M25" s="62" t="s">
        <v>97</v>
      </c>
      <c r="N25" s="62">
        <f>1+0.6*(N24-1)</f>
        <v>1.1199999999999999</v>
      </c>
      <c r="P25" s="62" t="s">
        <v>97</v>
      </c>
      <c r="Q25" s="62">
        <f>1+0.6*(Q24-1)</f>
        <v>1.1919999999999999</v>
      </c>
      <c r="S25" s="62" t="s">
        <v>97</v>
      </c>
      <c r="T25" s="62">
        <f>1+0.6*(T24-1)</f>
        <v>1.1919999999999999</v>
      </c>
      <c r="V25" s="62" t="s">
        <v>97</v>
      </c>
      <c r="W25" s="62">
        <f>1+0.6*(W24-1)</f>
        <v>1.1919999999999999</v>
      </c>
      <c r="Y25" s="62" t="s">
        <v>97</v>
      </c>
      <c r="Z25" s="62">
        <f>1+0.6*(Z24-1)</f>
        <v>1.27</v>
      </c>
    </row>
    <row r="26" spans="1:26" x14ac:dyDescent="0.2">
      <c r="A26" t="s">
        <v>98</v>
      </c>
      <c r="B26">
        <v>1.2749999999999999</v>
      </c>
      <c r="J26" s="59" t="s">
        <v>99</v>
      </c>
      <c r="K26" s="59">
        <f>2.5</f>
        <v>2.5</v>
      </c>
      <c r="M26" s="59" t="s">
        <v>99</v>
      </c>
      <c r="N26" s="59">
        <f>2.5</f>
        <v>2.5</v>
      </c>
      <c r="P26" s="59" t="s">
        <v>99</v>
      </c>
      <c r="Q26" s="59">
        <v>1.7</v>
      </c>
      <c r="S26" s="59" t="s">
        <v>99</v>
      </c>
      <c r="T26" s="59">
        <v>1.6</v>
      </c>
      <c r="V26" s="59" t="s">
        <v>99</v>
      </c>
      <c r="W26" s="59">
        <v>1.75</v>
      </c>
      <c r="Y26" s="59" t="s">
        <v>99</v>
      </c>
      <c r="Z26" s="59">
        <v>1.75</v>
      </c>
    </row>
    <row r="27" spans="1:26" x14ac:dyDescent="0.2">
      <c r="A27" t="s">
        <v>100</v>
      </c>
      <c r="B27">
        <v>1.94</v>
      </c>
      <c r="D27" s="55" t="s">
        <v>101</v>
      </c>
      <c r="E27" s="18" t="s">
        <v>102</v>
      </c>
      <c r="F27" s="53" t="s">
        <v>19</v>
      </c>
      <c r="G27" s="53" t="s">
        <v>22</v>
      </c>
      <c r="J27" s="59" t="s">
        <v>103</v>
      </c>
      <c r="K27" s="59" cm="1">
        <f t="array" ref="K27">IF(K26&gt;1.6,(K26-1)*0.5+1,N/A)</f>
        <v>1.75</v>
      </c>
      <c r="M27" s="59" t="s">
        <v>103</v>
      </c>
      <c r="N27" s="59" cm="1">
        <f t="array" ref="N27">IF(N26&gt;1.6,(N26-1)*0.5+1,N/A)</f>
        <v>1.75</v>
      </c>
      <c r="P27" s="59" t="s">
        <v>103</v>
      </c>
      <c r="Q27" s="59" cm="1">
        <f t="array" ref="Q27">IF(Q26&gt;1.6,(Q26-1)*0.5+1,N/A)</f>
        <v>1.35</v>
      </c>
      <c r="S27" s="59" t="s">
        <v>103</v>
      </c>
      <c r="T27" s="59" cm="1">
        <f t="array" ref="T27">IF(T26&gt;=1.6,(T26-1)*0.5+1,N/A)</f>
        <v>1.3</v>
      </c>
      <c r="V27" s="59" t="s">
        <v>103</v>
      </c>
      <c r="W27" s="59" cm="1">
        <f t="array" ref="W27">IF(W26&gt;1.6,(W26-1)*0.5+1,N/A)</f>
        <v>1.375</v>
      </c>
      <c r="Y27" s="59" t="s">
        <v>103</v>
      </c>
      <c r="Z27" s="59" cm="1">
        <f t="array" ref="Z27">IF(Z26&gt;1.6,(Z26-1)*0.5+1,N/A)</f>
        <v>1.375</v>
      </c>
    </row>
    <row r="28" spans="1:26" x14ac:dyDescent="0.2">
      <c r="A28" t="s">
        <v>104</v>
      </c>
      <c r="D28">
        <v>1</v>
      </c>
      <c r="E28">
        <f>'Gear Ratio and forces'!H2/4.25</f>
        <v>2.1176470588235294</v>
      </c>
      <c r="F28">
        <f>SQRT(E28)</f>
        <v>1.4552137502179978</v>
      </c>
      <c r="G28" cm="1">
        <f t="array" ref="G28:G30">SQRT(E28:E30)</f>
        <v>1.4552137502179978</v>
      </c>
      <c r="J28" s="59" t="s">
        <v>105</v>
      </c>
      <c r="K28" s="59">
        <f>IF(ISNUMBER(K27),0.9*K27,0.9*K26)</f>
        <v>1.575</v>
      </c>
      <c r="M28" s="59" t="s">
        <v>105</v>
      </c>
      <c r="N28" s="59">
        <f>IF(ISNUMBER(N27),0.9*N27,0.9*N26)</f>
        <v>1.575</v>
      </c>
      <c r="P28" s="59" t="s">
        <v>105</v>
      </c>
      <c r="Q28" s="59">
        <f>IF(ISNUMBER(Q27),0.9*Q27,0.9*Q26)</f>
        <v>1.2150000000000001</v>
      </c>
      <c r="S28" s="59" t="s">
        <v>105</v>
      </c>
      <c r="T28" s="59">
        <f>IF(ISNUMBER(T27),0.9*T27,0.9*T26)</f>
        <v>1.1700000000000002</v>
      </c>
      <c r="V28" s="59" t="s">
        <v>105</v>
      </c>
      <c r="W28" s="59">
        <f>IF(ISNUMBER(W27),0.9*W27,0.9*W26)</f>
        <v>1.2375</v>
      </c>
      <c r="Y28" s="59" t="s">
        <v>105</v>
      </c>
      <c r="Z28" s="59">
        <f>IF(ISNUMBER(Z27),0.9*Z27,0.9*Z26)</f>
        <v>1.2375</v>
      </c>
    </row>
    <row r="29" spans="1:26" x14ac:dyDescent="0.2">
      <c r="D29">
        <v>2</v>
      </c>
      <c r="E29">
        <f>'Gear Ratio and forces'!H3/4.25</f>
        <v>1.411764705882353</v>
      </c>
      <c r="F29">
        <f t="shared" ref="F29:F30" si="0">SQRT(E29)</f>
        <v>1.1881770515720091</v>
      </c>
      <c r="G29">
        <v>1.1881770515720091</v>
      </c>
      <c r="J29" s="59" t="s">
        <v>106</v>
      </c>
      <c r="K29" s="59">
        <v>0.3</v>
      </c>
      <c r="M29" s="59" t="s">
        <v>106</v>
      </c>
      <c r="N29" s="59">
        <v>0.3</v>
      </c>
      <c r="P29" s="59" t="s">
        <v>106</v>
      </c>
      <c r="Q29" s="59">
        <v>0.3</v>
      </c>
      <c r="S29" s="59" t="s">
        <v>106</v>
      </c>
      <c r="T29" s="59">
        <v>0.3</v>
      </c>
      <c r="V29" s="59" t="s">
        <v>106</v>
      </c>
      <c r="W29" s="59">
        <v>0.3</v>
      </c>
      <c r="Y29" s="59" t="s">
        <v>106</v>
      </c>
      <c r="Z29" s="59">
        <v>0.3</v>
      </c>
    </row>
    <row r="30" spans="1:26" x14ac:dyDescent="0.2">
      <c r="A30" s="53" t="s">
        <v>107</v>
      </c>
      <c r="D30">
        <v>3</v>
      </c>
      <c r="E30">
        <f>'Gear Ratio and forces'!H4/4.25</f>
        <v>0.94117647058823528</v>
      </c>
      <c r="F30">
        <f t="shared" si="0"/>
        <v>0.97014250014533188</v>
      </c>
      <c r="G30">
        <v>0.97014250014533188</v>
      </c>
      <c r="J30" s="62" t="s">
        <v>108</v>
      </c>
      <c r="K30" s="59">
        <v>2.1160000000000001</v>
      </c>
      <c r="M30" s="62" t="s">
        <v>108</v>
      </c>
      <c r="N30" s="59">
        <v>1.41</v>
      </c>
      <c r="P30" s="62" t="s">
        <v>108</v>
      </c>
      <c r="Q30" s="59">
        <v>0.94099999999999995</v>
      </c>
      <c r="S30" s="62" t="s">
        <v>108</v>
      </c>
      <c r="T30" s="59">
        <f>$E$31</f>
        <v>0.70588235294117652</v>
      </c>
      <c r="V30" s="62" t="s">
        <v>108</v>
      </c>
      <c r="W30" s="59">
        <f>E32</f>
        <v>0.56470588235294117</v>
      </c>
      <c r="Y30" s="62" t="s">
        <v>108</v>
      </c>
      <c r="Z30" s="59">
        <f>E37</f>
        <v>4.25</v>
      </c>
    </row>
    <row r="31" spans="1:26" x14ac:dyDescent="0.2">
      <c r="A31" t="s">
        <v>109</v>
      </c>
      <c r="B31">
        <v>270</v>
      </c>
      <c r="D31">
        <v>4</v>
      </c>
      <c r="E31">
        <f>'Gear Ratio and forces'!H5/4.25</f>
        <v>0.70588235294117652</v>
      </c>
      <c r="J31" s="71" t="s">
        <v>110</v>
      </c>
      <c r="K31">
        <v>1.2</v>
      </c>
      <c r="M31" s="71" t="s">
        <v>110</v>
      </c>
      <c r="N31">
        <v>1.2</v>
      </c>
      <c r="P31" s="71" t="s">
        <v>110</v>
      </c>
      <c r="Q31">
        <v>1.2</v>
      </c>
      <c r="S31" s="71" t="s">
        <v>110</v>
      </c>
      <c r="T31">
        <v>1.2</v>
      </c>
      <c r="V31" s="71" t="s">
        <v>110</v>
      </c>
      <c r="W31">
        <v>1.2</v>
      </c>
      <c r="Y31" s="71" t="s">
        <v>110</v>
      </c>
      <c r="Z31">
        <v>1.2</v>
      </c>
    </row>
    <row r="32" spans="1:26" x14ac:dyDescent="0.2">
      <c r="A32" t="s">
        <v>111</v>
      </c>
      <c r="B32">
        <v>650</v>
      </c>
      <c r="D32">
        <v>5</v>
      </c>
      <c r="E32">
        <f>'Gear Ratio and forces'!H6/4.25</f>
        <v>0.56470588235294117</v>
      </c>
      <c r="J32" s="57" t="s">
        <v>112</v>
      </c>
      <c r="K32" s="59">
        <f>700*((K22/K29)*(($B$26/$E$25)^2)*((K30+1)/K30)*(K25*IF(ISNUMBER(K27),K27,24)))^(1/3)</f>
        <v>36.418847514124245</v>
      </c>
      <c r="M32" s="57" t="s">
        <v>113</v>
      </c>
      <c r="N32" s="59">
        <f>700*((N22/N29)*(($B$26/$E$25)^2)*((N30+1)/N30)*(N25*IF(ISNUMBER(N27),N27,24)))^(1/3)</f>
        <v>50.191320908196815</v>
      </c>
      <c r="P32" s="57" t="s">
        <v>113</v>
      </c>
      <c r="Q32" s="59">
        <f>700*((Q22/Q29)*(($B$26/$E$25)^2)*((Q30+1)/Q30)*(Q25*IF(ISNUMBER(Q27),Q27,24)))^(1/3)</f>
        <v>70.221398384608236</v>
      </c>
      <c r="S32" s="57" t="s">
        <v>113</v>
      </c>
      <c r="T32" s="59">
        <f>700*((T22/T29)*(($B$26/$E$25)^2)*((T30+1)/T30)*(T25*IF(ISNUMBER(T27),T27,24)))^(1/3)</f>
        <v>83.396812043717546</v>
      </c>
      <c r="V32" s="57" t="s">
        <v>113</v>
      </c>
      <c r="W32" s="59">
        <f>700*((W22/W29)*(($B$26/$E$25)^2)*((W30+1)/W30)*(W25*IF(ISNUMBER(W27),W27,24)))^(1/3)</f>
        <v>96.240523270542198</v>
      </c>
      <c r="Y32" s="57" t="s">
        <v>113</v>
      </c>
      <c r="Z32" s="59">
        <f>700*((Z22/Z29)*(($B$26/$E$25)^2)*((Z30+1)/Z30)*(Z25*IF(ISNUMBER(Z27),Z27,24)))^(1/3)</f>
        <v>62.044955681487664</v>
      </c>
    </row>
    <row r="33" spans="1:26" x14ac:dyDescent="0.2">
      <c r="J33" s="59" t="s">
        <v>114</v>
      </c>
      <c r="K33" s="59">
        <f>K30*K32</f>
        <v>77.062281339886908</v>
      </c>
      <c r="M33" s="59" t="s">
        <v>115</v>
      </c>
      <c r="N33" s="59">
        <f>N30*N32</f>
        <v>70.769762480557503</v>
      </c>
      <c r="P33" s="59" t="s">
        <v>115</v>
      </c>
      <c r="Q33" s="59">
        <f>Q30*Q32</f>
        <v>66.078335879916352</v>
      </c>
      <c r="S33" s="59" t="s">
        <v>115</v>
      </c>
      <c r="T33" s="59">
        <f>T30*T32</f>
        <v>58.868337913212386</v>
      </c>
      <c r="V33" s="59" t="s">
        <v>115</v>
      </c>
      <c r="W33" s="59">
        <f>W30*W32</f>
        <v>54.347589611600299</v>
      </c>
      <c r="Y33" s="59" t="s">
        <v>115</v>
      </c>
      <c r="Z33" s="59">
        <f>Z30*Z32</f>
        <v>263.69106164632257</v>
      </c>
    </row>
    <row r="34" spans="1:26" x14ac:dyDescent="0.2">
      <c r="J34" s="65" t="s">
        <v>116</v>
      </c>
      <c r="K34" s="63">
        <f>2*K22*(10^3)*K21*$B$27*K25*K28/(K29*$E$24*K32^2)</f>
        <v>1.0984918693388099</v>
      </c>
      <c r="M34" s="65" t="s">
        <v>116</v>
      </c>
      <c r="N34" s="63">
        <f>2*N22*(10^3)*N21*$B$27*N25*N28/(N29*$E$24*N32^2)</f>
        <v>1.3043169243248731</v>
      </c>
      <c r="P34" s="65" t="s">
        <v>116</v>
      </c>
      <c r="Q34" s="63">
        <f>2*Q22*(10^3)*Q21*$B$27*Q25*Q28/(Q29*$E$24*Q32^2)</f>
        <v>1.5121190887127087</v>
      </c>
      <c r="S34" s="65" t="s">
        <v>116</v>
      </c>
      <c r="T34" s="63">
        <f>2*T22*(10^3)*T21*$B$27*T25*T28/(T29*$E$24*T32^2)</f>
        <v>1.5327987293770009</v>
      </c>
      <c r="V34" s="65" t="s">
        <v>116</v>
      </c>
      <c r="W34" s="63">
        <f>2*W22*(10^3)*W21*$B$27*W25*W28/(W29*$E$24*W32^2)</f>
        <v>1.5427658117244571</v>
      </c>
      <c r="Y34" s="65" t="s">
        <v>116</v>
      </c>
      <c r="Z34" s="63">
        <f>2*Z22*(10^3)*Z21*$B$27*Z25*Z28/(Z29*$E$24*Z32^2)</f>
        <v>2.2309433345486878</v>
      </c>
    </row>
    <row r="35" spans="1:26" x14ac:dyDescent="0.2">
      <c r="J35" s="59"/>
      <c r="K35" s="59"/>
      <c r="M35" s="59"/>
      <c r="N35" s="59"/>
      <c r="P35" s="59"/>
      <c r="Q35" s="59"/>
      <c r="S35" s="59"/>
      <c r="T35" s="59"/>
      <c r="V35" s="59"/>
      <c r="W35" s="59"/>
      <c r="Y35" s="59"/>
      <c r="Z35" s="59"/>
    </row>
    <row r="36" spans="1:26" x14ac:dyDescent="0.2">
      <c r="J36" s="59" t="s">
        <v>117</v>
      </c>
      <c r="K36" s="59">
        <f>(K32/K34)*COS(($E$12))</f>
        <v>28.711771114671322</v>
      </c>
      <c r="M36" s="59" t="s">
        <v>117</v>
      </c>
      <c r="N36" s="59">
        <f>(N32/N34)*COS(($E$12))</f>
        <v>33.325458058051652</v>
      </c>
      <c r="P36" s="59" t="s">
        <v>117</v>
      </c>
      <c r="Q36" s="59">
        <f>(Q32/Q34)*COS(($E$12))</f>
        <v>40.217411012322984</v>
      </c>
      <c r="S36" s="59" t="s">
        <v>117</v>
      </c>
      <c r="T36" s="59">
        <f>(T32/T34)*COS(($E$12))</f>
        <v>47.118878976270061</v>
      </c>
      <c r="V36" s="59" t="s">
        <v>117</v>
      </c>
      <c r="W36" s="59">
        <f>(W32/W34)*COS(($E$12))</f>
        <v>54.024231929688995</v>
      </c>
      <c r="Y36" s="59" t="s">
        <v>117</v>
      </c>
      <c r="Z36" s="59">
        <f>(Z32/Z34)*COS(($E$12))</f>
        <v>24.085106494969697</v>
      </c>
    </row>
    <row r="37" spans="1:26" x14ac:dyDescent="0.2">
      <c r="A37" s="53" t="s">
        <v>118</v>
      </c>
      <c r="B37" s="54">
        <v>1E-3</v>
      </c>
      <c r="D37" t="s">
        <v>51</v>
      </c>
      <c r="E37">
        <v>4.25</v>
      </c>
      <c r="J37" s="63" t="s">
        <v>119</v>
      </c>
      <c r="K37" s="63">
        <f>K30*K36</f>
        <v>60.754107678644523</v>
      </c>
      <c r="M37" s="63" t="s">
        <v>119</v>
      </c>
      <c r="N37" s="63">
        <f>N30*N36</f>
        <v>46.988895861852825</v>
      </c>
      <c r="P37" s="63" t="s">
        <v>119</v>
      </c>
      <c r="Q37" s="63">
        <f>Q30*Q36</f>
        <v>37.844583762595924</v>
      </c>
      <c r="S37" s="63" t="s">
        <v>119</v>
      </c>
      <c r="T37" s="63">
        <f>T30*T36</f>
        <v>33.260385159720045</v>
      </c>
      <c r="V37" s="63" t="s">
        <v>119</v>
      </c>
      <c r="W37" s="63">
        <f>W30*W36</f>
        <v>30.507801560294961</v>
      </c>
      <c r="Y37" s="63" t="s">
        <v>119</v>
      </c>
      <c r="Z37" s="63">
        <f>Z30*Z36</f>
        <v>102.36170260362121</v>
      </c>
    </row>
    <row r="38" spans="1:26" x14ac:dyDescent="0.2">
      <c r="J38" s="57"/>
      <c r="K38" s="59"/>
      <c r="M38" s="57"/>
      <c r="N38" s="59"/>
      <c r="P38" s="57"/>
      <c r="Q38" s="59"/>
      <c r="S38" s="57"/>
      <c r="T38" s="59"/>
      <c r="V38" s="57"/>
      <c r="W38" s="59"/>
      <c r="Y38" s="57"/>
      <c r="Z38" s="59"/>
    </row>
    <row r="39" spans="1:26" x14ac:dyDescent="0.2">
      <c r="A39" t="s">
        <v>120</v>
      </c>
      <c r="B39">
        <v>0.3</v>
      </c>
      <c r="D39" t="s">
        <v>121</v>
      </c>
      <c r="J39" s="59" t="s">
        <v>122</v>
      </c>
      <c r="K39" s="59">
        <v>24</v>
      </c>
      <c r="M39" s="59" t="s">
        <v>122</v>
      </c>
      <c r="N39" s="59">
        <v>29</v>
      </c>
      <c r="P39" s="59" t="s">
        <v>122</v>
      </c>
      <c r="Q39" s="59">
        <v>34</v>
      </c>
      <c r="S39" s="59" t="s">
        <v>122</v>
      </c>
      <c r="T39" s="59">
        <v>35</v>
      </c>
      <c r="V39" s="59" t="s">
        <v>122</v>
      </c>
      <c r="W39" s="59">
        <v>39</v>
      </c>
      <c r="Y39" s="59" t="s">
        <v>122</v>
      </c>
      <c r="Z39" s="59">
        <v>20</v>
      </c>
    </row>
    <row r="40" spans="1:26" x14ac:dyDescent="0.2">
      <c r="D40" t="s">
        <v>123</v>
      </c>
      <c r="J40" s="65" t="s">
        <v>124</v>
      </c>
      <c r="K40" s="63">
        <v>51</v>
      </c>
      <c r="M40" s="65" t="s">
        <v>124</v>
      </c>
      <c r="N40" s="63">
        <f>ROUND(N39*N30,0)</f>
        <v>41</v>
      </c>
      <c r="P40" s="65" t="s">
        <v>124</v>
      </c>
      <c r="Q40" s="63">
        <f>ROUND(Q39*Q30,0)</f>
        <v>32</v>
      </c>
      <c r="S40" s="65" t="s">
        <v>124</v>
      </c>
      <c r="T40" s="63">
        <f>ROUND(T39*T30,0)</f>
        <v>25</v>
      </c>
      <c r="V40" s="65" t="s">
        <v>124</v>
      </c>
      <c r="W40" s="63">
        <v>22</v>
      </c>
      <c r="Y40" s="65" t="s">
        <v>124</v>
      </c>
      <c r="Z40" s="63">
        <f>ROUND(Z39*Z30,0)</f>
        <v>85</v>
      </c>
    </row>
    <row r="41" spans="1:26" x14ac:dyDescent="0.2">
      <c r="J41" s="59" t="s">
        <v>125</v>
      </c>
      <c r="K41" s="59">
        <v>1.25</v>
      </c>
      <c r="M41" s="59" t="s">
        <v>125</v>
      </c>
      <c r="N41" s="59">
        <v>1.5</v>
      </c>
      <c r="P41" s="59" t="s">
        <v>125</v>
      </c>
      <c r="Q41" s="59">
        <v>1.75</v>
      </c>
      <c r="S41" s="59" t="s">
        <v>125</v>
      </c>
      <c r="T41" s="59">
        <v>2</v>
      </c>
      <c r="V41" s="59" t="s">
        <v>125</v>
      </c>
      <c r="W41" s="59">
        <v>3</v>
      </c>
      <c r="Y41" s="59" t="s">
        <v>125</v>
      </c>
      <c r="Z41" s="59">
        <v>3</v>
      </c>
    </row>
    <row r="42" spans="1:26" x14ac:dyDescent="0.2">
      <c r="D42" t="s">
        <v>126</v>
      </c>
      <c r="J42" s="59" t="s">
        <v>127</v>
      </c>
      <c r="K42" s="59">
        <f>K39*K41/(COS($E$12))</f>
        <v>34.641016151377542</v>
      </c>
      <c r="M42" s="59" t="s">
        <v>127</v>
      </c>
      <c r="N42" s="59">
        <f>N39*N41/(COS($E$12))</f>
        <v>50.229473419497438</v>
      </c>
      <c r="P42" s="59" t="s">
        <v>127</v>
      </c>
      <c r="Q42" s="59">
        <f>Q39*Q41/(COS($E$12))</f>
        <v>68.704682033565462</v>
      </c>
      <c r="S42" s="59" t="s">
        <v>127</v>
      </c>
      <c r="T42" s="59">
        <f>T39*T41/(COS($E$12))</f>
        <v>80.829037686547608</v>
      </c>
      <c r="V42" s="59" t="s">
        <v>127</v>
      </c>
      <c r="W42" s="59">
        <f>W39*W41/(COS($E$12))</f>
        <v>135.09996299037243</v>
      </c>
      <c r="Y42" s="59" t="s">
        <v>127</v>
      </c>
      <c r="Z42" s="59">
        <f>Z39*Z41/(COS($E$12))</f>
        <v>69.282032302755084</v>
      </c>
    </row>
    <row r="43" spans="1:26" x14ac:dyDescent="0.2">
      <c r="J43" s="63" t="s">
        <v>128</v>
      </c>
      <c r="K43" s="59">
        <f>K40*K41/(COS($E$12))</f>
        <v>73.612159321677282</v>
      </c>
      <c r="M43" s="63" t="s">
        <v>128</v>
      </c>
      <c r="N43" s="59">
        <f>N40*N41/(COS(($E$12)))</f>
        <v>71.014083110323966</v>
      </c>
      <c r="P43" s="63" t="s">
        <v>128</v>
      </c>
      <c r="Q43" s="59">
        <f>Q40*Q41/(COS($E$12))</f>
        <v>64.663230149238075</v>
      </c>
      <c r="S43" s="63" t="s">
        <v>128</v>
      </c>
      <c r="T43" s="59">
        <f>T40*T41/(COS($E$12))</f>
        <v>57.735026918962575</v>
      </c>
      <c r="V43" s="63" t="s">
        <v>128</v>
      </c>
      <c r="W43" s="59">
        <f>W40*W41/(COS($E$12))</f>
        <v>76.210235533030598</v>
      </c>
      <c r="Y43" s="63" t="s">
        <v>128</v>
      </c>
      <c r="Z43" s="59">
        <f>Z40*Z41/(COS($E$12))</f>
        <v>294.44863728670913</v>
      </c>
    </row>
    <row r="44" spans="1:26" x14ac:dyDescent="0.2">
      <c r="J44" s="71" t="s">
        <v>129</v>
      </c>
      <c r="K44">
        <f>MAX(K42*K29,K43*K29)</f>
        <v>22.083647796503183</v>
      </c>
      <c r="L44">
        <f>ROUND(K44,1)</f>
        <v>22.1</v>
      </c>
      <c r="M44" s="71" t="s">
        <v>129</v>
      </c>
      <c r="N44">
        <f>MAX(N42*N29,N43*N29)</f>
        <v>21.304224933097188</v>
      </c>
      <c r="P44" s="71" t="s">
        <v>129</v>
      </c>
      <c r="Q44">
        <f>MAX(Q42*Q29,Q43*Q29)</f>
        <v>20.611404610069638</v>
      </c>
      <c r="S44" s="71" t="s">
        <v>129</v>
      </c>
      <c r="T44">
        <f>MAX(T42*T29,T43*T29)</f>
        <v>24.248711305964282</v>
      </c>
      <c r="V44" s="71" t="s">
        <v>129</v>
      </c>
      <c r="W44">
        <f>MAX(W42*W29,W43*W29)</f>
        <v>40.529988897111728</v>
      </c>
      <c r="Y44" s="71" t="s">
        <v>129</v>
      </c>
      <c r="Z44">
        <f>MAX(Z42*Z29,Z43*Z29)</f>
        <v>88.33459118601273</v>
      </c>
    </row>
    <row r="45" spans="1:26" x14ac:dyDescent="0.2">
      <c r="J45" s="71" t="s">
        <v>130</v>
      </c>
      <c r="K45">
        <v>2.5</v>
      </c>
      <c r="M45" s="71" t="s">
        <v>130</v>
      </c>
      <c r="N45">
        <v>2.5</v>
      </c>
      <c r="P45" s="74" t="s">
        <v>130</v>
      </c>
      <c r="Q45" s="73">
        <v>2.5</v>
      </c>
      <c r="S45" s="74" t="s">
        <v>130</v>
      </c>
      <c r="T45" s="73">
        <v>2.5</v>
      </c>
      <c r="V45" s="74" t="s">
        <v>130</v>
      </c>
      <c r="W45" s="73">
        <v>2.5</v>
      </c>
      <c r="Y45" s="74" t="s">
        <v>130</v>
      </c>
      <c r="Z45" s="73">
        <v>2.5</v>
      </c>
    </row>
    <row r="46" spans="1:26" x14ac:dyDescent="0.2">
      <c r="J46" s="71" t="s">
        <v>131</v>
      </c>
      <c r="K46">
        <v>190</v>
      </c>
      <c r="L46" t="s">
        <v>132</v>
      </c>
      <c r="M46" s="71" t="s">
        <v>131</v>
      </c>
      <c r="N46">
        <v>190</v>
      </c>
      <c r="P46" s="74" t="s">
        <v>131</v>
      </c>
      <c r="Q46" s="73">
        <v>190</v>
      </c>
      <c r="S46" s="74" t="s">
        <v>131</v>
      </c>
      <c r="T46" s="73">
        <v>190</v>
      </c>
      <c r="V46" s="74" t="s">
        <v>131</v>
      </c>
      <c r="W46" s="73">
        <v>190</v>
      </c>
      <c r="Y46" s="74" t="s">
        <v>131</v>
      </c>
      <c r="Z46" s="73">
        <v>190</v>
      </c>
    </row>
    <row r="47" spans="1:26" x14ac:dyDescent="0.2">
      <c r="J47" s="71" t="s">
        <v>133</v>
      </c>
      <c r="K47">
        <v>0.83</v>
      </c>
      <c r="M47" s="71" t="s">
        <v>133</v>
      </c>
      <c r="N47">
        <v>0.83</v>
      </c>
      <c r="P47" s="74" t="s">
        <v>133</v>
      </c>
      <c r="Q47" s="73">
        <v>0.83</v>
      </c>
      <c r="S47" s="74" t="s">
        <v>133</v>
      </c>
      <c r="T47" s="73">
        <v>0.83</v>
      </c>
      <c r="V47" s="74" t="s">
        <v>133</v>
      </c>
      <c r="W47" s="73">
        <v>0.83</v>
      </c>
      <c r="Y47" s="74" t="s">
        <v>133</v>
      </c>
      <c r="Z47" s="73">
        <v>0.83</v>
      </c>
    </row>
    <row r="48" spans="1:26" x14ac:dyDescent="0.2">
      <c r="J48" s="71" t="s">
        <v>134</v>
      </c>
      <c r="K48">
        <v>0.96</v>
      </c>
      <c r="M48" s="71" t="s">
        <v>134</v>
      </c>
      <c r="N48">
        <v>0.96</v>
      </c>
      <c r="P48" s="74" t="s">
        <v>134</v>
      </c>
      <c r="Q48" s="73">
        <v>0.96</v>
      </c>
      <c r="S48" s="74" t="s">
        <v>134</v>
      </c>
      <c r="T48" s="73">
        <v>0.96</v>
      </c>
      <c r="V48" s="74" t="s">
        <v>134</v>
      </c>
      <c r="W48" s="73">
        <v>0.96</v>
      </c>
      <c r="Y48" s="74" t="s">
        <v>134</v>
      </c>
      <c r="Z48" s="73">
        <v>0.96</v>
      </c>
    </row>
    <row r="49" spans="9:26" x14ac:dyDescent="0.2">
      <c r="P49" s="73"/>
      <c r="Q49" s="73"/>
      <c r="S49" s="73"/>
      <c r="T49" s="73"/>
      <c r="V49" s="73"/>
      <c r="W49" s="73"/>
      <c r="Y49" s="73"/>
      <c r="Z49" s="73"/>
    </row>
    <row r="50" spans="9:26" x14ac:dyDescent="0.2">
      <c r="P50" s="73"/>
      <c r="Q50" s="73"/>
      <c r="S50" s="73"/>
      <c r="T50" s="73"/>
      <c r="V50" s="73"/>
      <c r="W50" s="73"/>
      <c r="Y50" s="73"/>
      <c r="Z50" s="73"/>
    </row>
    <row r="51" spans="9:26" x14ac:dyDescent="0.2">
      <c r="P51" s="73"/>
      <c r="Q51" s="73"/>
      <c r="S51" s="73"/>
      <c r="T51" s="73"/>
      <c r="V51" s="73"/>
      <c r="W51" s="73"/>
      <c r="Y51" s="73"/>
      <c r="Z51" s="73"/>
    </row>
    <row r="52" spans="9:26" x14ac:dyDescent="0.2">
      <c r="P52" s="73"/>
      <c r="Q52" s="73"/>
      <c r="S52" s="73"/>
      <c r="T52" s="73"/>
      <c r="V52" s="73"/>
      <c r="W52" s="73"/>
      <c r="Y52" s="73"/>
      <c r="Z52" s="73"/>
    </row>
    <row r="53" spans="9:26" x14ac:dyDescent="0.2">
      <c r="J53" t="s">
        <v>135</v>
      </c>
      <c r="K53">
        <f>K40/K39</f>
        <v>2.125</v>
      </c>
      <c r="M53" t="s">
        <v>135</v>
      </c>
      <c r="N53">
        <f>N40/N39</f>
        <v>1.4137931034482758</v>
      </c>
      <c r="P53" s="73" t="s">
        <v>135</v>
      </c>
      <c r="Q53" s="73">
        <f>Q40/Q39</f>
        <v>0.94117647058823528</v>
      </c>
      <c r="S53" s="73" t="s">
        <v>135</v>
      </c>
      <c r="T53" s="73">
        <f>T40/T39</f>
        <v>0.7142857142857143</v>
      </c>
      <c r="V53" s="73" t="s">
        <v>135</v>
      </c>
      <c r="W53" s="73">
        <f>W40/W39</f>
        <v>0.5641025641025641</v>
      </c>
      <c r="Y53" s="73" t="s">
        <v>135</v>
      </c>
      <c r="Z53" s="73">
        <f>Z40/Z39</f>
        <v>4.25</v>
      </c>
    </row>
    <row r="54" spans="9:26" x14ac:dyDescent="0.2">
      <c r="J54" t="s">
        <v>136</v>
      </c>
      <c r="K54">
        <f>K41*K29*(K42^2)*$E$24/(2*K22*1000*K21*K25*K28)</f>
        <v>1.9973020402288859</v>
      </c>
      <c r="M54" t="s">
        <v>136</v>
      </c>
      <c r="N54">
        <f>N41*N29*(N42^2)*$E$24/(2*N22*1000*N21*N25*N28)</f>
        <v>2.2344459779972388</v>
      </c>
      <c r="P54" s="73" t="s">
        <v>136</v>
      </c>
      <c r="Q54" s="73">
        <f>Q41*Q29*(MIN(Q42,Q43)^2)*$E$24/(2*Q22*1000*Q21*Q25*Q28)</f>
        <v>1.9038363996935181</v>
      </c>
      <c r="S54" s="73" t="s">
        <v>136</v>
      </c>
      <c r="T54" s="73">
        <f>T41*T29*(MIN(T42,T43)^2)*$E$24/(2*T22*1000*T21*T25*T28)</f>
        <v>1.2131833469486788</v>
      </c>
      <c r="V54" s="73" t="s">
        <v>136</v>
      </c>
      <c r="W54" s="73">
        <f>W41*W29*(MIN(W42,W43)^2)*$E$24/(2*W22*1000*W21*W25*W28)</f>
        <v>2.3655581857553689</v>
      </c>
      <c r="Y54" s="73" t="s">
        <v>136</v>
      </c>
      <c r="Z54" s="73">
        <f>Z41*Z29*(Z42^2)*$E$24/(2*Z22*1000*Z21*Z25*Z28)</f>
        <v>3.2528401752100304</v>
      </c>
    </row>
    <row r="55" spans="9:26" x14ac:dyDescent="0.2">
      <c r="J55" t="s">
        <v>137</v>
      </c>
      <c r="K55">
        <f>(((K42^3)*(K53/(K53+1))/((K25*IF(ISNUMBER(K27),K27,K26)*K31)*2*K22*1000))^0.5)*($E$25/(K45*K46*K47*K48))</f>
        <v>2.1584403334904541</v>
      </c>
      <c r="M55" t="s">
        <v>137</v>
      </c>
      <c r="N55">
        <f>(((N42^3)*(N53/(N53+1))/((N25*IF(ISNUMBER(N27),N27,N26)*N31)*2*N22*1000))^0.5)*($E$25/(N45*N46*N47*N48))</f>
        <v>2.3290828349121493</v>
      </c>
      <c r="P55" s="73" t="s">
        <v>137</v>
      </c>
      <c r="Q55" s="73">
        <f>(((MIN(Q43,Q42)^3)*(Q53/(Q53+1))/((Q25*IF(ISNUMBER(Q27),Q27,Q26)*Q31)*2*Q22*1000))^0.5)*($E$25/(Q45*Q46*Q47*Q48))</f>
        <v>2.0547118294805955</v>
      </c>
      <c r="S55" s="73" t="s">
        <v>137</v>
      </c>
      <c r="T55" s="73">
        <f>(((MIN(T43,T42)^3)*(T53/(T53+1))/((T25*IF(ISNUMBER(T27),T27,T26)*T31)*2*T22*1000))^0.5)*($E$25/(T45*T46*T47*T48))</f>
        <v>1.3439580141522429</v>
      </c>
      <c r="V55" s="73" t="s">
        <v>137</v>
      </c>
      <c r="W55" s="73">
        <f>(((MIN(W43,W42)^3)*(W53/(W53+1))/((W25*IF(ISNUMBER(W27),W27,W26)*W31)*2*W22*1000))^0.5)*($E$25/(W45*W46*W47*W48))</f>
        <v>1.6378822580010906</v>
      </c>
      <c r="Y55" s="73" t="s">
        <v>137</v>
      </c>
      <c r="Z55" s="73">
        <f>(((Z42^3)*(Z53/(Z53+1))/((Z25*IF(ISNUMBER(Z27),Z27,Z26)*Z31)*2*Z22*1000))^0.5)*($E$25/(Z45*Z46*Z47*Z48))</f>
        <v>2.7435903809043154</v>
      </c>
    </row>
    <row r="56" spans="9:26" x14ac:dyDescent="0.2">
      <c r="J56" t="s">
        <v>138</v>
      </c>
      <c r="M56" t="s">
        <v>138</v>
      </c>
      <c r="P56" s="73" t="s">
        <v>138</v>
      </c>
      <c r="Q56" s="73"/>
      <c r="S56" s="73" t="s">
        <v>138</v>
      </c>
      <c r="T56" s="73"/>
      <c r="V56" s="73" t="s">
        <v>138</v>
      </c>
      <c r="W56" s="73"/>
      <c r="Y56" s="73" t="s">
        <v>138</v>
      </c>
      <c r="Z56" s="73"/>
    </row>
    <row r="57" spans="9:26" x14ac:dyDescent="0.2">
      <c r="I57" s="53"/>
      <c r="J57" t="s">
        <v>139</v>
      </c>
      <c r="K57">
        <f>K53*$E$37</f>
        <v>9.03125</v>
      </c>
      <c r="M57" t="s">
        <v>139</v>
      </c>
      <c r="N57">
        <f>N53*$E$37</f>
        <v>6.0086206896551726</v>
      </c>
      <c r="P57" s="73" t="s">
        <v>139</v>
      </c>
      <c r="Q57" s="73">
        <f>Q53*$E$37</f>
        <v>4</v>
      </c>
      <c r="S57" s="73" t="s">
        <v>139</v>
      </c>
      <c r="T57" s="73">
        <f>T53*$E$37</f>
        <v>3.0357142857142856</v>
      </c>
      <c r="V57" s="73" t="s">
        <v>139</v>
      </c>
      <c r="W57" s="73">
        <f>W53*$E$37</f>
        <v>2.3974358974358974</v>
      </c>
      <c r="Y57" s="73" t="s">
        <v>139</v>
      </c>
      <c r="Z57" s="73">
        <f>Z53*$E$32</f>
        <v>2.4</v>
      </c>
    </row>
    <row r="58" spans="9:26" x14ac:dyDescent="0.2">
      <c r="P58" s="73"/>
      <c r="Q58" s="73"/>
      <c r="S58" s="73"/>
      <c r="T58" s="73"/>
      <c r="V58" s="73"/>
      <c r="W58" s="73"/>
      <c r="Y58" s="73"/>
      <c r="Z58" s="73"/>
    </row>
    <row r="59" spans="9:26" x14ac:dyDescent="0.2">
      <c r="I59" s="55"/>
      <c r="J59" t="s">
        <v>140</v>
      </c>
      <c r="K59">
        <f>K39*(1/COS($E$12))^3</f>
        <v>36.950417228136047</v>
      </c>
      <c r="M59" t="s">
        <v>140</v>
      </c>
      <c r="N59">
        <f>N39*(1/COS($E$12))^3</f>
        <v>44.648420817331058</v>
      </c>
      <c r="P59" s="73" t="s">
        <v>140</v>
      </c>
      <c r="Q59" s="73">
        <f>Q39*(1/COS($E$12))^3</f>
        <v>52.346424406526062</v>
      </c>
      <c r="S59" s="73" t="s">
        <v>140</v>
      </c>
      <c r="T59" s="73">
        <f>T39*(1/COS($E$12))^3</f>
        <v>53.886025124365062</v>
      </c>
      <c r="V59" s="73" t="s">
        <v>140</v>
      </c>
      <c r="W59" s="73">
        <f>W39*(1/COS($E$12))^3</f>
        <v>60.044427995721072</v>
      </c>
      <c r="Y59" s="73" t="s">
        <v>140</v>
      </c>
      <c r="Z59" s="73">
        <f>Z39*(1/COS($E$12))^3</f>
        <v>30.792014356780037</v>
      </c>
    </row>
    <row r="60" spans="9:26" x14ac:dyDescent="0.2">
      <c r="J60" t="s">
        <v>141</v>
      </c>
      <c r="K60">
        <f>K40*(1/COS($E$12))^3</f>
        <v>78.519636609789089</v>
      </c>
      <c r="M60" t="s">
        <v>141</v>
      </c>
      <c r="N60">
        <f>N40*(1/COS($E$12))^3</f>
        <v>63.123629431399074</v>
      </c>
      <c r="P60" s="73" t="s">
        <v>141</v>
      </c>
      <c r="Q60" s="73">
        <f>Q40*(1/COS($E$12))^3</f>
        <v>49.26722297084806</v>
      </c>
      <c r="S60" s="73" t="s">
        <v>141</v>
      </c>
      <c r="T60" s="73">
        <f>T40*(1/COS($E$12))^3</f>
        <v>38.490017945975048</v>
      </c>
      <c r="V60" s="73" t="s">
        <v>141</v>
      </c>
      <c r="W60" s="73">
        <f>W40*(1/COS($E$12))^3</f>
        <v>33.871215792458038</v>
      </c>
      <c r="Y60" s="73" t="s">
        <v>141</v>
      </c>
      <c r="Z60" s="73">
        <f>Z40*(1/COS($E$12))^3</f>
        <v>130.86606101631517</v>
      </c>
    </row>
    <row r="61" spans="9:26" x14ac:dyDescent="0.2">
      <c r="I61" s="53"/>
      <c r="J61" t="s">
        <v>142</v>
      </c>
      <c r="K61">
        <f>K60+K59</f>
        <v>115.47005383792514</v>
      </c>
      <c r="M61" t="s">
        <v>142</v>
      </c>
      <c r="N61">
        <f>N60+N59</f>
        <v>107.77205024873012</v>
      </c>
      <c r="P61" s="73" t="s">
        <v>142</v>
      </c>
      <c r="Q61" s="73">
        <f>Q60+Q59</f>
        <v>101.61364737737412</v>
      </c>
      <c r="S61" s="73" t="s">
        <v>142</v>
      </c>
      <c r="T61" s="73">
        <f>T60+T59</f>
        <v>92.376043070340103</v>
      </c>
      <c r="V61" s="73" t="s">
        <v>142</v>
      </c>
      <c r="W61" s="73">
        <f>W60+W59</f>
        <v>93.915643788179111</v>
      </c>
      <c r="Y61" s="73" t="s">
        <v>142</v>
      </c>
      <c r="Z61" s="73">
        <f>Z60+Z59</f>
        <v>161.65807537309522</v>
      </c>
    </row>
    <row r="62" spans="9:26" x14ac:dyDescent="0.2">
      <c r="J62" t="s">
        <v>143</v>
      </c>
      <c r="K62">
        <f>0.5*K61</f>
        <v>57.735026918962568</v>
      </c>
      <c r="M62" t="s">
        <v>143</v>
      </c>
      <c r="N62">
        <f>0.5*N61</f>
        <v>53.886025124365062</v>
      </c>
      <c r="P62" t="s">
        <v>143</v>
      </c>
      <c r="Q62">
        <f>0.5*Q61</f>
        <v>50.806823688687061</v>
      </c>
      <c r="S62" t="s">
        <v>143</v>
      </c>
      <c r="T62">
        <f>0.5*T61</f>
        <v>46.188021535170051</v>
      </c>
      <c r="V62" t="s">
        <v>143</v>
      </c>
      <c r="W62">
        <f>0.5*W61</f>
        <v>46.957821894089555</v>
      </c>
      <c r="Y62" t="s">
        <v>143</v>
      </c>
      <c r="Z62">
        <f>0.5*Z61</f>
        <v>80.829037686547608</v>
      </c>
    </row>
    <row r="63" spans="9:26" x14ac:dyDescent="0.2">
      <c r="J63" t="s">
        <v>144</v>
      </c>
      <c r="K63">
        <v>0.3</v>
      </c>
      <c r="M63" t="s">
        <v>144</v>
      </c>
      <c r="N63">
        <v>0.3</v>
      </c>
      <c r="P63" t="s">
        <v>144</v>
      </c>
      <c r="Q63">
        <v>0.3</v>
      </c>
      <c r="S63" t="s">
        <v>144</v>
      </c>
      <c r="T63">
        <v>0.3</v>
      </c>
      <c r="V63" t="s">
        <v>144</v>
      </c>
      <c r="W63">
        <v>0.3</v>
      </c>
      <c r="Y63" t="s">
        <v>144</v>
      </c>
      <c r="Z63">
        <v>0.3</v>
      </c>
    </row>
    <row r="64" spans="9:26" x14ac:dyDescent="0.2">
      <c r="J64" t="s">
        <v>145</v>
      </c>
      <c r="K64">
        <v>0</v>
      </c>
      <c r="M64" t="s">
        <v>145</v>
      </c>
      <c r="N64">
        <v>0.3</v>
      </c>
      <c r="P64" t="s">
        <v>145</v>
      </c>
      <c r="Q64">
        <v>0.3</v>
      </c>
      <c r="S64" t="s">
        <v>145</v>
      </c>
      <c r="T64">
        <v>0.3</v>
      </c>
      <c r="V64" t="s">
        <v>145</v>
      </c>
      <c r="W64">
        <v>0.3</v>
      </c>
      <c r="Y64" t="s">
        <v>145</v>
      </c>
      <c r="Z64">
        <v>0.3</v>
      </c>
    </row>
    <row r="67" spans="7:18" x14ac:dyDescent="0.2">
      <c r="G67" s="109" t="s">
        <v>210</v>
      </c>
      <c r="H67" s="109"/>
      <c r="I67" s="109"/>
      <c r="J67" s="109"/>
      <c r="K67" s="109"/>
      <c r="L67" s="109"/>
      <c r="M67" s="109"/>
      <c r="N67" s="109"/>
      <c r="O67" s="109"/>
      <c r="P67" s="109"/>
      <c r="Q67" s="109"/>
    </row>
    <row r="68" spans="7:18" x14ac:dyDescent="0.2"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</row>
    <row r="69" spans="7:18" x14ac:dyDescent="0.2"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</row>
    <row r="71" spans="7:18" x14ac:dyDescent="0.2">
      <c r="I71" t="s">
        <v>211</v>
      </c>
      <c r="J71" t="s">
        <v>234</v>
      </c>
      <c r="K71" t="s">
        <v>235</v>
      </c>
      <c r="L71" t="s">
        <v>236</v>
      </c>
      <c r="M71" t="s">
        <v>237</v>
      </c>
      <c r="N71" t="s">
        <v>238</v>
      </c>
      <c r="O71" t="s">
        <v>51</v>
      </c>
      <c r="P71" t="s">
        <v>158</v>
      </c>
      <c r="Q71" t="s">
        <v>228</v>
      </c>
      <c r="R71" t="s">
        <v>229</v>
      </c>
    </row>
    <row r="72" spans="7:18" x14ac:dyDescent="0.2">
      <c r="I72" t="s">
        <v>213</v>
      </c>
      <c r="J72">
        <f>K22</f>
        <v>19.731050287495687</v>
      </c>
      <c r="K72">
        <f>N22</f>
        <v>45.69</v>
      </c>
      <c r="L72">
        <f>Q22</f>
        <v>126.285</v>
      </c>
      <c r="M72">
        <f>T22</f>
        <v>187.5</v>
      </c>
      <c r="N72">
        <f>W22</f>
        <v>237.61500000000001</v>
      </c>
      <c r="O72">
        <f>Z22</f>
        <v>134.03923076923076</v>
      </c>
      <c r="Q72" s="107">
        <f>SUM(J72:N72)</f>
        <v>616.82105028749572</v>
      </c>
      <c r="R72" s="107">
        <f>SUM(J72:N72,P72,O72)</f>
        <v>750.86028105672654</v>
      </c>
    </row>
    <row r="73" spans="7:18" x14ac:dyDescent="0.2">
      <c r="I73" t="s">
        <v>214</v>
      </c>
      <c r="J73">
        <f>K42</f>
        <v>34.641016151377542</v>
      </c>
      <c r="K73">
        <f>N42</f>
        <v>50.229473419497438</v>
      </c>
      <c r="L73">
        <f>Q42</f>
        <v>68.704682033565462</v>
      </c>
      <c r="M73">
        <f>T42</f>
        <v>80.829037686547608</v>
      </c>
      <c r="N73">
        <f>W42</f>
        <v>135.09996299037243</v>
      </c>
      <c r="O73">
        <f>Z42</f>
        <v>69.282032302755084</v>
      </c>
      <c r="Q73" s="107">
        <f t="shared" ref="Q73:Q77" si="1">SUM(J73:N73)</f>
        <v>369.50417228136047</v>
      </c>
      <c r="R73" s="107">
        <f t="shared" ref="R73" si="2">SUM(J73:N73,P73,O73)</f>
        <v>438.78620458411558</v>
      </c>
    </row>
    <row r="74" spans="7:18" x14ac:dyDescent="0.2">
      <c r="I74" t="s">
        <v>221</v>
      </c>
      <c r="J74">
        <f>J72*2/J73</f>
        <v>1.1391727194879679</v>
      </c>
      <c r="K74">
        <f t="shared" ref="K74:O74" si="3">K72*2/K73</f>
        <v>1.8192506068464829</v>
      </c>
      <c r="L74">
        <f t="shared" si="3"/>
        <v>3.6761686761989187</v>
      </c>
      <c r="M74">
        <f t="shared" si="3"/>
        <v>4.6394218059880643</v>
      </c>
      <c r="N74">
        <f t="shared" si="3"/>
        <v>3.517617543935716</v>
      </c>
      <c r="O74">
        <f t="shared" si="3"/>
        <v>3.8693792983292878</v>
      </c>
      <c r="Q74">
        <f t="shared" si="1"/>
        <v>14.79163135245715</v>
      </c>
      <c r="R74">
        <f>-SUM(J74:N74,P74) + SUM(O74)</f>
        <v>-10.922252054127863</v>
      </c>
    </row>
    <row r="75" spans="7:18" x14ac:dyDescent="0.2">
      <c r="I75" t="s">
        <v>222</v>
      </c>
      <c r="J75">
        <f>J74/(COS($E$12)*COS($F$12))</f>
        <v>1.3998230095704911</v>
      </c>
      <c r="K75">
        <f t="shared" ref="K75:O75" si="4">K74/(COS($E$12)*COS($F$12))</f>
        <v>2.2355072379045708</v>
      </c>
      <c r="L75">
        <f t="shared" si="4"/>
        <v>4.5173005041048926</v>
      </c>
      <c r="M75">
        <f t="shared" si="4"/>
        <v>5.7009523525495291</v>
      </c>
      <c r="N75">
        <f t="shared" si="4"/>
        <v>4.3224718189207492</v>
      </c>
      <c r="O75">
        <f t="shared" si="4"/>
        <v>4.7547190008128242</v>
      </c>
      <c r="Q75">
        <f t="shared" si="1"/>
        <v>18.176054923050234</v>
      </c>
      <c r="R75">
        <f t="shared" ref="R75:R77" si="5">-SUM(J75:N75,P75) + SUM(O75)</f>
        <v>-13.421335922237411</v>
      </c>
    </row>
    <row r="76" spans="7:18" x14ac:dyDescent="0.2">
      <c r="I76" t="s">
        <v>220</v>
      </c>
      <c r="J76">
        <f>J75*SIN($F$12)</f>
        <v>0.47876766636386831</v>
      </c>
      <c r="K76">
        <f t="shared" ref="K76:O76" si="6">K75*SIN($F$12)</f>
        <v>0.7645885059136911</v>
      </c>
      <c r="L76">
        <f t="shared" si="6"/>
        <v>1.5450077658590708</v>
      </c>
      <c r="M76">
        <f t="shared" si="6"/>
        <v>1.9498405407117982</v>
      </c>
      <c r="N76">
        <f t="shared" si="6"/>
        <v>1.4783724310284385</v>
      </c>
      <c r="O76">
        <f t="shared" si="6"/>
        <v>1.6262096741312824</v>
      </c>
      <c r="Q76">
        <f t="shared" si="1"/>
        <v>6.2165769098768671</v>
      </c>
      <c r="R76">
        <f t="shared" si="5"/>
        <v>-4.5903672357455845</v>
      </c>
    </row>
    <row r="77" spans="7:18" x14ac:dyDescent="0.2">
      <c r="I77" t="s">
        <v>219</v>
      </c>
      <c r="J77">
        <f>J74*TAN($E$12)</f>
        <v>0.6577016762498562</v>
      </c>
      <c r="K77">
        <f t="shared" ref="K77:O77" si="7">K74*TAN($E$12)</f>
        <v>1.0503448275862066</v>
      </c>
      <c r="L77">
        <f t="shared" si="7"/>
        <v>2.1224369747899154</v>
      </c>
      <c r="M77">
        <f t="shared" si="7"/>
        <v>2.6785714285714279</v>
      </c>
      <c r="N77">
        <f t="shared" si="7"/>
        <v>2.0308974358974354</v>
      </c>
      <c r="O77">
        <f t="shared" si="7"/>
        <v>2.2339871794871788</v>
      </c>
      <c r="P77">
        <v>0</v>
      </c>
      <c r="Q77">
        <f t="shared" si="1"/>
        <v>8.539952343094841</v>
      </c>
      <c r="R77">
        <f t="shared" si="5"/>
        <v>-6.3059651636076621</v>
      </c>
    </row>
    <row r="84" spans="7:20" x14ac:dyDescent="0.2">
      <c r="G84" s="110" t="s">
        <v>227</v>
      </c>
      <c r="H84" s="110"/>
      <c r="I84" s="110"/>
      <c r="J84" s="110"/>
      <c r="K84" s="110"/>
      <c r="L84" s="110"/>
      <c r="M84" s="110"/>
      <c r="N84" s="110"/>
      <c r="O84" s="110"/>
      <c r="P84" s="110"/>
      <c r="Q84" s="110"/>
    </row>
    <row r="85" spans="7:20" x14ac:dyDescent="0.2"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</row>
    <row r="86" spans="7:20" x14ac:dyDescent="0.2"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</row>
    <row r="89" spans="7:20" x14ac:dyDescent="0.2">
      <c r="I89" t="s">
        <v>242</v>
      </c>
    </row>
    <row r="91" spans="7:20" x14ac:dyDescent="0.2">
      <c r="P91" t="s">
        <v>160</v>
      </c>
    </row>
    <row r="95" spans="7:20" x14ac:dyDescent="0.2">
      <c r="T95" t="s">
        <v>161</v>
      </c>
    </row>
    <row r="96" spans="7:20" x14ac:dyDescent="0.2">
      <c r="R96" t="s">
        <v>169</v>
      </c>
      <c r="T96" t="s">
        <v>162</v>
      </c>
    </row>
    <row r="97" spans="8:33" x14ac:dyDescent="0.2">
      <c r="P97" t="s">
        <v>243</v>
      </c>
      <c r="T97" t="s">
        <v>163</v>
      </c>
      <c r="U97" t="s">
        <v>164</v>
      </c>
    </row>
    <row r="98" spans="8:33" ht="20" thickBot="1" x14ac:dyDescent="0.3">
      <c r="H98" s="88"/>
      <c r="I98" s="78"/>
    </row>
    <row r="99" spans="8:33" ht="17" thickBot="1" x14ac:dyDescent="0.25">
      <c r="H99" s="79"/>
      <c r="I99" s="80"/>
    </row>
    <row r="100" spans="8:33" x14ac:dyDescent="0.2">
      <c r="H100" s="85"/>
      <c r="I100" s="87"/>
    </row>
    <row r="101" spans="8:33" x14ac:dyDescent="0.2">
      <c r="H101" s="81"/>
    </row>
    <row r="102" spans="8:33" x14ac:dyDescent="0.2">
      <c r="J102" s="89"/>
      <c r="K102" s="89"/>
      <c r="L102" s="89"/>
      <c r="M102" s="89"/>
      <c r="N102" s="89"/>
      <c r="O102" s="89"/>
      <c r="P102" s="90"/>
      <c r="Q102" s="89"/>
      <c r="R102" s="89"/>
      <c r="S102" s="89"/>
      <c r="T102" s="89"/>
      <c r="U102" s="89"/>
    </row>
    <row r="103" spans="8:33" x14ac:dyDescent="0.2">
      <c r="I103" s="89" t="s">
        <v>171</v>
      </c>
      <c r="J103" s="89">
        <v>3500</v>
      </c>
      <c r="L103" s="89"/>
      <c r="M103" s="89"/>
      <c r="N103" s="89"/>
      <c r="O103" s="89"/>
      <c r="P103" s="89"/>
      <c r="Q103" s="89"/>
      <c r="R103" s="89"/>
      <c r="S103" s="89"/>
      <c r="T103" s="89"/>
      <c r="U103" s="89"/>
    </row>
    <row r="104" spans="8:33" x14ac:dyDescent="0.2">
      <c r="I104" s="89" t="s">
        <v>172</v>
      </c>
      <c r="J104" s="89">
        <v>20</v>
      </c>
      <c r="L104" s="89"/>
      <c r="M104" s="89"/>
      <c r="N104" s="89"/>
      <c r="O104" s="89"/>
      <c r="P104" s="89"/>
      <c r="Q104" s="89"/>
      <c r="R104" s="89"/>
      <c r="S104" s="89"/>
      <c r="T104" s="89"/>
      <c r="U104" s="89"/>
    </row>
    <row r="105" spans="8:33" x14ac:dyDescent="0.2">
      <c r="I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</row>
    <row r="106" spans="8:33" x14ac:dyDescent="0.2">
      <c r="I106" s="91" t="s">
        <v>173</v>
      </c>
      <c r="J106" s="89" t="s">
        <v>174</v>
      </c>
      <c r="K106" s="89" t="s">
        <v>175</v>
      </c>
      <c r="L106" s="89"/>
      <c r="M106" s="90" t="s">
        <v>176</v>
      </c>
      <c r="N106" s="89">
        <v>3</v>
      </c>
      <c r="O106" s="91"/>
      <c r="P106" s="91"/>
      <c r="Q106" s="91"/>
      <c r="R106" s="91"/>
      <c r="S106" s="91"/>
      <c r="T106" s="91"/>
      <c r="U106" s="91"/>
      <c r="W106" s="89"/>
    </row>
    <row r="107" spans="8:33" x14ac:dyDescent="0.2">
      <c r="I107" s="89"/>
      <c r="J107" s="92" t="s">
        <v>177</v>
      </c>
      <c r="K107" s="92" t="s">
        <v>178</v>
      </c>
      <c r="L107" s="91" t="s">
        <v>179</v>
      </c>
      <c r="M107" s="91" t="s">
        <v>180</v>
      </c>
      <c r="N107" s="91" t="s">
        <v>181</v>
      </c>
      <c r="O107" s="91" t="s">
        <v>182</v>
      </c>
      <c r="P107" s="91" t="s">
        <v>183</v>
      </c>
      <c r="Q107" s="91" t="s">
        <v>165</v>
      </c>
      <c r="R107" s="91" t="s">
        <v>85</v>
      </c>
      <c r="S107" s="91" t="s">
        <v>184</v>
      </c>
      <c r="T107" s="92" t="s">
        <v>185</v>
      </c>
      <c r="U107" s="92" t="s">
        <v>186</v>
      </c>
      <c r="W107" s="89"/>
    </row>
    <row r="108" spans="8:33" x14ac:dyDescent="0.2">
      <c r="I108" s="91"/>
      <c r="J108" s="93">
        <f>'[1]Bevel and Load Calculations'!U136/1000</f>
        <v>0</v>
      </c>
      <c r="K108" s="93">
        <f>'[1]Bevel and Load Calculations'!T136/1000</f>
        <v>0</v>
      </c>
      <c r="L108" s="89" t="e">
        <f>J108/K108</f>
        <v>#DIV/0!</v>
      </c>
      <c r="M108" s="89">
        <v>3.6</v>
      </c>
      <c r="N108" s="89">
        <v>2.2229999999999999</v>
      </c>
      <c r="O108" s="89">
        <f>J108/N108</f>
        <v>0</v>
      </c>
      <c r="P108" s="89">
        <v>0.28999999999999998</v>
      </c>
      <c r="Q108" s="89">
        <v>0.56000000000000005</v>
      </c>
      <c r="R108" s="89">
        <v>1.49</v>
      </c>
      <c r="S108" s="94">
        <f>(Q108*K108)+(R108*J108)</f>
        <v>0</v>
      </c>
      <c r="T108" s="95" t="e">
        <f>(M108/S108)^N106</f>
        <v>#DIV/0!</v>
      </c>
      <c r="U108" s="96" t="e">
        <f>T108*(10^6)/(60*$C$15)</f>
        <v>#DIV/0!</v>
      </c>
      <c r="W108" s="89"/>
    </row>
    <row r="109" spans="8:33" x14ac:dyDescent="0.2"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W109" s="89"/>
    </row>
    <row r="110" spans="8:33" x14ac:dyDescent="0.2">
      <c r="I110" s="91" t="s">
        <v>197</v>
      </c>
      <c r="J110" s="89" t="s">
        <v>174</v>
      </c>
      <c r="K110" s="89" t="s">
        <v>175</v>
      </c>
      <c r="M110" s="90" t="s">
        <v>176</v>
      </c>
      <c r="N110" s="89">
        <v>3</v>
      </c>
      <c r="W110" s="91"/>
    </row>
    <row r="111" spans="8:33" x14ac:dyDescent="0.2">
      <c r="I111" s="77" t="s">
        <v>198</v>
      </c>
      <c r="J111" s="98">
        <f>'[1]Bevel and Load Calculations'!U137/1000</f>
        <v>0</v>
      </c>
      <c r="K111" s="93">
        <f>'[1]Bevel and Load Calculations'!T137/1000</f>
        <v>0</v>
      </c>
      <c r="L111" s="99" t="s">
        <v>199</v>
      </c>
      <c r="M111" s="89">
        <v>3.6</v>
      </c>
      <c r="N111" s="89">
        <v>2.2229999999999999</v>
      </c>
      <c r="O111" s="99" t="s">
        <v>199</v>
      </c>
      <c r="P111" s="99" t="s">
        <v>199</v>
      </c>
      <c r="Q111" s="99" t="s">
        <v>199</v>
      </c>
      <c r="R111" s="99" t="s">
        <v>199</v>
      </c>
      <c r="S111" s="94">
        <f>K111</f>
        <v>0</v>
      </c>
      <c r="T111" s="95" t="e">
        <f>(M111/S111)^N110</f>
        <v>#DIV/0!</v>
      </c>
      <c r="U111" s="96" t="e">
        <f>T111*(10^6)/(60*$C$15)</f>
        <v>#DIV/0!</v>
      </c>
      <c r="W111" s="91" t="s">
        <v>187</v>
      </c>
      <c r="X111" s="91" t="s">
        <v>188</v>
      </c>
      <c r="Y111" s="77" t="s">
        <v>189</v>
      </c>
      <c r="Z111" s="91" t="s">
        <v>190</v>
      </c>
      <c r="AA111" s="91" t="s">
        <v>191</v>
      </c>
      <c r="AB111" s="91" t="s">
        <v>192</v>
      </c>
      <c r="AC111" s="91" t="s">
        <v>193</v>
      </c>
      <c r="AD111" s="91" t="s">
        <v>194</v>
      </c>
      <c r="AE111" s="91" t="s">
        <v>195</v>
      </c>
      <c r="AF111" s="92" t="s">
        <v>196</v>
      </c>
    </row>
    <row r="112" spans="8:33" x14ac:dyDescent="0.2">
      <c r="W112" s="89">
        <v>1</v>
      </c>
      <c r="X112" s="89">
        <v>128</v>
      </c>
      <c r="Y112" s="89">
        <f>(I114+J114)/2</f>
        <v>26</v>
      </c>
      <c r="Z112" s="89">
        <v>109</v>
      </c>
      <c r="AA112" s="97">
        <f>X112/Z112</f>
        <v>1.1743119266055047</v>
      </c>
      <c r="AB112" s="89">
        <v>0.3</v>
      </c>
      <c r="AC112" s="94">
        <v>0.104</v>
      </c>
      <c r="AD112" s="89" t="e">
        <f>AB112*AC112/S108</f>
        <v>#DIV/0!</v>
      </c>
      <c r="AE112" s="89">
        <v>1.2</v>
      </c>
      <c r="AF112" s="96" t="e">
        <f>W112*AE112*U108</f>
        <v>#DIV/0!</v>
      </c>
      <c r="AG112" s="91"/>
    </row>
    <row r="113" spans="9:33" x14ac:dyDescent="0.2">
      <c r="I113" s="101" t="s">
        <v>200</v>
      </c>
      <c r="J113" s="101" t="s">
        <v>201</v>
      </c>
      <c r="K113" s="101" t="s">
        <v>202</v>
      </c>
      <c r="L113" s="101" t="s">
        <v>203</v>
      </c>
      <c r="N113" s="89"/>
      <c r="O113" s="92" t="s">
        <v>204</v>
      </c>
      <c r="P113" s="102"/>
      <c r="Q113" s="102"/>
      <c r="R113" s="103" t="s">
        <v>205</v>
      </c>
      <c r="AB113" s="89"/>
      <c r="AE113" s="89"/>
    </row>
    <row r="114" spans="9:33" x14ac:dyDescent="0.2">
      <c r="I114" s="101">
        <v>20</v>
      </c>
      <c r="J114" s="101">
        <v>32</v>
      </c>
      <c r="K114" s="101">
        <v>7</v>
      </c>
      <c r="L114" s="101">
        <v>1.9E-2</v>
      </c>
      <c r="N114" s="90">
        <v>1</v>
      </c>
      <c r="O114" s="104">
        <v>42.2</v>
      </c>
      <c r="P114" s="104"/>
      <c r="Q114" s="104"/>
      <c r="R114" s="105">
        <f>1.05*10^(-4)*O114*$C$15</f>
        <v>0</v>
      </c>
      <c r="S114" s="89"/>
      <c r="T114" s="89"/>
      <c r="U114" s="89"/>
      <c r="AB114" s="89"/>
      <c r="AE114" s="89"/>
    </row>
    <row r="115" spans="9:33" x14ac:dyDescent="0.2">
      <c r="N115" s="90">
        <v>2</v>
      </c>
      <c r="O115" s="104">
        <v>40.5</v>
      </c>
      <c r="P115" s="104"/>
      <c r="Q115" s="104"/>
      <c r="R115" s="105">
        <f>1.05*10^(-4)*O115*$C$15</f>
        <v>0</v>
      </c>
      <c r="W115" s="89">
        <v>1</v>
      </c>
      <c r="X115" s="89">
        <v>128</v>
      </c>
      <c r="Y115" s="89">
        <f>(I114+J114)/2</f>
        <v>26</v>
      </c>
      <c r="Z115" s="89">
        <v>109</v>
      </c>
      <c r="AA115" s="97">
        <f>X115/Z115</f>
        <v>1.1743119266055047</v>
      </c>
      <c r="AB115" s="89">
        <v>0.3</v>
      </c>
      <c r="AC115" s="94">
        <v>0.104</v>
      </c>
      <c r="AD115" s="100" t="e">
        <f>AB115*AC115/S111</f>
        <v>#DIV/0!</v>
      </c>
      <c r="AE115" s="89">
        <v>1.2</v>
      </c>
      <c r="AF115" s="96" t="e">
        <f>W115*AE115*U111</f>
        <v>#DIV/0!</v>
      </c>
    </row>
    <row r="116" spans="9:33" x14ac:dyDescent="0.2">
      <c r="I116" t="s">
        <v>206</v>
      </c>
      <c r="K116" t="s">
        <v>207</v>
      </c>
      <c r="L116" s="106">
        <v>3.88</v>
      </c>
    </row>
    <row r="117" spans="9:33" x14ac:dyDescent="0.2">
      <c r="I117" t="s">
        <v>208</v>
      </c>
      <c r="K117" t="s">
        <v>207</v>
      </c>
      <c r="L117" s="106">
        <v>3.88</v>
      </c>
    </row>
    <row r="118" spans="9:33" x14ac:dyDescent="0.2">
      <c r="W118" s="89"/>
    </row>
    <row r="119" spans="9:33" x14ac:dyDescent="0.2"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</row>
  </sheetData>
  <mergeCells count="2">
    <mergeCell ref="G67:Q69"/>
    <mergeCell ref="G84:Q86"/>
  </mergeCells>
  <conditionalFormatting sqref="I101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{101E2DE3-5399-3F4A-BF55-3126929FC2C1}</x14:id>
        </ext>
      </extLst>
    </cfRule>
  </conditionalFormatting>
  <conditionalFormatting sqref="J75:P7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{204E9CF2-7274-D644-9B22-66E027C1E2FD}</x14:id>
        </ext>
      </extLst>
    </cfRule>
  </conditionalFormatting>
  <conditionalFormatting sqref="J76:P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{B340DBF6-B9F9-3349-9BFD-C277BA74E279}</x14:id>
        </ext>
      </extLst>
    </cfRule>
  </conditionalFormatting>
  <conditionalFormatting sqref="J77:P7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{905DD6A6-691B-6E40-A4D3-BDEBE705B724}</x14:id>
        </ext>
      </extLst>
    </cfRule>
  </conditionalFormatting>
  <hyperlinks>
    <hyperlink ref="B20" r:id="rId1" xr:uid="{7620E9C1-D242-9249-B227-8CED0930855C}"/>
  </hyperlinks>
  <pageMargins left="0.7" right="0.7" top="0.75" bottom="0.75" header="0.3" footer="0.3"/>
  <ignoredErrors>
    <ignoredError sqref="R72:R73" calculatedColumn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1E2DE3-5399-3F4A-BF55-3126929FC2C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I101</xm:sqref>
        </x14:conditionalFormatting>
        <x14:conditionalFormatting xmlns:xm="http://schemas.microsoft.com/office/excel/2006/main">
          <x14:cfRule type="dataBar" id="{204E9CF2-7274-D644-9B22-66E027C1E2F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J75:P75</xm:sqref>
        </x14:conditionalFormatting>
        <x14:conditionalFormatting xmlns:xm="http://schemas.microsoft.com/office/excel/2006/main">
          <x14:cfRule type="dataBar" id="{B340DBF6-B9F9-3349-9BFD-C277BA74E2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J76:P76</xm:sqref>
        </x14:conditionalFormatting>
        <x14:conditionalFormatting xmlns:xm="http://schemas.microsoft.com/office/excel/2006/main">
          <x14:cfRule type="dataBar" id="{905DD6A6-691B-6E40-A4D3-BDEBE705B72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J77:P77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8B47-ECE4-C14C-B86E-C3A5C858DD5F}">
  <dimension ref="B3:P204"/>
  <sheetViews>
    <sheetView topLeftCell="B123" zoomScale="244" workbookViewId="0">
      <selection activeCell="L204" sqref="L204"/>
    </sheetView>
  </sheetViews>
  <sheetFormatPr baseColWidth="10" defaultColWidth="11" defaultRowHeight="16" x14ac:dyDescent="0.2"/>
  <sheetData>
    <row r="3" spans="2:2" x14ac:dyDescent="0.2">
      <c r="B3" t="s">
        <v>146</v>
      </c>
    </row>
    <row r="51" spans="2:16" x14ac:dyDescent="0.2">
      <c r="B51" s="111" t="s">
        <v>147</v>
      </c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</row>
    <row r="52" spans="2:16" x14ac:dyDescent="0.2"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</row>
    <row r="115" spans="13:13" x14ac:dyDescent="0.2">
      <c r="M115" t="s">
        <v>148</v>
      </c>
    </row>
    <row r="138" spans="13:14" x14ac:dyDescent="0.2">
      <c r="N138" s="72"/>
    </row>
    <row r="139" spans="13:14" x14ac:dyDescent="0.2">
      <c r="M139" t="s">
        <v>149</v>
      </c>
    </row>
    <row r="200" spans="6:12" x14ac:dyDescent="0.2">
      <c r="F200" t="s">
        <v>150</v>
      </c>
    </row>
    <row r="204" spans="6:12" x14ac:dyDescent="0.2">
      <c r="L204" t="s">
        <v>33</v>
      </c>
    </row>
  </sheetData>
  <mergeCells count="1">
    <mergeCell ref="B51:P5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3778-0093-3E4F-9565-903C1B5B5F52}">
  <dimension ref="A1:N64"/>
  <sheetViews>
    <sheetView topLeftCell="F3" zoomScale="125" workbookViewId="0">
      <selection activeCell="N6" sqref="N6"/>
    </sheetView>
  </sheetViews>
  <sheetFormatPr baseColWidth="10" defaultColWidth="11" defaultRowHeight="16" x14ac:dyDescent="0.2"/>
  <cols>
    <col min="2" max="2" width="23.1640625" customWidth="1"/>
    <col min="3" max="3" width="27.5" customWidth="1"/>
    <col min="10" max="10" width="20" customWidth="1"/>
    <col min="11" max="11" width="34.1640625" customWidth="1"/>
    <col min="12" max="12" width="25.6640625" customWidth="1"/>
    <col min="13" max="13" width="19.33203125" customWidth="1"/>
    <col min="14" max="14" width="17.1640625" customWidth="1"/>
  </cols>
  <sheetData>
    <row r="1" spans="1:14" x14ac:dyDescent="0.2">
      <c r="A1" t="s">
        <v>58</v>
      </c>
    </row>
    <row r="2" spans="1:14" x14ac:dyDescent="0.2">
      <c r="A2" t="s">
        <v>59</v>
      </c>
    </row>
    <row r="3" spans="1:14" ht="17" thickBot="1" x14ac:dyDescent="0.25"/>
    <row r="4" spans="1:14" ht="17" thickBot="1" x14ac:dyDescent="0.25">
      <c r="A4" s="53" t="s">
        <v>60</v>
      </c>
      <c r="B4" s="52">
        <f>'Gear Ratio and forces'!B10</f>
        <v>158.41</v>
      </c>
      <c r="J4" s="56" t="s">
        <v>61</v>
      </c>
      <c r="K4" s="64"/>
      <c r="M4" s="75" t="s">
        <v>53</v>
      </c>
      <c r="N4" s="75"/>
    </row>
    <row r="5" spans="1:14" ht="17" thickBot="1" x14ac:dyDescent="0.25">
      <c r="A5" t="s">
        <v>66</v>
      </c>
      <c r="B5" s="52">
        <f>'Gear Ratio and forces'!B11</f>
        <v>3500</v>
      </c>
      <c r="J5" s="68" t="s">
        <v>67</v>
      </c>
      <c r="K5" s="61"/>
      <c r="M5" s="75"/>
    </row>
    <row r="6" spans="1:14" x14ac:dyDescent="0.2">
      <c r="M6" s="75" t="s">
        <v>54</v>
      </c>
      <c r="N6">
        <f>2*K22/K42</f>
        <v>1.1391727194879679</v>
      </c>
    </row>
    <row r="7" spans="1:14" x14ac:dyDescent="0.2">
      <c r="A7" s="53" t="s">
        <v>69</v>
      </c>
      <c r="B7">
        <v>1.5</v>
      </c>
      <c r="J7" s="59" t="s">
        <v>69</v>
      </c>
      <c r="K7" s="59">
        <v>1.5</v>
      </c>
      <c r="M7" s="75"/>
    </row>
    <row r="8" spans="1:14" x14ac:dyDescent="0.2">
      <c r="M8" s="75"/>
    </row>
    <row r="9" spans="1:14" x14ac:dyDescent="0.2">
      <c r="A9" t="s">
        <v>70</v>
      </c>
      <c r="B9">
        <v>10000</v>
      </c>
      <c r="C9" t="s">
        <v>71</v>
      </c>
      <c r="D9" t="s">
        <v>72</v>
      </c>
      <c r="J9" s="57" t="s">
        <v>60</v>
      </c>
      <c r="K9" s="60">
        <f>'Performance Map'!AF68</f>
        <v>13.154033524997125</v>
      </c>
      <c r="M9" s="75" t="s">
        <v>55</v>
      </c>
      <c r="N9">
        <f>N6*TAN($F$12)</f>
        <v>2.5485127167647699</v>
      </c>
    </row>
    <row r="10" spans="1:14" x14ac:dyDescent="0.2">
      <c r="D10" s="53" t="s">
        <v>73</v>
      </c>
      <c r="E10" t="s">
        <v>74</v>
      </c>
      <c r="F10" t="s">
        <v>151</v>
      </c>
      <c r="J10" s="59" t="s">
        <v>66</v>
      </c>
      <c r="K10" s="60">
        <v>3500</v>
      </c>
      <c r="M10" s="75"/>
    </row>
    <row r="11" spans="1:14" x14ac:dyDescent="0.2">
      <c r="D11" s="53"/>
      <c r="J11" t="s">
        <v>75</v>
      </c>
      <c r="K11">
        <f>PI()*K10*K42/(1000*60)</f>
        <v>6.3482977748197609</v>
      </c>
      <c r="M11" s="75"/>
    </row>
    <row r="12" spans="1:14" x14ac:dyDescent="0.2">
      <c r="A12" t="s">
        <v>76</v>
      </c>
      <c r="B12">
        <f>B9*B5*60</f>
        <v>2100000000</v>
      </c>
      <c r="D12">
        <v>1.5</v>
      </c>
      <c r="E12">
        <f>RADIANS(30)</f>
        <v>0.52359877559829882</v>
      </c>
      <c r="F12">
        <v>20</v>
      </c>
      <c r="J12" t="s">
        <v>77</v>
      </c>
      <c r="K12">
        <f>PI()*K10*K43/(1000*60)</f>
        <v>13.490132771491993</v>
      </c>
      <c r="M12" s="75" t="s">
        <v>56</v>
      </c>
      <c r="N12">
        <f>N6/(COS($F$12)*COS(E12))</f>
        <v>3.2233795003251604</v>
      </c>
    </row>
    <row r="13" spans="1:14" x14ac:dyDescent="0.2">
      <c r="J13" s="57" t="s">
        <v>70</v>
      </c>
      <c r="K13" s="59">
        <v>10000</v>
      </c>
      <c r="M13" s="75"/>
    </row>
    <row r="14" spans="1:14" x14ac:dyDescent="0.2">
      <c r="A14" t="s">
        <v>78</v>
      </c>
      <c r="B14">
        <v>1</v>
      </c>
      <c r="J14" s="59"/>
      <c r="K14" s="59"/>
      <c r="M14" s="75" t="s">
        <v>33</v>
      </c>
    </row>
    <row r="15" spans="1:14" x14ac:dyDescent="0.2">
      <c r="A15" t="s">
        <v>79</v>
      </c>
      <c r="B15">
        <v>1</v>
      </c>
      <c r="J15" s="59" t="s">
        <v>76</v>
      </c>
      <c r="K15" s="59">
        <f>K13*K10*60</f>
        <v>2100000000</v>
      </c>
      <c r="M15" s="75" t="s">
        <v>57</v>
      </c>
      <c r="N15">
        <f>N6*TAN($E$12)</f>
        <v>0.65770167624985632</v>
      </c>
    </row>
    <row r="16" spans="1:14" x14ac:dyDescent="0.2">
      <c r="A16" t="s">
        <v>81</v>
      </c>
      <c r="B16">
        <v>1</v>
      </c>
      <c r="M16" s="75"/>
    </row>
    <row r="17" spans="1:13" x14ac:dyDescent="0.2">
      <c r="A17" t="s">
        <v>82</v>
      </c>
      <c r="B17">
        <v>1</v>
      </c>
      <c r="J17" s="58" t="s">
        <v>78</v>
      </c>
      <c r="K17" s="59">
        <v>1</v>
      </c>
    </row>
    <row r="18" spans="1:13" x14ac:dyDescent="0.2">
      <c r="J18" s="58" t="s">
        <v>79</v>
      </c>
      <c r="K18" s="59">
        <v>1</v>
      </c>
    </row>
    <row r="19" spans="1:13" x14ac:dyDescent="0.2">
      <c r="J19" s="58" t="s">
        <v>81</v>
      </c>
      <c r="K19" s="59">
        <v>1</v>
      </c>
      <c r="M19" t="s">
        <v>152</v>
      </c>
    </row>
    <row r="20" spans="1:13" x14ac:dyDescent="0.2">
      <c r="A20" s="53" t="s">
        <v>83</v>
      </c>
      <c r="B20" s="69" t="s">
        <v>84</v>
      </c>
      <c r="J20" s="58" t="s">
        <v>82</v>
      </c>
      <c r="K20" s="59">
        <v>1.2</v>
      </c>
    </row>
    <row r="21" spans="1:13" x14ac:dyDescent="0.2">
      <c r="J21" s="58" t="s">
        <v>85</v>
      </c>
      <c r="K21" s="59">
        <v>2.9</v>
      </c>
    </row>
    <row r="22" spans="1:13" x14ac:dyDescent="0.2">
      <c r="A22" s="53" t="s">
        <v>86</v>
      </c>
      <c r="D22" s="53" t="s">
        <v>87</v>
      </c>
      <c r="E22" t="s">
        <v>88</v>
      </c>
      <c r="F22" t="s">
        <v>89</v>
      </c>
      <c r="J22" s="58" t="s">
        <v>90</v>
      </c>
      <c r="K22" s="59">
        <f>K7*K9</f>
        <v>19.731050287495687</v>
      </c>
    </row>
    <row r="23" spans="1:13" x14ac:dyDescent="0.2">
      <c r="A23" s="53"/>
      <c r="D23" s="53"/>
      <c r="J23" s="70" t="s">
        <v>91</v>
      </c>
      <c r="K23" s="71">
        <v>6</v>
      </c>
    </row>
    <row r="24" spans="1:13" x14ac:dyDescent="0.2">
      <c r="A24" t="s">
        <v>92</v>
      </c>
      <c r="B24">
        <v>1500</v>
      </c>
      <c r="D24" t="s">
        <v>93</v>
      </c>
      <c r="E24" s="52">
        <f>B25*B14*B16*B17</f>
        <v>920</v>
      </c>
      <c r="J24" s="70" t="s">
        <v>94</v>
      </c>
      <c r="K24" s="71">
        <v>1.25</v>
      </c>
    </row>
    <row r="25" spans="1:13" x14ac:dyDescent="0.2">
      <c r="A25" t="s">
        <v>95</v>
      </c>
      <c r="B25">
        <v>920</v>
      </c>
      <c r="D25" t="s">
        <v>96</v>
      </c>
      <c r="E25">
        <f>B24*B15*SQRT(B17)</f>
        <v>1500</v>
      </c>
      <c r="J25" s="62" t="s">
        <v>97</v>
      </c>
      <c r="K25" s="62">
        <f>1+0.6*(K24-1)</f>
        <v>1.1499999999999999</v>
      </c>
    </row>
    <row r="26" spans="1:13" x14ac:dyDescent="0.2">
      <c r="A26" t="s">
        <v>98</v>
      </c>
      <c r="B26">
        <v>1.2749999999999999</v>
      </c>
      <c r="J26" s="59" t="s">
        <v>99</v>
      </c>
      <c r="K26" s="59">
        <f>2.5</f>
        <v>2.5</v>
      </c>
    </row>
    <row r="27" spans="1:13" x14ac:dyDescent="0.2">
      <c r="A27" t="s">
        <v>100</v>
      </c>
      <c r="B27">
        <v>1.94</v>
      </c>
      <c r="D27" s="55" t="s">
        <v>101</v>
      </c>
      <c r="E27" s="18" t="s">
        <v>102</v>
      </c>
      <c r="F27" s="53" t="s">
        <v>19</v>
      </c>
      <c r="G27" s="53" t="s">
        <v>22</v>
      </c>
      <c r="J27" s="59" t="s">
        <v>103</v>
      </c>
      <c r="K27" s="59" cm="1">
        <f t="array" ref="K27">IF(K26&gt;1.6,(K26-1)*0.5+1,N/A)</f>
        <v>1.75</v>
      </c>
    </row>
    <row r="28" spans="1:13" x14ac:dyDescent="0.2">
      <c r="A28" t="s">
        <v>104</v>
      </c>
      <c r="D28">
        <v>1</v>
      </c>
      <c r="E28">
        <f>'Gear Ratio and forces'!H2/4.25</f>
        <v>2.1176470588235294</v>
      </c>
      <c r="F28">
        <f>SQRT(E28)</f>
        <v>1.4552137502179978</v>
      </c>
      <c r="G28" cm="1">
        <f t="array" ref="G28:G30">SQRT(E28:E30)</f>
        <v>1.4552137502179978</v>
      </c>
      <c r="J28" s="59" t="s">
        <v>105</v>
      </c>
      <c r="K28" s="59">
        <f>IF(ISNUMBER(K27),0.9*K27,0.9*K26)</f>
        <v>1.575</v>
      </c>
    </row>
    <row r="29" spans="1:13" x14ac:dyDescent="0.2">
      <c r="D29">
        <v>2</v>
      </c>
      <c r="E29">
        <f>'Gear Ratio and forces'!H3/4.25</f>
        <v>1.411764705882353</v>
      </c>
      <c r="F29">
        <f t="shared" ref="F29:F30" si="0">SQRT(E29)</f>
        <v>1.1881770515720091</v>
      </c>
      <c r="G29">
        <v>1.1881770515720091</v>
      </c>
      <c r="J29" s="59" t="s">
        <v>106</v>
      </c>
      <c r="K29" s="59">
        <v>0.3</v>
      </c>
    </row>
    <row r="30" spans="1:13" x14ac:dyDescent="0.2">
      <c r="A30" s="53" t="s">
        <v>107</v>
      </c>
      <c r="D30">
        <v>3</v>
      </c>
      <c r="E30">
        <f>'Gear Ratio and forces'!H4/4.25</f>
        <v>0.94117647058823528</v>
      </c>
      <c r="F30">
        <f t="shared" si="0"/>
        <v>0.97014250014533188</v>
      </c>
      <c r="G30">
        <v>0.97014250014533188</v>
      </c>
      <c r="J30" s="62" t="s">
        <v>108</v>
      </c>
      <c r="K30" s="59">
        <v>2.1160000000000001</v>
      </c>
    </row>
    <row r="31" spans="1:13" x14ac:dyDescent="0.2">
      <c r="A31" t="s">
        <v>109</v>
      </c>
      <c r="B31">
        <v>270</v>
      </c>
      <c r="D31">
        <v>4</v>
      </c>
      <c r="E31">
        <f>'Gear Ratio and forces'!H5/4.25</f>
        <v>0.70588235294117652</v>
      </c>
      <c r="J31" s="71" t="s">
        <v>110</v>
      </c>
      <c r="K31">
        <v>1.2</v>
      </c>
    </row>
    <row r="32" spans="1:13" x14ac:dyDescent="0.2">
      <c r="A32" t="s">
        <v>111</v>
      </c>
      <c r="B32">
        <v>650</v>
      </c>
      <c r="D32">
        <v>5</v>
      </c>
      <c r="E32">
        <f>'Gear Ratio and forces'!H6/4.25</f>
        <v>0.56470588235294117</v>
      </c>
      <c r="J32" s="57" t="s">
        <v>112</v>
      </c>
      <c r="K32" s="59">
        <f>700*((K22/K29)*(($B$26/$E$25)^2)*((K30+1)/K30)*(K25*IF(ISNUMBER(K27),K27,24)))^(1/3)</f>
        <v>36.418847514124245</v>
      </c>
    </row>
    <row r="33" spans="1:11" x14ac:dyDescent="0.2">
      <c r="J33" s="59" t="s">
        <v>114</v>
      </c>
      <c r="K33" s="59">
        <f>K30*K32</f>
        <v>77.062281339886908</v>
      </c>
    </row>
    <row r="34" spans="1:11" x14ac:dyDescent="0.2">
      <c r="J34" s="65" t="s">
        <v>116</v>
      </c>
      <c r="K34" s="63">
        <f>2*K22*(10^3)*K21*$B$27*K25*K28/(K29*$E$24*K32^2)</f>
        <v>1.0984918693388099</v>
      </c>
    </row>
    <row r="35" spans="1:11" x14ac:dyDescent="0.2">
      <c r="J35" s="59"/>
      <c r="K35" s="59"/>
    </row>
    <row r="36" spans="1:11" x14ac:dyDescent="0.2">
      <c r="J36" s="59" t="s">
        <v>117</v>
      </c>
      <c r="K36" s="59">
        <f>(K32/K34)*COS(($E$12))</f>
        <v>28.711771114671322</v>
      </c>
    </row>
    <row r="37" spans="1:11" x14ac:dyDescent="0.2">
      <c r="A37" s="53" t="s">
        <v>118</v>
      </c>
      <c r="B37" s="54">
        <v>1E-3</v>
      </c>
      <c r="D37" t="s">
        <v>51</v>
      </c>
      <c r="E37">
        <v>4.25</v>
      </c>
      <c r="J37" s="63" t="s">
        <v>119</v>
      </c>
      <c r="K37" s="63">
        <f>K30*K36</f>
        <v>60.754107678644523</v>
      </c>
    </row>
    <row r="38" spans="1:11" x14ac:dyDescent="0.2">
      <c r="J38" s="57"/>
      <c r="K38" s="59"/>
    </row>
    <row r="39" spans="1:11" x14ac:dyDescent="0.2">
      <c r="A39" t="s">
        <v>120</v>
      </c>
      <c r="B39">
        <v>0.3</v>
      </c>
      <c r="D39" t="s">
        <v>121</v>
      </c>
      <c r="J39" s="59" t="s">
        <v>122</v>
      </c>
      <c r="K39" s="59">
        <v>24</v>
      </c>
    </row>
    <row r="40" spans="1:11" x14ac:dyDescent="0.2">
      <c r="D40" t="s">
        <v>123</v>
      </c>
      <c r="J40" s="65" t="s">
        <v>124</v>
      </c>
      <c r="K40" s="63">
        <v>51</v>
      </c>
    </row>
    <row r="41" spans="1:11" x14ac:dyDescent="0.2">
      <c r="J41" s="59" t="s">
        <v>125</v>
      </c>
      <c r="K41" s="59">
        <v>1.25</v>
      </c>
    </row>
    <row r="42" spans="1:11" x14ac:dyDescent="0.2">
      <c r="D42" t="s">
        <v>126</v>
      </c>
      <c r="J42" s="59" t="s">
        <v>127</v>
      </c>
      <c r="K42" s="59">
        <f>K39*K41/(COS($E$12))</f>
        <v>34.641016151377542</v>
      </c>
    </row>
    <row r="43" spans="1:11" x14ac:dyDescent="0.2">
      <c r="J43" s="63" t="s">
        <v>128</v>
      </c>
      <c r="K43" s="59">
        <f>K40*K41/(COS($E$12))</f>
        <v>73.612159321677282</v>
      </c>
    </row>
    <row r="44" spans="1:11" x14ac:dyDescent="0.2">
      <c r="J44" s="71" t="s">
        <v>129</v>
      </c>
      <c r="K44">
        <f>MAX(K42*K29,K43*K29)</f>
        <v>22.083647796503183</v>
      </c>
    </row>
    <row r="45" spans="1:11" x14ac:dyDescent="0.2">
      <c r="B45" s="73"/>
      <c r="C45" s="73"/>
      <c r="J45" s="71" t="s">
        <v>130</v>
      </c>
      <c r="K45">
        <v>2.5</v>
      </c>
    </row>
    <row r="46" spans="1:11" x14ac:dyDescent="0.2">
      <c r="J46" s="71" t="s">
        <v>131</v>
      </c>
      <c r="K46">
        <v>190</v>
      </c>
    </row>
    <row r="47" spans="1:11" x14ac:dyDescent="0.2">
      <c r="J47" s="71" t="s">
        <v>133</v>
      </c>
      <c r="K47">
        <v>0.83</v>
      </c>
    </row>
    <row r="48" spans="1:11" x14ac:dyDescent="0.2">
      <c r="J48" s="71" t="s">
        <v>134</v>
      </c>
      <c r="K48">
        <v>0.96</v>
      </c>
    </row>
    <row r="53" spans="10:11" x14ac:dyDescent="0.2">
      <c r="J53" t="s">
        <v>135</v>
      </c>
      <c r="K53">
        <f>K40/K39</f>
        <v>2.125</v>
      </c>
    </row>
    <row r="54" spans="10:11" x14ac:dyDescent="0.2">
      <c r="J54" t="s">
        <v>136</v>
      </c>
      <c r="K54">
        <f>K41*K29*(K42^2)*$E$24/(2*K22*1000*K21*K25*K28)</f>
        <v>1.9973020402288859</v>
      </c>
    </row>
    <row r="55" spans="10:11" x14ac:dyDescent="0.2">
      <c r="J55" t="s">
        <v>137</v>
      </c>
      <c r="K55">
        <f>(((K42^3)*(K53/(K53+1))/((K25*IF(ISNUMBER(K27),K27,K26)*K31)*2*K22*1000))^0.5)*($E$25/(K45*K46*K47*K48))</f>
        <v>2.1584403334904541</v>
      </c>
    </row>
    <row r="56" spans="10:11" x14ac:dyDescent="0.2">
      <c r="J56" t="s">
        <v>138</v>
      </c>
    </row>
    <row r="57" spans="10:11" x14ac:dyDescent="0.2">
      <c r="J57" t="s">
        <v>139</v>
      </c>
      <c r="K57">
        <f>K53*$E$37</f>
        <v>9.03125</v>
      </c>
    </row>
    <row r="59" spans="10:11" x14ac:dyDescent="0.2">
      <c r="J59" t="s">
        <v>140</v>
      </c>
      <c r="K59">
        <f>K39*(1/COS($E$12))^3</f>
        <v>36.950417228136047</v>
      </c>
    </row>
    <row r="60" spans="10:11" x14ac:dyDescent="0.2">
      <c r="J60" t="s">
        <v>141</v>
      </c>
      <c r="K60">
        <f>K40*(1/COS($E$12))^3</f>
        <v>78.519636609789089</v>
      </c>
    </row>
    <row r="61" spans="10:11" x14ac:dyDescent="0.2">
      <c r="J61" t="s">
        <v>142</v>
      </c>
      <c r="K61">
        <f>K60+K59</f>
        <v>115.47005383792514</v>
      </c>
    </row>
    <row r="62" spans="10:11" x14ac:dyDescent="0.2">
      <c r="J62" t="s">
        <v>143</v>
      </c>
      <c r="K62">
        <f>0.5*K61</f>
        <v>57.735026918962568</v>
      </c>
    </row>
    <row r="63" spans="10:11" x14ac:dyDescent="0.2">
      <c r="J63" t="s">
        <v>144</v>
      </c>
      <c r="K63">
        <v>0.3</v>
      </c>
    </row>
    <row r="64" spans="10:11" x14ac:dyDescent="0.2">
      <c r="J64" t="s">
        <v>145</v>
      </c>
      <c r="K64">
        <v>0</v>
      </c>
    </row>
  </sheetData>
  <conditionalFormatting sqref="M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{B39F705A-A77E-FE48-A1C2-102AC0EEE231}</x14:id>
        </ext>
      </extLst>
    </cfRule>
  </conditionalFormatting>
  <conditionalFormatting sqref="M4:N13 M14:M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{2D72091B-6728-9049-8F28-37E180CFCA71}</x14:id>
        </ext>
      </extLst>
    </cfRule>
  </conditionalFormatting>
  <conditionalFormatting sqref="N6:N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{3776F94C-820E-5646-B156-1903B6732623}</x14:id>
        </ext>
      </extLst>
    </cfRule>
  </conditionalFormatting>
  <hyperlinks>
    <hyperlink ref="B20" r:id="rId1" xr:uid="{6B6129FB-E7C1-C84D-96FF-2AE85394CB1E}"/>
  </hyperlink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9F705A-A77E-FE48-A1C2-102AC0EEE2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D72091B-6728-9049-8F28-37E180CFCA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M4:N13 M14:M16</xm:sqref>
        </x14:conditionalFormatting>
        <x14:conditionalFormatting xmlns:xm="http://schemas.microsoft.com/office/excel/2006/main">
          <x14:cfRule type="dataBar" id="{3776F94C-820E-5646-B156-1903B673262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N6:N16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C2C2-441D-5741-B8DD-7AEA78DC2B90}">
  <dimension ref="A1:O64"/>
  <sheetViews>
    <sheetView workbookViewId="0">
      <selection activeCell="N4" sqref="N4:O16"/>
    </sheetView>
  </sheetViews>
  <sheetFormatPr baseColWidth="10" defaultColWidth="11" defaultRowHeight="16" x14ac:dyDescent="0.2"/>
  <cols>
    <col min="1" max="1" width="29.33203125" customWidth="1"/>
    <col min="11" max="11" width="25.1640625" customWidth="1"/>
    <col min="12" max="12" width="26.6640625" customWidth="1"/>
    <col min="14" max="14" width="19.5" customWidth="1"/>
    <col min="15" max="15" width="21" customWidth="1"/>
  </cols>
  <sheetData>
    <row r="1" spans="1:15" x14ac:dyDescent="0.2">
      <c r="A1" t="s">
        <v>58</v>
      </c>
    </row>
    <row r="2" spans="1:15" x14ac:dyDescent="0.2">
      <c r="A2" t="s">
        <v>59</v>
      </c>
    </row>
    <row r="3" spans="1:15" ht="17" thickBot="1" x14ac:dyDescent="0.25"/>
    <row r="4" spans="1:15" ht="17" thickBot="1" x14ac:dyDescent="0.25">
      <c r="A4" s="53" t="s">
        <v>60</v>
      </c>
      <c r="B4" s="52">
        <f>'Gear Ratio and forces'!B10</f>
        <v>158.41</v>
      </c>
      <c r="K4" s="56" t="s">
        <v>62</v>
      </c>
      <c r="L4" s="64"/>
      <c r="N4" s="75" t="s">
        <v>53</v>
      </c>
      <c r="O4" s="75"/>
    </row>
    <row r="5" spans="1:15" ht="17" thickBot="1" x14ac:dyDescent="0.25">
      <c r="A5" t="s">
        <v>66</v>
      </c>
      <c r="B5" s="52">
        <f>'Gear Ratio and forces'!B11</f>
        <v>3500</v>
      </c>
      <c r="K5" s="68" t="s">
        <v>67</v>
      </c>
      <c r="L5" s="61"/>
      <c r="N5" s="75"/>
    </row>
    <row r="6" spans="1:15" x14ac:dyDescent="0.2">
      <c r="N6" s="75" t="s">
        <v>54</v>
      </c>
      <c r="O6">
        <f>2*L22/L42</f>
        <v>1.8192506068464829</v>
      </c>
    </row>
    <row r="7" spans="1:15" x14ac:dyDescent="0.2">
      <c r="A7" s="53" t="s">
        <v>69</v>
      </c>
      <c r="B7">
        <v>1.5</v>
      </c>
      <c r="K7" s="59" t="s">
        <v>69</v>
      </c>
      <c r="L7" s="59">
        <v>1.5</v>
      </c>
      <c r="N7" s="75"/>
    </row>
    <row r="8" spans="1:15" x14ac:dyDescent="0.2">
      <c r="N8" s="75"/>
    </row>
    <row r="9" spans="1:15" x14ac:dyDescent="0.2">
      <c r="A9" t="s">
        <v>70</v>
      </c>
      <c r="B9">
        <v>10000</v>
      </c>
      <c r="C9" t="s">
        <v>71</v>
      </c>
      <c r="D9" t="s">
        <v>72</v>
      </c>
      <c r="K9" s="57" t="s">
        <v>60</v>
      </c>
      <c r="L9" s="60">
        <v>30.46</v>
      </c>
      <c r="N9" s="75" t="s">
        <v>55</v>
      </c>
      <c r="O9">
        <f>O6*TAN($F$12)</f>
        <v>4.0699564053941133</v>
      </c>
    </row>
    <row r="10" spans="1:15" x14ac:dyDescent="0.2">
      <c r="D10" s="53" t="s">
        <v>73</v>
      </c>
      <c r="E10" t="s">
        <v>74</v>
      </c>
      <c r="F10" t="s">
        <v>151</v>
      </c>
      <c r="K10" s="59" t="s">
        <v>66</v>
      </c>
      <c r="L10" s="60">
        <v>3500</v>
      </c>
      <c r="N10" s="75"/>
    </row>
    <row r="11" spans="1:15" x14ac:dyDescent="0.2">
      <c r="D11" s="53"/>
      <c r="K11" t="s">
        <v>75</v>
      </c>
      <c r="L11">
        <f>PI()*L10*L42/(1000*60)</f>
        <v>9.2050317734886544</v>
      </c>
      <c r="N11" s="75"/>
    </row>
    <row r="12" spans="1:15" x14ac:dyDescent="0.2">
      <c r="A12" t="s">
        <v>76</v>
      </c>
      <c r="B12">
        <f>B9*B5*60</f>
        <v>2100000000</v>
      </c>
      <c r="D12">
        <v>1.5</v>
      </c>
      <c r="E12">
        <f>RADIANS(30)</f>
        <v>0.52359877559829882</v>
      </c>
      <c r="F12">
        <v>20</v>
      </c>
      <c r="K12" t="s">
        <v>77</v>
      </c>
      <c r="L12">
        <f>PI()*L10*L43/(1000*60)</f>
        <v>13.014010438380511</v>
      </c>
      <c r="N12" s="75" t="s">
        <v>56</v>
      </c>
      <c r="O12">
        <f>O6/(COS($F$12)*COS(F12))</f>
        <v>10.924398121691512</v>
      </c>
    </row>
    <row r="13" spans="1:15" x14ac:dyDescent="0.2">
      <c r="K13" s="57" t="s">
        <v>70</v>
      </c>
      <c r="L13" s="59">
        <v>10000</v>
      </c>
      <c r="N13" s="75"/>
    </row>
    <row r="14" spans="1:15" x14ac:dyDescent="0.2">
      <c r="A14" t="s">
        <v>78</v>
      </c>
      <c r="B14">
        <v>1</v>
      </c>
      <c r="K14" s="59"/>
      <c r="L14" s="59"/>
      <c r="N14" s="75" t="s">
        <v>33</v>
      </c>
    </row>
    <row r="15" spans="1:15" x14ac:dyDescent="0.2">
      <c r="A15" t="s">
        <v>79</v>
      </c>
      <c r="B15">
        <v>1</v>
      </c>
      <c r="K15" s="59" t="s">
        <v>76</v>
      </c>
      <c r="L15" s="59">
        <f>L13*L10*60</f>
        <v>2100000000</v>
      </c>
      <c r="N15" s="75" t="s">
        <v>57</v>
      </c>
      <c r="O15">
        <f>O6*TAN($E$12)</f>
        <v>1.0503448275862066</v>
      </c>
    </row>
    <row r="16" spans="1:15" x14ac:dyDescent="0.2">
      <c r="A16" t="s">
        <v>81</v>
      </c>
      <c r="B16">
        <v>1</v>
      </c>
      <c r="N16" s="75"/>
    </row>
    <row r="17" spans="1:14" x14ac:dyDescent="0.2">
      <c r="A17" t="s">
        <v>82</v>
      </c>
      <c r="B17">
        <v>1</v>
      </c>
      <c r="K17" s="58" t="s">
        <v>78</v>
      </c>
      <c r="L17" s="59">
        <v>1</v>
      </c>
    </row>
    <row r="18" spans="1:14" x14ac:dyDescent="0.2">
      <c r="K18" s="58" t="s">
        <v>79</v>
      </c>
      <c r="L18" s="59">
        <v>1</v>
      </c>
    </row>
    <row r="19" spans="1:14" x14ac:dyDescent="0.2">
      <c r="K19" s="58" t="s">
        <v>81</v>
      </c>
      <c r="L19" s="59">
        <v>1</v>
      </c>
      <c r="N19" t="s">
        <v>152</v>
      </c>
    </row>
    <row r="20" spans="1:14" x14ac:dyDescent="0.2">
      <c r="A20" s="53" t="s">
        <v>83</v>
      </c>
      <c r="B20" s="69" t="s">
        <v>84</v>
      </c>
      <c r="K20" s="58" t="s">
        <v>82</v>
      </c>
      <c r="L20" s="59">
        <v>1.2</v>
      </c>
    </row>
    <row r="21" spans="1:14" x14ac:dyDescent="0.2">
      <c r="K21" s="58" t="s">
        <v>85</v>
      </c>
      <c r="L21" s="59">
        <v>2.9</v>
      </c>
    </row>
    <row r="22" spans="1:14" x14ac:dyDescent="0.2">
      <c r="A22" s="53" t="s">
        <v>86</v>
      </c>
      <c r="D22" s="53" t="s">
        <v>87</v>
      </c>
      <c r="E22" t="s">
        <v>88</v>
      </c>
      <c r="F22" t="s">
        <v>89</v>
      </c>
      <c r="K22" s="58" t="s">
        <v>90</v>
      </c>
      <c r="L22" s="59">
        <f>L7*L9</f>
        <v>45.69</v>
      </c>
    </row>
    <row r="23" spans="1:14" x14ac:dyDescent="0.2">
      <c r="A23" s="53"/>
      <c r="D23" s="53"/>
      <c r="K23" s="70" t="s">
        <v>91</v>
      </c>
      <c r="L23" s="71">
        <v>6</v>
      </c>
    </row>
    <row r="24" spans="1:14" x14ac:dyDescent="0.2">
      <c r="A24" t="s">
        <v>92</v>
      </c>
      <c r="B24">
        <v>1500</v>
      </c>
      <c r="D24" t="s">
        <v>93</v>
      </c>
      <c r="E24" s="52">
        <f>B25*B14*B16*B17</f>
        <v>920</v>
      </c>
      <c r="K24" s="70" t="s">
        <v>94</v>
      </c>
      <c r="L24" s="71">
        <v>1.2</v>
      </c>
    </row>
    <row r="25" spans="1:14" x14ac:dyDescent="0.2">
      <c r="A25" t="s">
        <v>95</v>
      </c>
      <c r="B25">
        <v>920</v>
      </c>
      <c r="D25" t="s">
        <v>96</v>
      </c>
      <c r="E25">
        <f>B24*B15*SQRT(B17)</f>
        <v>1500</v>
      </c>
      <c r="K25" s="62" t="s">
        <v>97</v>
      </c>
      <c r="L25" s="62">
        <f>1+0.6*(L24-1)</f>
        <v>1.1199999999999999</v>
      </c>
    </row>
    <row r="26" spans="1:14" x14ac:dyDescent="0.2">
      <c r="A26" t="s">
        <v>98</v>
      </c>
      <c r="B26">
        <v>1.2749999999999999</v>
      </c>
      <c r="K26" s="59" t="s">
        <v>99</v>
      </c>
      <c r="L26" s="59">
        <f>2.5</f>
        <v>2.5</v>
      </c>
    </row>
    <row r="27" spans="1:14" x14ac:dyDescent="0.2">
      <c r="A27" t="s">
        <v>100</v>
      </c>
      <c r="B27">
        <v>1.94</v>
      </c>
      <c r="D27" s="55" t="s">
        <v>101</v>
      </c>
      <c r="E27" s="18" t="s">
        <v>102</v>
      </c>
      <c r="F27" s="53" t="s">
        <v>19</v>
      </c>
      <c r="G27" s="53" t="s">
        <v>22</v>
      </c>
      <c r="K27" s="59" t="s">
        <v>103</v>
      </c>
      <c r="L27" s="59" cm="1">
        <f t="array" ref="L27">IF(L26&gt;1.6,(L26-1)*0.5+1,N/A)</f>
        <v>1.75</v>
      </c>
    </row>
    <row r="28" spans="1:14" x14ac:dyDescent="0.2">
      <c r="A28" t="s">
        <v>104</v>
      </c>
      <c r="D28">
        <v>1</v>
      </c>
      <c r="E28">
        <f>'Gear Ratio and forces'!H2/4.25</f>
        <v>2.1176470588235294</v>
      </c>
      <c r="F28">
        <f>SQRT(E28)</f>
        <v>1.4552137502179978</v>
      </c>
      <c r="G28" cm="1">
        <f t="array" ref="G28:G30">SQRT(E28:E30)</f>
        <v>1.4552137502179978</v>
      </c>
      <c r="K28" s="59" t="s">
        <v>105</v>
      </c>
      <c r="L28" s="59">
        <f>IF(ISNUMBER(L27),0.9*L27,0.9*L26)</f>
        <v>1.575</v>
      </c>
    </row>
    <row r="29" spans="1:14" x14ac:dyDescent="0.2">
      <c r="D29">
        <v>2</v>
      </c>
      <c r="E29">
        <f>'Gear Ratio and forces'!H3/4.25</f>
        <v>1.411764705882353</v>
      </c>
      <c r="F29">
        <f t="shared" ref="F29:F30" si="0">SQRT(E29)</f>
        <v>1.1881770515720091</v>
      </c>
      <c r="G29">
        <v>1.1881770515720091</v>
      </c>
      <c r="K29" s="59" t="s">
        <v>106</v>
      </c>
      <c r="L29" s="59">
        <v>0.3</v>
      </c>
    </row>
    <row r="30" spans="1:14" x14ac:dyDescent="0.2">
      <c r="A30" s="53" t="s">
        <v>107</v>
      </c>
      <c r="D30">
        <v>3</v>
      </c>
      <c r="E30">
        <f>'Gear Ratio and forces'!H4/4.25</f>
        <v>0.94117647058823528</v>
      </c>
      <c r="F30">
        <f t="shared" si="0"/>
        <v>0.97014250014533188</v>
      </c>
      <c r="G30">
        <v>0.97014250014533188</v>
      </c>
      <c r="K30" s="62" t="s">
        <v>108</v>
      </c>
      <c r="L30" s="59">
        <v>1.41</v>
      </c>
    </row>
    <row r="31" spans="1:14" x14ac:dyDescent="0.2">
      <c r="A31" t="s">
        <v>109</v>
      </c>
      <c r="B31">
        <v>270</v>
      </c>
      <c r="D31">
        <v>4</v>
      </c>
      <c r="E31">
        <f>'Gear Ratio and forces'!H5/4.25</f>
        <v>0.70588235294117652</v>
      </c>
      <c r="K31" s="71" t="s">
        <v>110</v>
      </c>
      <c r="L31">
        <v>1.2</v>
      </c>
    </row>
    <row r="32" spans="1:14" x14ac:dyDescent="0.2">
      <c r="A32" t="s">
        <v>111</v>
      </c>
      <c r="B32">
        <v>650</v>
      </c>
      <c r="D32">
        <v>5</v>
      </c>
      <c r="E32">
        <f>'Gear Ratio and forces'!H6/4.25</f>
        <v>0.56470588235294117</v>
      </c>
      <c r="K32" s="57" t="s">
        <v>113</v>
      </c>
      <c r="L32" s="59">
        <f>700*((L22/L29)*(($B$26/$E$25)^2)*((L30+1)/L30)*(L25*IF(ISNUMBER(L27),L27,24)))^(1/3)</f>
        <v>50.191320908196815</v>
      </c>
    </row>
    <row r="33" spans="1:12" x14ac:dyDescent="0.2">
      <c r="K33" s="59" t="s">
        <v>115</v>
      </c>
      <c r="L33" s="59">
        <f>L30*L32</f>
        <v>70.769762480557503</v>
      </c>
    </row>
    <row r="34" spans="1:12" x14ac:dyDescent="0.2">
      <c r="K34" s="65" t="s">
        <v>116</v>
      </c>
      <c r="L34" s="63">
        <f>2*L22*(10^3)*L21*$B$27*L25*L28/(L29*$E$24*L32^2)</f>
        <v>1.3043169243248731</v>
      </c>
    </row>
    <row r="35" spans="1:12" x14ac:dyDescent="0.2">
      <c r="K35" s="59"/>
      <c r="L35" s="59"/>
    </row>
    <row r="36" spans="1:12" x14ac:dyDescent="0.2">
      <c r="K36" s="59" t="s">
        <v>117</v>
      </c>
      <c r="L36" s="59">
        <f>(L32/L34)*COS(($E$12))</f>
        <v>33.325458058051652</v>
      </c>
    </row>
    <row r="37" spans="1:12" x14ac:dyDescent="0.2">
      <c r="A37" s="53" t="s">
        <v>118</v>
      </c>
      <c r="B37" s="54">
        <v>1E-3</v>
      </c>
      <c r="D37" t="s">
        <v>51</v>
      </c>
      <c r="E37">
        <v>4.25</v>
      </c>
      <c r="K37" s="63" t="s">
        <v>119</v>
      </c>
      <c r="L37" s="63">
        <f>L30*L36</f>
        <v>46.988895861852825</v>
      </c>
    </row>
    <row r="38" spans="1:12" x14ac:dyDescent="0.2">
      <c r="K38" s="57"/>
      <c r="L38" s="59"/>
    </row>
    <row r="39" spans="1:12" x14ac:dyDescent="0.2">
      <c r="A39" t="s">
        <v>120</v>
      </c>
      <c r="B39">
        <v>0.3</v>
      </c>
      <c r="D39" t="s">
        <v>121</v>
      </c>
      <c r="K39" s="59" t="s">
        <v>122</v>
      </c>
      <c r="L39" s="59">
        <v>29</v>
      </c>
    </row>
    <row r="40" spans="1:12" x14ac:dyDescent="0.2">
      <c r="D40" t="s">
        <v>123</v>
      </c>
      <c r="K40" s="65" t="s">
        <v>124</v>
      </c>
      <c r="L40" s="63">
        <f>ROUND(L39*L30,0)</f>
        <v>41</v>
      </c>
    </row>
    <row r="41" spans="1:12" x14ac:dyDescent="0.2">
      <c r="K41" s="59" t="s">
        <v>125</v>
      </c>
      <c r="L41" s="59">
        <v>1.5</v>
      </c>
    </row>
    <row r="42" spans="1:12" x14ac:dyDescent="0.2">
      <c r="D42" t="s">
        <v>126</v>
      </c>
      <c r="K42" s="59" t="s">
        <v>127</v>
      </c>
      <c r="L42" s="59">
        <f>L39*L41/(COS($E$12))</f>
        <v>50.229473419497438</v>
      </c>
    </row>
    <row r="43" spans="1:12" x14ac:dyDescent="0.2">
      <c r="K43" s="63" t="s">
        <v>128</v>
      </c>
      <c r="L43" s="59">
        <f>L40*L41/(COS(($E$12)))</f>
        <v>71.014083110323966</v>
      </c>
    </row>
    <row r="44" spans="1:12" x14ac:dyDescent="0.2">
      <c r="K44" s="71" t="s">
        <v>129</v>
      </c>
      <c r="L44">
        <f>MAX(L42*L29,L43*L29)</f>
        <v>21.304224933097188</v>
      </c>
    </row>
    <row r="45" spans="1:12" x14ac:dyDescent="0.2">
      <c r="K45" s="71" t="s">
        <v>130</v>
      </c>
      <c r="L45">
        <v>2.5</v>
      </c>
    </row>
    <row r="46" spans="1:12" x14ac:dyDescent="0.2">
      <c r="K46" s="71" t="s">
        <v>131</v>
      </c>
      <c r="L46">
        <v>190</v>
      </c>
    </row>
    <row r="47" spans="1:12" x14ac:dyDescent="0.2">
      <c r="K47" s="71" t="s">
        <v>133</v>
      </c>
      <c r="L47">
        <v>0.83</v>
      </c>
    </row>
    <row r="48" spans="1:12" x14ac:dyDescent="0.2">
      <c r="K48" s="71" t="s">
        <v>134</v>
      </c>
      <c r="L48">
        <v>0.96</v>
      </c>
    </row>
    <row r="53" spans="11:12" x14ac:dyDescent="0.2">
      <c r="K53" t="s">
        <v>135</v>
      </c>
      <c r="L53">
        <f>L40/L39</f>
        <v>1.4137931034482758</v>
      </c>
    </row>
    <row r="54" spans="11:12" x14ac:dyDescent="0.2">
      <c r="K54" t="s">
        <v>136</v>
      </c>
      <c r="L54">
        <f>L41*L29*(L42^2)*$E$24/(2*L22*1000*L21*L25*L28)</f>
        <v>2.2344459779972388</v>
      </c>
    </row>
    <row r="55" spans="11:12" x14ac:dyDescent="0.2">
      <c r="K55" t="s">
        <v>137</v>
      </c>
      <c r="L55">
        <f>(((L42^3)*(L53/(L53+1))/((L25*IF(ISNUMBER(L27),L27,L26)*L31)*2*L22*1000))^0.5)*($E$25/(L45*L46*L47*L48))</f>
        <v>2.3290828349121493</v>
      </c>
    </row>
    <row r="56" spans="11:12" x14ac:dyDescent="0.2">
      <c r="K56" t="s">
        <v>138</v>
      </c>
    </row>
    <row r="57" spans="11:12" x14ac:dyDescent="0.2">
      <c r="K57" t="s">
        <v>139</v>
      </c>
      <c r="L57">
        <f>L53*$E$37</f>
        <v>6.0086206896551726</v>
      </c>
    </row>
    <row r="59" spans="11:12" x14ac:dyDescent="0.2">
      <c r="K59" t="s">
        <v>140</v>
      </c>
      <c r="L59">
        <f>L39*(1/COS($E$12))^3</f>
        <v>44.648420817331058</v>
      </c>
    </row>
    <row r="60" spans="11:12" x14ac:dyDescent="0.2">
      <c r="K60" t="s">
        <v>141</v>
      </c>
      <c r="L60">
        <f>L40*(1/COS($E$12))^3</f>
        <v>63.123629431399074</v>
      </c>
    </row>
    <row r="61" spans="11:12" x14ac:dyDescent="0.2">
      <c r="K61" t="s">
        <v>142</v>
      </c>
      <c r="L61">
        <f>L60+L59</f>
        <v>107.77205024873012</v>
      </c>
    </row>
    <row r="62" spans="11:12" x14ac:dyDescent="0.2">
      <c r="K62" t="s">
        <v>143</v>
      </c>
      <c r="L62">
        <f>0.5*L61</f>
        <v>53.886025124365062</v>
      </c>
    </row>
    <row r="63" spans="11:12" x14ac:dyDescent="0.2">
      <c r="K63" t="s">
        <v>144</v>
      </c>
      <c r="L63">
        <v>0.3</v>
      </c>
    </row>
    <row r="64" spans="11:12" x14ac:dyDescent="0.2">
      <c r="K64" t="s">
        <v>145</v>
      </c>
      <c r="L64">
        <v>0.3</v>
      </c>
    </row>
  </sheetData>
  <conditionalFormatting sqref="N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{A4F1F5E2-E2E6-2544-9053-9E94EE6E62A2}</x14:id>
        </ext>
      </extLst>
    </cfRule>
  </conditionalFormatting>
  <conditionalFormatting sqref="N4:O13 N14:N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{17816C55-A92E-0C43-A3C5-B5D74CB414FC}</x14:id>
        </ext>
      </extLst>
    </cfRule>
  </conditionalFormatting>
  <conditionalFormatting sqref="O6:O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{B48DB9DD-6003-924B-8BCF-2C3B6359C699}</x14:id>
        </ext>
      </extLst>
    </cfRule>
  </conditionalFormatting>
  <hyperlinks>
    <hyperlink ref="B20" r:id="rId1" xr:uid="{B88306DA-601D-BF42-AD53-4DF656DFB4DA}"/>
  </hyperlink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F1F5E2-E2E6-2544-9053-9E94EE6E62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17816C55-A92E-0C43-A3C5-B5D74CB414F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N4:O13 N14:N16</xm:sqref>
        </x14:conditionalFormatting>
        <x14:conditionalFormatting xmlns:xm="http://schemas.microsoft.com/office/excel/2006/main">
          <x14:cfRule type="dataBar" id="{B48DB9DD-6003-924B-8BCF-2C3B6359C69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O6:O16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893C-FB92-E64C-99EA-24DDC43B5337}">
  <dimension ref="A1:O64"/>
  <sheetViews>
    <sheetView topLeftCell="L2" zoomScale="143" workbookViewId="0">
      <selection activeCell="U29" sqref="U29"/>
    </sheetView>
  </sheetViews>
  <sheetFormatPr baseColWidth="10" defaultColWidth="11" defaultRowHeight="16" x14ac:dyDescent="0.2"/>
  <cols>
    <col min="1" max="1" width="29.33203125" customWidth="1"/>
    <col min="11" max="11" width="24.5" customWidth="1"/>
    <col min="12" max="12" width="28.5" customWidth="1"/>
    <col min="14" max="14" width="23.33203125" customWidth="1"/>
    <col min="15" max="15" width="27.5" customWidth="1"/>
  </cols>
  <sheetData>
    <row r="1" spans="1:15" x14ac:dyDescent="0.2">
      <c r="A1" t="s">
        <v>58</v>
      </c>
    </row>
    <row r="2" spans="1:15" x14ac:dyDescent="0.2">
      <c r="A2" t="s">
        <v>59</v>
      </c>
    </row>
    <row r="3" spans="1:15" ht="17" thickBot="1" x14ac:dyDescent="0.25"/>
    <row r="4" spans="1:15" ht="17" thickBot="1" x14ac:dyDescent="0.25">
      <c r="A4" s="53" t="s">
        <v>60</v>
      </c>
      <c r="B4" s="52">
        <f>'Gear Ratio and forces'!B10</f>
        <v>158.41</v>
      </c>
      <c r="K4" s="56" t="s">
        <v>63</v>
      </c>
      <c r="L4" s="64"/>
      <c r="N4" s="75" t="s">
        <v>53</v>
      </c>
      <c r="O4" s="75"/>
    </row>
    <row r="5" spans="1:15" ht="17" thickBot="1" x14ac:dyDescent="0.25">
      <c r="A5" t="s">
        <v>66</v>
      </c>
      <c r="B5" s="52">
        <f>'Gear Ratio and forces'!B11</f>
        <v>3500</v>
      </c>
      <c r="K5" s="68" t="s">
        <v>67</v>
      </c>
      <c r="L5" s="61"/>
      <c r="N5" s="75"/>
    </row>
    <row r="6" spans="1:15" x14ac:dyDescent="0.2">
      <c r="N6" s="75" t="s">
        <v>54</v>
      </c>
      <c r="O6">
        <f>2*L22/L42</f>
        <v>3.4719370830767571</v>
      </c>
    </row>
    <row r="7" spans="1:15" x14ac:dyDescent="0.2">
      <c r="A7" s="53" t="s">
        <v>69</v>
      </c>
      <c r="B7">
        <v>1.5</v>
      </c>
      <c r="K7" s="59" t="s">
        <v>69</v>
      </c>
      <c r="L7" s="59">
        <v>1.5</v>
      </c>
      <c r="N7" s="75"/>
    </row>
    <row r="8" spans="1:15" x14ac:dyDescent="0.2">
      <c r="N8" s="75"/>
    </row>
    <row r="9" spans="1:15" x14ac:dyDescent="0.2">
      <c r="A9" t="s">
        <v>70</v>
      </c>
      <c r="B9">
        <v>10000</v>
      </c>
      <c r="C9" t="s">
        <v>71</v>
      </c>
      <c r="D9" t="s">
        <v>72</v>
      </c>
      <c r="K9" s="57" t="s">
        <v>60</v>
      </c>
      <c r="L9" s="60">
        <v>84.19</v>
      </c>
      <c r="N9" s="75" t="s">
        <v>55</v>
      </c>
      <c r="O9">
        <f>O6*TAN($F$12)</f>
        <v>7.7672820430648963</v>
      </c>
    </row>
    <row r="10" spans="1:15" x14ac:dyDescent="0.2">
      <c r="D10" s="53" t="s">
        <v>73</v>
      </c>
      <c r="E10" t="s">
        <v>74</v>
      </c>
      <c r="F10" t="s">
        <v>151</v>
      </c>
      <c r="K10" s="59" t="s">
        <v>66</v>
      </c>
      <c r="L10" s="60">
        <v>3500</v>
      </c>
      <c r="N10" s="75"/>
    </row>
    <row r="11" spans="1:15" x14ac:dyDescent="0.2">
      <c r="D11" s="53"/>
      <c r="K11" t="s">
        <v>75</v>
      </c>
      <c r="L11">
        <f>PI()*L10*L42/(1000*60)</f>
        <v>13.331425327121497</v>
      </c>
      <c r="N11" s="75"/>
    </row>
    <row r="12" spans="1:15" x14ac:dyDescent="0.2">
      <c r="A12" t="s">
        <v>76</v>
      </c>
      <c r="B12">
        <f>B9*B5*60</f>
        <v>2100000000</v>
      </c>
      <c r="D12">
        <v>1.5</v>
      </c>
      <c r="E12">
        <f>RADIANS(30)</f>
        <v>0.52359877559829882</v>
      </c>
      <c r="F12">
        <v>20</v>
      </c>
      <c r="K12" t="s">
        <v>77</v>
      </c>
      <c r="L12">
        <f>PI()*L10*L43/(1000*60)</f>
        <v>12.590790586725861</v>
      </c>
      <c r="N12" s="75" t="s">
        <v>56</v>
      </c>
      <c r="O12">
        <f>O6/(COS($F$12)*COS(F12))</f>
        <v>20.848597112599698</v>
      </c>
    </row>
    <row r="13" spans="1:15" x14ac:dyDescent="0.2">
      <c r="K13" s="57" t="s">
        <v>70</v>
      </c>
      <c r="L13" s="59">
        <v>10000</v>
      </c>
      <c r="N13" s="75"/>
    </row>
    <row r="14" spans="1:15" x14ac:dyDescent="0.2">
      <c r="A14" t="s">
        <v>78</v>
      </c>
      <c r="B14">
        <v>1</v>
      </c>
      <c r="K14" s="59"/>
      <c r="L14" s="59"/>
      <c r="N14" s="75" t="s">
        <v>33</v>
      </c>
    </row>
    <row r="15" spans="1:15" x14ac:dyDescent="0.2">
      <c r="A15" t="s">
        <v>79</v>
      </c>
      <c r="B15">
        <v>1</v>
      </c>
      <c r="K15" s="59" t="s">
        <v>76</v>
      </c>
      <c r="L15" s="59">
        <f>L13*L10*60</f>
        <v>2100000000</v>
      </c>
      <c r="N15" s="75" t="s">
        <v>57</v>
      </c>
      <c r="O15">
        <f>O6*TAN($E$12)</f>
        <v>2.0045238095238092</v>
      </c>
    </row>
    <row r="16" spans="1:15" x14ac:dyDescent="0.2">
      <c r="A16" t="s">
        <v>81</v>
      </c>
      <c r="B16">
        <v>1</v>
      </c>
      <c r="N16" s="75"/>
    </row>
    <row r="17" spans="1:14" x14ac:dyDescent="0.2">
      <c r="A17" t="s">
        <v>82</v>
      </c>
      <c r="B17">
        <v>1</v>
      </c>
      <c r="K17" s="58" t="s">
        <v>78</v>
      </c>
      <c r="L17" s="59">
        <v>1</v>
      </c>
    </row>
    <row r="18" spans="1:14" x14ac:dyDescent="0.2">
      <c r="K18" s="58" t="s">
        <v>79</v>
      </c>
      <c r="L18" s="59">
        <v>1</v>
      </c>
    </row>
    <row r="19" spans="1:14" x14ac:dyDescent="0.2">
      <c r="K19" s="58" t="s">
        <v>81</v>
      </c>
      <c r="L19" s="59">
        <v>1</v>
      </c>
      <c r="N19" t="s">
        <v>152</v>
      </c>
    </row>
    <row r="20" spans="1:14" x14ac:dyDescent="0.2">
      <c r="A20" s="53" t="s">
        <v>83</v>
      </c>
      <c r="B20" s="69" t="s">
        <v>84</v>
      </c>
      <c r="K20" s="58" t="s">
        <v>82</v>
      </c>
      <c r="L20" s="59">
        <v>1.2</v>
      </c>
    </row>
    <row r="21" spans="1:14" x14ac:dyDescent="0.2">
      <c r="K21" s="58" t="s">
        <v>85</v>
      </c>
      <c r="L21" s="59">
        <v>2.9</v>
      </c>
    </row>
    <row r="22" spans="1:14" x14ac:dyDescent="0.2">
      <c r="A22" s="53" t="s">
        <v>86</v>
      </c>
      <c r="D22" s="53" t="s">
        <v>87</v>
      </c>
      <c r="E22" t="s">
        <v>88</v>
      </c>
      <c r="F22" t="s">
        <v>89</v>
      </c>
      <c r="K22" s="58" t="s">
        <v>90</v>
      </c>
      <c r="L22" s="59">
        <f>L7*L9</f>
        <v>126.285</v>
      </c>
    </row>
    <row r="23" spans="1:14" x14ac:dyDescent="0.2">
      <c r="A23" s="53"/>
      <c r="D23" s="53"/>
      <c r="K23" s="70" t="s">
        <v>91</v>
      </c>
      <c r="L23" s="71">
        <v>6</v>
      </c>
    </row>
    <row r="24" spans="1:14" x14ac:dyDescent="0.2">
      <c r="A24" t="s">
        <v>92</v>
      </c>
      <c r="B24">
        <v>1500</v>
      </c>
      <c r="D24" t="s">
        <v>93</v>
      </c>
      <c r="E24" s="52">
        <f>B25*B14*B16*B17</f>
        <v>920</v>
      </c>
      <c r="K24" s="70" t="s">
        <v>94</v>
      </c>
      <c r="L24" s="71">
        <v>1.32</v>
      </c>
    </row>
    <row r="25" spans="1:14" x14ac:dyDescent="0.2">
      <c r="A25" t="s">
        <v>95</v>
      </c>
      <c r="B25">
        <v>920</v>
      </c>
      <c r="D25" t="s">
        <v>96</v>
      </c>
      <c r="E25">
        <f>B24*B15*SQRT(B17)</f>
        <v>1500</v>
      </c>
      <c r="K25" s="62" t="s">
        <v>97</v>
      </c>
      <c r="L25" s="62">
        <f>1+0.6*(L24-1)</f>
        <v>1.1919999999999999</v>
      </c>
    </row>
    <row r="26" spans="1:14" x14ac:dyDescent="0.2">
      <c r="A26" t="s">
        <v>98</v>
      </c>
      <c r="B26">
        <v>1.2749999999999999</v>
      </c>
      <c r="K26" s="59" t="s">
        <v>99</v>
      </c>
      <c r="L26" s="59">
        <v>1.7</v>
      </c>
    </row>
    <row r="27" spans="1:14" x14ac:dyDescent="0.2">
      <c r="A27" t="s">
        <v>100</v>
      </c>
      <c r="B27">
        <v>1.94</v>
      </c>
      <c r="D27" s="55" t="s">
        <v>101</v>
      </c>
      <c r="E27" s="18" t="s">
        <v>102</v>
      </c>
      <c r="F27" s="53" t="s">
        <v>19</v>
      </c>
      <c r="G27" s="53" t="s">
        <v>22</v>
      </c>
      <c r="K27" s="59" t="s">
        <v>103</v>
      </c>
      <c r="L27" s="59" cm="1">
        <f t="array" ref="L27">IF(L26&gt;1.6,(L26-1)*0.5+1,N/A)</f>
        <v>1.35</v>
      </c>
    </row>
    <row r="28" spans="1:14" x14ac:dyDescent="0.2">
      <c r="A28" t="s">
        <v>104</v>
      </c>
      <c r="D28">
        <v>1</v>
      </c>
      <c r="E28">
        <f>'Gear Ratio and forces'!H2/4.25</f>
        <v>2.1176470588235294</v>
      </c>
      <c r="F28">
        <f>SQRT(E28)</f>
        <v>1.4552137502179978</v>
      </c>
      <c r="G28" cm="1">
        <f t="array" ref="G28:G30">SQRT(E28:E30)</f>
        <v>1.4552137502179978</v>
      </c>
      <c r="K28" s="59" t="s">
        <v>105</v>
      </c>
      <c r="L28" s="59">
        <f>IF(ISNUMBER(L27),0.9*L27,0.9*L26)</f>
        <v>1.2150000000000001</v>
      </c>
    </row>
    <row r="29" spans="1:14" x14ac:dyDescent="0.2">
      <c r="D29">
        <v>2</v>
      </c>
      <c r="E29">
        <f>'Gear Ratio and forces'!H3/4.25</f>
        <v>1.411764705882353</v>
      </c>
      <c r="F29">
        <f t="shared" ref="F29:F30" si="0">SQRT(E29)</f>
        <v>1.1881770515720091</v>
      </c>
      <c r="G29">
        <v>1.1881770515720091</v>
      </c>
      <c r="K29" s="59" t="s">
        <v>106</v>
      </c>
      <c r="L29" s="59">
        <v>0.3</v>
      </c>
    </row>
    <row r="30" spans="1:14" x14ac:dyDescent="0.2">
      <c r="A30" s="53" t="s">
        <v>107</v>
      </c>
      <c r="D30">
        <v>3</v>
      </c>
      <c r="E30">
        <f>'Gear Ratio and forces'!H4/4.25</f>
        <v>0.94117647058823528</v>
      </c>
      <c r="F30">
        <f t="shared" si="0"/>
        <v>0.97014250014533188</v>
      </c>
      <c r="G30">
        <v>0.97014250014533188</v>
      </c>
      <c r="K30" s="62" t="s">
        <v>108</v>
      </c>
      <c r="L30" s="59">
        <v>0.94099999999999995</v>
      </c>
    </row>
    <row r="31" spans="1:14" x14ac:dyDescent="0.2">
      <c r="A31" t="s">
        <v>109</v>
      </c>
      <c r="B31">
        <v>270</v>
      </c>
      <c r="D31">
        <v>4</v>
      </c>
      <c r="E31">
        <f>'Gear Ratio and forces'!H5/4.25</f>
        <v>0.70588235294117652</v>
      </c>
      <c r="K31" s="71" t="s">
        <v>110</v>
      </c>
      <c r="L31">
        <v>1.2</v>
      </c>
    </row>
    <row r="32" spans="1:14" x14ac:dyDescent="0.2">
      <c r="A32" t="s">
        <v>111</v>
      </c>
      <c r="B32">
        <v>650</v>
      </c>
      <c r="D32">
        <v>5</v>
      </c>
      <c r="E32">
        <f>'Gear Ratio and forces'!H6/4.25</f>
        <v>0.56470588235294117</v>
      </c>
      <c r="K32" s="57" t="s">
        <v>113</v>
      </c>
      <c r="L32" s="59">
        <f>700*((L22/L29)*(($B$26/$E$25)^2)*((L30+1)/L30)*(L25*IF(ISNUMBER(L27),L27,24)))^(1/3)</f>
        <v>70.221398384608236</v>
      </c>
    </row>
    <row r="33" spans="1:12" x14ac:dyDescent="0.2">
      <c r="K33" s="59" t="s">
        <v>115</v>
      </c>
      <c r="L33" s="59">
        <f>L30*L32</f>
        <v>66.078335879916352</v>
      </c>
    </row>
    <row r="34" spans="1:12" x14ac:dyDescent="0.2">
      <c r="K34" s="65" t="s">
        <v>116</v>
      </c>
      <c r="L34" s="63">
        <f>2*L22*(10^3)*L21*$B$27*L25*L28/(L29*$E$24*L32^2)</f>
        <v>1.5121190887127087</v>
      </c>
    </row>
    <row r="35" spans="1:12" x14ac:dyDescent="0.2">
      <c r="K35" s="59"/>
      <c r="L35" s="59"/>
    </row>
    <row r="36" spans="1:12" x14ac:dyDescent="0.2">
      <c r="K36" s="59" t="s">
        <v>117</v>
      </c>
      <c r="L36" s="59">
        <f>(L32/L34)*COS(($E$12))</f>
        <v>40.217411012322984</v>
      </c>
    </row>
    <row r="37" spans="1:12" x14ac:dyDescent="0.2">
      <c r="A37" s="53" t="s">
        <v>118</v>
      </c>
      <c r="B37" s="54">
        <v>1E-3</v>
      </c>
      <c r="D37" t="s">
        <v>51</v>
      </c>
      <c r="E37">
        <v>4.25</v>
      </c>
      <c r="K37" s="63" t="s">
        <v>119</v>
      </c>
      <c r="L37" s="63">
        <f>L30*L36</f>
        <v>37.844583762595924</v>
      </c>
    </row>
    <row r="38" spans="1:12" x14ac:dyDescent="0.2">
      <c r="K38" s="57"/>
      <c r="L38" s="59"/>
    </row>
    <row r="39" spans="1:12" x14ac:dyDescent="0.2">
      <c r="A39" t="s">
        <v>120</v>
      </c>
      <c r="B39">
        <v>0.3</v>
      </c>
      <c r="D39" t="s">
        <v>121</v>
      </c>
      <c r="K39" s="59" t="s">
        <v>122</v>
      </c>
      <c r="L39" s="59">
        <v>36</v>
      </c>
    </row>
    <row r="40" spans="1:12" x14ac:dyDescent="0.2">
      <c r="D40" t="s">
        <v>123</v>
      </c>
      <c r="K40" s="65" t="s">
        <v>124</v>
      </c>
      <c r="L40" s="63">
        <f>ROUND(L39*L30,0)</f>
        <v>34</v>
      </c>
    </row>
    <row r="41" spans="1:12" x14ac:dyDescent="0.2">
      <c r="K41" s="59" t="s">
        <v>125</v>
      </c>
      <c r="L41" s="59">
        <v>1.75</v>
      </c>
    </row>
    <row r="42" spans="1:12" x14ac:dyDescent="0.2">
      <c r="D42" t="s">
        <v>126</v>
      </c>
      <c r="K42" s="59" t="s">
        <v>127</v>
      </c>
      <c r="L42" s="59">
        <f>L39*L41/(COS($E$12))</f>
        <v>72.746133917892834</v>
      </c>
    </row>
    <row r="43" spans="1:12" x14ac:dyDescent="0.2">
      <c r="K43" s="63" t="s">
        <v>128</v>
      </c>
      <c r="L43" s="59">
        <f>L40*L41/(COS($E$12))</f>
        <v>68.704682033565462</v>
      </c>
    </row>
    <row r="44" spans="1:12" x14ac:dyDescent="0.2">
      <c r="K44" s="71" t="s">
        <v>129</v>
      </c>
      <c r="L44">
        <f>MAX(L42*L29,L43*L29)</f>
        <v>21.823840175367849</v>
      </c>
    </row>
    <row r="45" spans="1:12" x14ac:dyDescent="0.2">
      <c r="K45" s="74" t="s">
        <v>130</v>
      </c>
      <c r="L45" s="73">
        <v>2.5</v>
      </c>
    </row>
    <row r="46" spans="1:12" x14ac:dyDescent="0.2">
      <c r="K46" s="74" t="s">
        <v>131</v>
      </c>
      <c r="L46" s="73">
        <v>190</v>
      </c>
    </row>
    <row r="47" spans="1:12" x14ac:dyDescent="0.2">
      <c r="K47" s="74" t="s">
        <v>133</v>
      </c>
      <c r="L47" s="73">
        <v>0.83</v>
      </c>
    </row>
    <row r="48" spans="1:12" x14ac:dyDescent="0.2">
      <c r="K48" s="74" t="s">
        <v>134</v>
      </c>
      <c r="L48" s="73">
        <v>0.96</v>
      </c>
    </row>
    <row r="49" spans="11:12" x14ac:dyDescent="0.2">
      <c r="K49" s="73"/>
      <c r="L49" s="73"/>
    </row>
    <row r="50" spans="11:12" x14ac:dyDescent="0.2">
      <c r="K50" s="73"/>
      <c r="L50" s="73"/>
    </row>
    <row r="51" spans="11:12" x14ac:dyDescent="0.2">
      <c r="K51" s="73"/>
      <c r="L51" s="73"/>
    </row>
    <row r="52" spans="11:12" x14ac:dyDescent="0.2">
      <c r="K52" s="73"/>
      <c r="L52" s="73"/>
    </row>
    <row r="53" spans="11:12" x14ac:dyDescent="0.2">
      <c r="K53" s="73" t="s">
        <v>135</v>
      </c>
      <c r="L53" s="73">
        <f>L40/L39</f>
        <v>0.94444444444444442</v>
      </c>
    </row>
    <row r="54" spans="11:12" x14ac:dyDescent="0.2">
      <c r="K54" s="73" t="s">
        <v>136</v>
      </c>
      <c r="L54" s="73">
        <f>L41*L29*(MIN(L42,L43)^2)*$E$24/(2*L22*1000*L21*L25*L28)</f>
        <v>2.149252810591511</v>
      </c>
    </row>
    <row r="55" spans="11:12" x14ac:dyDescent="0.2">
      <c r="K55" s="73" t="s">
        <v>137</v>
      </c>
      <c r="L55" s="73">
        <f>(((MIN(L42,L43)^3)*(L53/(L53+1))/((L25*IF(ISNUMBER(L27),L27,L26)*L31)*2*L22*1000))^0.5)*($E$25/(L45*L46*L47*L48))</f>
        <v>2.2523285738685113</v>
      </c>
    </row>
    <row r="56" spans="11:12" x14ac:dyDescent="0.2">
      <c r="K56" s="73" t="s">
        <v>138</v>
      </c>
      <c r="L56" s="73"/>
    </row>
    <row r="57" spans="11:12" x14ac:dyDescent="0.2">
      <c r="K57" s="73" t="s">
        <v>139</v>
      </c>
      <c r="L57" s="73">
        <f>L53*$E$37</f>
        <v>4.0138888888888884</v>
      </c>
    </row>
    <row r="58" spans="11:12" x14ac:dyDescent="0.2">
      <c r="K58" s="73"/>
      <c r="L58" s="73"/>
    </row>
    <row r="59" spans="11:12" x14ac:dyDescent="0.2">
      <c r="K59" s="73" t="s">
        <v>140</v>
      </c>
      <c r="L59" s="73">
        <f>L39*(1/COS($E$12))^3</f>
        <v>55.42562584220407</v>
      </c>
    </row>
    <row r="60" spans="11:12" x14ac:dyDescent="0.2">
      <c r="K60" s="73" t="s">
        <v>141</v>
      </c>
      <c r="L60" s="73">
        <f>L40*(1/COS($E$12))^3</f>
        <v>52.346424406526062</v>
      </c>
    </row>
    <row r="61" spans="11:12" x14ac:dyDescent="0.2">
      <c r="K61" s="73" t="s">
        <v>142</v>
      </c>
      <c r="L61" s="73">
        <f>L60+L59</f>
        <v>107.77205024873012</v>
      </c>
    </row>
    <row r="62" spans="11:12" x14ac:dyDescent="0.2">
      <c r="K62" t="s">
        <v>143</v>
      </c>
      <c r="L62">
        <f>0.5*L61</f>
        <v>53.886025124365062</v>
      </c>
    </row>
    <row r="63" spans="11:12" x14ac:dyDescent="0.2">
      <c r="K63" t="s">
        <v>144</v>
      </c>
      <c r="L63">
        <v>0.3</v>
      </c>
    </row>
    <row r="64" spans="11:12" x14ac:dyDescent="0.2">
      <c r="K64" t="s">
        <v>145</v>
      </c>
      <c r="L64">
        <v>0.3</v>
      </c>
    </row>
  </sheetData>
  <conditionalFormatting sqref="N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{9E7A15F9-4374-4248-8D09-8849F99DEEE0}</x14:id>
        </ext>
      </extLst>
    </cfRule>
  </conditionalFormatting>
  <conditionalFormatting sqref="N4:O13 N14:N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{C7C8D240-0A75-944A-B2E2-21DDD2AC83FE}</x14:id>
        </ext>
      </extLst>
    </cfRule>
  </conditionalFormatting>
  <conditionalFormatting sqref="O6:O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{E4452291-38D1-9643-BD3A-AE190A7DDF23}</x14:id>
        </ext>
      </extLst>
    </cfRule>
  </conditionalFormatting>
  <hyperlinks>
    <hyperlink ref="B20" r:id="rId1" xr:uid="{8B582F7D-8E79-EF4E-9BAE-5F3BA993CB9B}"/>
  </hyperlink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7A15F9-4374-4248-8D09-8849F99DEE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C7C8D240-0A75-944A-B2E2-21DDD2AC83F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N4:O13 N14:N16</xm:sqref>
        </x14:conditionalFormatting>
        <x14:conditionalFormatting xmlns:xm="http://schemas.microsoft.com/office/excel/2006/main">
          <x14:cfRule type="dataBar" id="{E4452291-38D1-9643-BD3A-AE190A7DDF2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O6:O16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AACF-CDBE-6E46-8241-FEEA3FCA7A31}">
  <dimension ref="A1:O64"/>
  <sheetViews>
    <sheetView topLeftCell="D1" workbookViewId="0">
      <selection activeCell="N4" sqref="N4:O16"/>
    </sheetView>
  </sheetViews>
  <sheetFormatPr baseColWidth="10" defaultColWidth="11" defaultRowHeight="16" x14ac:dyDescent="0.2"/>
  <cols>
    <col min="11" max="11" width="19.33203125" customWidth="1"/>
    <col min="12" max="12" width="22" customWidth="1"/>
    <col min="14" max="14" width="23.1640625" customWidth="1"/>
    <col min="15" max="15" width="22.83203125" customWidth="1"/>
  </cols>
  <sheetData>
    <row r="1" spans="1:15" x14ac:dyDescent="0.2">
      <c r="A1" t="s">
        <v>58</v>
      </c>
    </row>
    <row r="2" spans="1:15" x14ac:dyDescent="0.2">
      <c r="A2" t="s">
        <v>59</v>
      </c>
    </row>
    <row r="3" spans="1:15" ht="17" thickBot="1" x14ac:dyDescent="0.25"/>
    <row r="4" spans="1:15" ht="17" thickBot="1" x14ac:dyDescent="0.25">
      <c r="A4" s="53" t="s">
        <v>60</v>
      </c>
      <c r="B4" s="52">
        <f>'Gear Ratio and forces'!B10</f>
        <v>158.41</v>
      </c>
      <c r="K4" s="56" t="s">
        <v>64</v>
      </c>
      <c r="L4" s="64"/>
      <c r="N4" s="75" t="s">
        <v>53</v>
      </c>
      <c r="O4" s="75"/>
    </row>
    <row r="5" spans="1:15" ht="17" thickBot="1" x14ac:dyDescent="0.25">
      <c r="A5" t="s">
        <v>66</v>
      </c>
      <c r="B5" s="52">
        <f>'Gear Ratio and forces'!B11</f>
        <v>3500</v>
      </c>
      <c r="K5" s="68" t="s">
        <v>67</v>
      </c>
      <c r="L5" s="61"/>
      <c r="N5" s="75"/>
    </row>
    <row r="6" spans="1:15" x14ac:dyDescent="0.2">
      <c r="N6" s="75" t="s">
        <v>54</v>
      </c>
      <c r="O6">
        <f>2*L22/L42</f>
        <v>4.6394218059880643</v>
      </c>
    </row>
    <row r="7" spans="1:15" x14ac:dyDescent="0.2">
      <c r="A7" s="53" t="s">
        <v>69</v>
      </c>
      <c r="B7">
        <v>1.5</v>
      </c>
      <c r="K7" s="59" t="s">
        <v>69</v>
      </c>
      <c r="L7" s="59">
        <v>1.5</v>
      </c>
      <c r="N7" s="75"/>
    </row>
    <row r="8" spans="1:15" x14ac:dyDescent="0.2">
      <c r="N8" s="75"/>
    </row>
    <row r="9" spans="1:15" x14ac:dyDescent="0.2">
      <c r="A9" t="s">
        <v>70</v>
      </c>
      <c r="B9">
        <v>10000</v>
      </c>
      <c r="C9" t="s">
        <v>71</v>
      </c>
      <c r="D9" t="s">
        <v>72</v>
      </c>
      <c r="K9" s="57" t="s">
        <v>60</v>
      </c>
      <c r="L9" s="60">
        <v>125</v>
      </c>
      <c r="N9" s="75" t="s">
        <v>55</v>
      </c>
      <c r="O9">
        <f>O6*TAN($F$12)</f>
        <v>10.379133268141119</v>
      </c>
    </row>
    <row r="10" spans="1:15" x14ac:dyDescent="0.2">
      <c r="D10" s="53" t="s">
        <v>73</v>
      </c>
      <c r="E10" t="s">
        <v>74</v>
      </c>
      <c r="F10" t="s">
        <v>151</v>
      </c>
      <c r="K10" s="59" t="s">
        <v>66</v>
      </c>
      <c r="L10" s="60">
        <v>3500</v>
      </c>
      <c r="N10" s="75"/>
    </row>
    <row r="11" spans="1:15" x14ac:dyDescent="0.2">
      <c r="D11" s="53"/>
      <c r="K11" t="s">
        <v>75</v>
      </c>
      <c r="L11">
        <f>PI()*L10*L42/(1000*60)</f>
        <v>14.812694807912777</v>
      </c>
      <c r="N11" s="75"/>
    </row>
    <row r="12" spans="1:15" x14ac:dyDescent="0.2">
      <c r="A12" t="s">
        <v>76</v>
      </c>
      <c r="B12">
        <f>B9*B5*60</f>
        <v>2100000000</v>
      </c>
      <c r="D12">
        <v>1.5</v>
      </c>
      <c r="E12">
        <f>RADIANS(30)</f>
        <v>0.52359877559829882</v>
      </c>
      <c r="F12">
        <v>20</v>
      </c>
      <c r="K12" t="s">
        <v>77</v>
      </c>
      <c r="L12">
        <f>PI()*L10*L43/(1000*60)</f>
        <v>10.58049629136627</v>
      </c>
      <c r="N12" s="75" t="s">
        <v>56</v>
      </c>
      <c r="O12">
        <f>O6/(COS($F$12)*COS(F12))</f>
        <v>27.859213388377075</v>
      </c>
    </row>
    <row r="13" spans="1:15" x14ac:dyDescent="0.2">
      <c r="K13" s="57" t="s">
        <v>70</v>
      </c>
      <c r="L13" s="59">
        <v>10000</v>
      </c>
      <c r="N13" s="75"/>
    </row>
    <row r="14" spans="1:15" x14ac:dyDescent="0.2">
      <c r="A14" t="s">
        <v>78</v>
      </c>
      <c r="B14">
        <v>1</v>
      </c>
      <c r="K14" s="59"/>
      <c r="L14" s="59"/>
      <c r="N14" s="75" t="s">
        <v>33</v>
      </c>
    </row>
    <row r="15" spans="1:15" x14ac:dyDescent="0.2">
      <c r="A15" t="s">
        <v>79</v>
      </c>
      <c r="B15">
        <v>1</v>
      </c>
      <c r="K15" s="59" t="s">
        <v>76</v>
      </c>
      <c r="L15" s="59">
        <f>L13*L10*60</f>
        <v>2100000000</v>
      </c>
      <c r="N15" s="75" t="s">
        <v>57</v>
      </c>
      <c r="O15">
        <f>O6*TAN($E$12)</f>
        <v>2.6785714285714279</v>
      </c>
    </row>
    <row r="16" spans="1:15" x14ac:dyDescent="0.2">
      <c r="A16" t="s">
        <v>81</v>
      </c>
      <c r="B16">
        <v>1</v>
      </c>
      <c r="N16" s="75"/>
    </row>
    <row r="17" spans="1:14" x14ac:dyDescent="0.2">
      <c r="A17" t="s">
        <v>82</v>
      </c>
      <c r="B17">
        <v>1</v>
      </c>
      <c r="K17" s="58" t="s">
        <v>78</v>
      </c>
      <c r="L17" s="59">
        <v>1</v>
      </c>
    </row>
    <row r="18" spans="1:14" x14ac:dyDescent="0.2">
      <c r="K18" s="58" t="s">
        <v>79</v>
      </c>
      <c r="L18" s="59">
        <v>1</v>
      </c>
    </row>
    <row r="19" spans="1:14" x14ac:dyDescent="0.2">
      <c r="K19" s="58" t="s">
        <v>81</v>
      </c>
      <c r="L19" s="59">
        <v>1</v>
      </c>
      <c r="N19" t="s">
        <v>152</v>
      </c>
    </row>
    <row r="20" spans="1:14" x14ac:dyDescent="0.2">
      <c r="A20" s="53" t="s">
        <v>83</v>
      </c>
      <c r="B20" s="69" t="s">
        <v>84</v>
      </c>
      <c r="K20" s="58" t="s">
        <v>82</v>
      </c>
      <c r="L20" s="59">
        <v>1.2</v>
      </c>
    </row>
    <row r="21" spans="1:14" x14ac:dyDescent="0.2">
      <c r="K21" s="58" t="s">
        <v>85</v>
      </c>
      <c r="L21" s="59">
        <v>2.9</v>
      </c>
    </row>
    <row r="22" spans="1:14" x14ac:dyDescent="0.2">
      <c r="A22" s="53" t="s">
        <v>86</v>
      </c>
      <c r="D22" s="53" t="s">
        <v>87</v>
      </c>
      <c r="E22" t="s">
        <v>88</v>
      </c>
      <c r="F22" t="s">
        <v>89</v>
      </c>
      <c r="K22" s="58" t="s">
        <v>90</v>
      </c>
      <c r="L22" s="59">
        <f>L7*L9</f>
        <v>187.5</v>
      </c>
    </row>
    <row r="23" spans="1:14" x14ac:dyDescent="0.2">
      <c r="A23" s="53"/>
      <c r="D23" s="53"/>
      <c r="K23" s="70" t="s">
        <v>91</v>
      </c>
      <c r="L23" s="71">
        <v>6</v>
      </c>
    </row>
    <row r="24" spans="1:14" x14ac:dyDescent="0.2">
      <c r="A24" t="s">
        <v>92</v>
      </c>
      <c r="B24">
        <v>1500</v>
      </c>
      <c r="D24" t="s">
        <v>93</v>
      </c>
      <c r="E24" s="52">
        <f>B25*B14*B16*B17</f>
        <v>920</v>
      </c>
      <c r="K24" s="70" t="s">
        <v>94</v>
      </c>
      <c r="L24" s="71">
        <v>1.32</v>
      </c>
    </row>
    <row r="25" spans="1:14" x14ac:dyDescent="0.2">
      <c r="A25" t="s">
        <v>95</v>
      </c>
      <c r="B25">
        <v>920</v>
      </c>
      <c r="D25" t="s">
        <v>96</v>
      </c>
      <c r="E25">
        <f>B24*B15*SQRT(B17)</f>
        <v>1500</v>
      </c>
      <c r="K25" s="62" t="s">
        <v>97</v>
      </c>
      <c r="L25" s="62">
        <f>1+0.6*(L24-1)</f>
        <v>1.1919999999999999</v>
      </c>
    </row>
    <row r="26" spans="1:14" x14ac:dyDescent="0.2">
      <c r="A26" t="s">
        <v>98</v>
      </c>
      <c r="B26">
        <v>1.2749999999999999</v>
      </c>
      <c r="K26" s="59" t="s">
        <v>99</v>
      </c>
      <c r="L26" s="59">
        <v>1.6</v>
      </c>
    </row>
    <row r="27" spans="1:14" x14ac:dyDescent="0.2">
      <c r="A27" t="s">
        <v>100</v>
      </c>
      <c r="B27">
        <v>1.94</v>
      </c>
      <c r="D27" s="55" t="s">
        <v>101</v>
      </c>
      <c r="E27" s="18" t="s">
        <v>102</v>
      </c>
      <c r="F27" s="53" t="s">
        <v>19</v>
      </c>
      <c r="G27" s="53" t="s">
        <v>22</v>
      </c>
      <c r="K27" s="59" t="s">
        <v>103</v>
      </c>
      <c r="L27" s="59" cm="1">
        <f t="array" ref="L27">IF(L26&gt;=1.6,(L26-1)*0.5+1,N/A)</f>
        <v>1.3</v>
      </c>
    </row>
    <row r="28" spans="1:14" x14ac:dyDescent="0.2">
      <c r="A28" t="s">
        <v>104</v>
      </c>
      <c r="D28">
        <v>1</v>
      </c>
      <c r="E28">
        <f>'Gear Ratio and forces'!H2/4.25</f>
        <v>2.1176470588235294</v>
      </c>
      <c r="F28">
        <f>SQRT(E28)</f>
        <v>1.4552137502179978</v>
      </c>
      <c r="G28" cm="1">
        <f t="array" ref="G28:G30">SQRT(E28:E30)</f>
        <v>1.4552137502179978</v>
      </c>
      <c r="K28" s="59" t="s">
        <v>105</v>
      </c>
      <c r="L28" s="59">
        <f>IF(ISNUMBER(L27),0.9*L27,0.9*L26)</f>
        <v>1.1700000000000002</v>
      </c>
    </row>
    <row r="29" spans="1:14" x14ac:dyDescent="0.2">
      <c r="D29">
        <v>2</v>
      </c>
      <c r="E29">
        <f>'Gear Ratio and forces'!H3/4.25</f>
        <v>1.411764705882353</v>
      </c>
      <c r="F29">
        <f t="shared" ref="F29:F30" si="0">SQRT(E29)</f>
        <v>1.1881770515720091</v>
      </c>
      <c r="G29">
        <v>1.1881770515720091</v>
      </c>
      <c r="K29" s="59" t="s">
        <v>106</v>
      </c>
      <c r="L29" s="59">
        <v>0.3</v>
      </c>
    </row>
    <row r="30" spans="1:14" x14ac:dyDescent="0.2">
      <c r="A30" s="53" t="s">
        <v>107</v>
      </c>
      <c r="D30">
        <v>3</v>
      </c>
      <c r="E30">
        <f>'Gear Ratio and forces'!H4/4.25</f>
        <v>0.94117647058823528</v>
      </c>
      <c r="F30">
        <f t="shared" si="0"/>
        <v>0.97014250014533188</v>
      </c>
      <c r="G30">
        <v>0.97014250014533188</v>
      </c>
      <c r="K30" s="62" t="s">
        <v>108</v>
      </c>
      <c r="L30" s="59">
        <f>$E$31</f>
        <v>0.70588235294117652</v>
      </c>
    </row>
    <row r="31" spans="1:14" x14ac:dyDescent="0.2">
      <c r="A31" t="s">
        <v>109</v>
      </c>
      <c r="B31">
        <v>270</v>
      </c>
      <c r="D31">
        <v>4</v>
      </c>
      <c r="E31">
        <f>'Gear Ratio and forces'!H5/4.25</f>
        <v>0.70588235294117652</v>
      </c>
      <c r="K31" s="71" t="s">
        <v>110</v>
      </c>
      <c r="L31">
        <v>1.2</v>
      </c>
    </row>
    <row r="32" spans="1:14" x14ac:dyDescent="0.2">
      <c r="A32" t="s">
        <v>111</v>
      </c>
      <c r="B32">
        <v>650</v>
      </c>
      <c r="D32">
        <v>5</v>
      </c>
      <c r="E32">
        <f>'Gear Ratio and forces'!H6/4.25</f>
        <v>0.56470588235294117</v>
      </c>
      <c r="K32" s="57" t="s">
        <v>113</v>
      </c>
      <c r="L32" s="59">
        <f>700*((L22/L29)*(($B$26/$E$25)^2)*((L30+1)/L30)*(L25*IF(ISNUMBER(L27),L27,24)))^(1/3)</f>
        <v>83.396812043717546</v>
      </c>
    </row>
    <row r="33" spans="1:12" x14ac:dyDescent="0.2">
      <c r="K33" s="59" t="s">
        <v>115</v>
      </c>
      <c r="L33" s="59">
        <f>L30*L32</f>
        <v>58.868337913212386</v>
      </c>
    </row>
    <row r="34" spans="1:12" x14ac:dyDescent="0.2">
      <c r="K34" s="65" t="s">
        <v>116</v>
      </c>
      <c r="L34" s="63">
        <f>2*L22*(10^3)*L21*$B$27*L25*L28/(L29*$E$24*L32^2)</f>
        <v>1.5327987293770009</v>
      </c>
    </row>
    <row r="35" spans="1:12" x14ac:dyDescent="0.2">
      <c r="K35" s="59"/>
      <c r="L35" s="59"/>
    </row>
    <row r="36" spans="1:12" x14ac:dyDescent="0.2">
      <c r="K36" s="59" t="s">
        <v>117</v>
      </c>
      <c r="L36" s="59">
        <f>(L32/L34)*COS(($E$12))</f>
        <v>47.118878976270061</v>
      </c>
    </row>
    <row r="37" spans="1:12" x14ac:dyDescent="0.2">
      <c r="A37" s="53" t="s">
        <v>118</v>
      </c>
      <c r="B37" s="54">
        <v>1E-3</v>
      </c>
      <c r="D37" t="s">
        <v>51</v>
      </c>
      <c r="E37">
        <v>4.25</v>
      </c>
      <c r="K37" s="63" t="s">
        <v>119</v>
      </c>
      <c r="L37" s="63">
        <f>L30*L36</f>
        <v>33.260385159720045</v>
      </c>
    </row>
    <row r="38" spans="1:12" x14ac:dyDescent="0.2">
      <c r="K38" s="57"/>
      <c r="L38" s="59"/>
    </row>
    <row r="39" spans="1:12" x14ac:dyDescent="0.2">
      <c r="A39" t="s">
        <v>120</v>
      </c>
      <c r="B39">
        <v>0.3</v>
      </c>
      <c r="D39" t="s">
        <v>121</v>
      </c>
      <c r="K39" s="59" t="s">
        <v>122</v>
      </c>
      <c r="L39" s="59">
        <v>35</v>
      </c>
    </row>
    <row r="40" spans="1:12" x14ac:dyDescent="0.2">
      <c r="D40" t="s">
        <v>123</v>
      </c>
      <c r="K40" s="65" t="s">
        <v>124</v>
      </c>
      <c r="L40" s="63">
        <f>ROUND(L39*L30,0)</f>
        <v>25</v>
      </c>
    </row>
    <row r="41" spans="1:12" x14ac:dyDescent="0.2">
      <c r="K41" s="59" t="s">
        <v>125</v>
      </c>
      <c r="L41" s="59">
        <v>2</v>
      </c>
    </row>
    <row r="42" spans="1:12" x14ac:dyDescent="0.2">
      <c r="D42" t="s">
        <v>126</v>
      </c>
      <c r="K42" s="59" t="s">
        <v>127</v>
      </c>
      <c r="L42" s="59">
        <f>L39*L41/(COS($E$12))</f>
        <v>80.829037686547608</v>
      </c>
    </row>
    <row r="43" spans="1:12" x14ac:dyDescent="0.2">
      <c r="K43" s="63" t="s">
        <v>128</v>
      </c>
      <c r="L43" s="59">
        <f>L40*L41/(COS($E$12))</f>
        <v>57.735026918962575</v>
      </c>
    </row>
    <row r="44" spans="1:12" x14ac:dyDescent="0.2">
      <c r="K44" s="71" t="s">
        <v>129</v>
      </c>
      <c r="L44">
        <f>MAX(L42*L29,L43*L29)</f>
        <v>24.248711305964282</v>
      </c>
    </row>
    <row r="45" spans="1:12" x14ac:dyDescent="0.2">
      <c r="K45" s="74" t="s">
        <v>130</v>
      </c>
      <c r="L45" s="73">
        <v>2.5</v>
      </c>
    </row>
    <row r="46" spans="1:12" x14ac:dyDescent="0.2">
      <c r="K46" s="74" t="s">
        <v>131</v>
      </c>
      <c r="L46" s="73">
        <v>190</v>
      </c>
    </row>
    <row r="47" spans="1:12" x14ac:dyDescent="0.2">
      <c r="K47" s="74" t="s">
        <v>133</v>
      </c>
      <c r="L47" s="73">
        <v>0.83</v>
      </c>
    </row>
    <row r="48" spans="1:12" x14ac:dyDescent="0.2">
      <c r="K48" s="74" t="s">
        <v>134</v>
      </c>
      <c r="L48" s="73">
        <v>0.96</v>
      </c>
    </row>
    <row r="49" spans="11:12" x14ac:dyDescent="0.2">
      <c r="K49" s="73"/>
      <c r="L49" s="73"/>
    </row>
    <row r="50" spans="11:12" x14ac:dyDescent="0.2">
      <c r="K50" s="73"/>
      <c r="L50" s="73"/>
    </row>
    <row r="51" spans="11:12" x14ac:dyDescent="0.2">
      <c r="K51" s="73"/>
      <c r="L51" s="73"/>
    </row>
    <row r="52" spans="11:12" x14ac:dyDescent="0.2">
      <c r="K52" s="73"/>
      <c r="L52" s="73"/>
    </row>
    <row r="53" spans="11:12" x14ac:dyDescent="0.2">
      <c r="K53" s="73" t="s">
        <v>135</v>
      </c>
      <c r="L53" s="73">
        <f>L40/L39</f>
        <v>0.7142857142857143</v>
      </c>
    </row>
    <row r="54" spans="11:12" x14ac:dyDescent="0.2">
      <c r="K54" s="73" t="s">
        <v>136</v>
      </c>
      <c r="L54" s="73">
        <f>L41*L29*(MIN(L42,L43)^2)*$E$24/(2*L22*1000*L21*L25*L28)</f>
        <v>1.2131833469486788</v>
      </c>
    </row>
    <row r="55" spans="11:12" x14ac:dyDescent="0.2">
      <c r="K55" s="73" t="s">
        <v>137</v>
      </c>
      <c r="L55" s="73">
        <f>(((MIN(L42,L43)^3)*(L53/(L53+1))/((L25*IF(ISNUMBER(L27),L27,L26)*L31)*2*L22*1000))^0.5)*($E$25/(L45*L46*L47*L48))</f>
        <v>1.3439580141522429</v>
      </c>
    </row>
    <row r="56" spans="11:12" x14ac:dyDescent="0.2">
      <c r="K56" s="73" t="s">
        <v>138</v>
      </c>
      <c r="L56" s="73"/>
    </row>
    <row r="57" spans="11:12" x14ac:dyDescent="0.2">
      <c r="K57" s="73" t="s">
        <v>139</v>
      </c>
      <c r="L57" s="73">
        <f>L53*$E$37</f>
        <v>3.0357142857142856</v>
      </c>
    </row>
    <row r="58" spans="11:12" x14ac:dyDescent="0.2">
      <c r="K58" s="73"/>
      <c r="L58" s="73"/>
    </row>
    <row r="59" spans="11:12" x14ac:dyDescent="0.2">
      <c r="K59" s="73" t="s">
        <v>140</v>
      </c>
      <c r="L59" s="73">
        <f>L39*(1/COS($E$12))^3</f>
        <v>53.886025124365062</v>
      </c>
    </row>
    <row r="60" spans="11:12" x14ac:dyDescent="0.2">
      <c r="K60" s="73" t="s">
        <v>141</v>
      </c>
      <c r="L60" s="73">
        <f>L40*(1/COS($E$12))^3</f>
        <v>38.490017945975048</v>
      </c>
    </row>
    <row r="61" spans="11:12" x14ac:dyDescent="0.2">
      <c r="K61" s="73" t="s">
        <v>142</v>
      </c>
      <c r="L61" s="73">
        <f>L60+L59</f>
        <v>92.376043070340103</v>
      </c>
    </row>
    <row r="62" spans="11:12" x14ac:dyDescent="0.2">
      <c r="K62" t="s">
        <v>143</v>
      </c>
      <c r="L62">
        <f>0.5*L61</f>
        <v>46.188021535170051</v>
      </c>
    </row>
    <row r="63" spans="11:12" x14ac:dyDescent="0.2">
      <c r="K63" t="s">
        <v>144</v>
      </c>
      <c r="L63">
        <v>0.3</v>
      </c>
    </row>
    <row r="64" spans="11:12" x14ac:dyDescent="0.2">
      <c r="K64" t="s">
        <v>145</v>
      </c>
      <c r="L64">
        <v>0.3</v>
      </c>
    </row>
  </sheetData>
  <conditionalFormatting sqref="N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{D395F9DE-03C9-8742-A373-5C675743A004}</x14:id>
        </ext>
      </extLst>
    </cfRule>
  </conditionalFormatting>
  <conditionalFormatting sqref="N4:O13 N14:N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{26458D88-66A8-D748-BA9D-C10374F953A9}</x14:id>
        </ext>
      </extLst>
    </cfRule>
  </conditionalFormatting>
  <conditionalFormatting sqref="O6:O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{80DAE625-83D3-8D40-8C8B-E91597AA055C}</x14:id>
        </ext>
      </extLst>
    </cfRule>
  </conditionalFormatting>
  <hyperlinks>
    <hyperlink ref="B20" r:id="rId1" xr:uid="{0C00E155-ED36-B943-BC4B-5C1B4AFE97CC}"/>
  </hyperlink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95F9DE-03C9-8742-A373-5C675743A0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26458D88-66A8-D748-BA9D-C10374F953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N4:O13 N14:N16</xm:sqref>
        </x14:conditionalFormatting>
        <x14:conditionalFormatting xmlns:xm="http://schemas.microsoft.com/office/excel/2006/main">
          <x14:cfRule type="dataBar" id="{80DAE625-83D3-8D40-8C8B-E91597AA05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O6:O16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DE62-0E94-2541-9B1C-05D2430D7CED}">
  <dimension ref="A1:N64"/>
  <sheetViews>
    <sheetView topLeftCell="A5" workbookViewId="0">
      <selection activeCell="M42" sqref="M42"/>
    </sheetView>
  </sheetViews>
  <sheetFormatPr baseColWidth="10" defaultColWidth="11" defaultRowHeight="16" x14ac:dyDescent="0.2"/>
  <cols>
    <col min="1" max="1" width="23.1640625" customWidth="1"/>
    <col min="2" max="2" width="27.33203125" customWidth="1"/>
    <col min="4" max="4" width="17.6640625" customWidth="1"/>
    <col min="10" max="10" width="17.33203125" customWidth="1"/>
    <col min="11" max="11" width="24.33203125" customWidth="1"/>
    <col min="13" max="13" width="15.6640625" customWidth="1"/>
    <col min="14" max="14" width="18" customWidth="1"/>
  </cols>
  <sheetData>
    <row r="1" spans="1:14" x14ac:dyDescent="0.2">
      <c r="A1" t="s">
        <v>58</v>
      </c>
    </row>
    <row r="2" spans="1:14" x14ac:dyDescent="0.2">
      <c r="A2" t="s">
        <v>59</v>
      </c>
    </row>
    <row r="3" spans="1:14" ht="17" thickBot="1" x14ac:dyDescent="0.25"/>
    <row r="4" spans="1:14" ht="17" thickBot="1" x14ac:dyDescent="0.25">
      <c r="A4" s="53" t="s">
        <v>60</v>
      </c>
      <c r="B4" s="52">
        <f>'Gear Ratio and forces'!B10</f>
        <v>158.41</v>
      </c>
      <c r="J4" s="56" t="s">
        <v>65</v>
      </c>
      <c r="K4" s="64"/>
      <c r="M4" s="75" t="s">
        <v>53</v>
      </c>
      <c r="N4" s="75"/>
    </row>
    <row r="5" spans="1:14" ht="17" thickBot="1" x14ac:dyDescent="0.25">
      <c r="A5" t="s">
        <v>66</v>
      </c>
      <c r="B5" s="52">
        <f>'Gear Ratio and forces'!B11</f>
        <v>3500</v>
      </c>
      <c r="J5" s="68" t="s">
        <v>67</v>
      </c>
      <c r="K5" s="61"/>
      <c r="M5" s="75"/>
    </row>
    <row r="6" spans="1:14" x14ac:dyDescent="0.2">
      <c r="M6" s="75" t="s">
        <v>54</v>
      </c>
      <c r="N6">
        <f>2*K22/K42</f>
        <v>3.517617543935716</v>
      </c>
    </row>
    <row r="7" spans="1:14" x14ac:dyDescent="0.2">
      <c r="A7" s="53" t="s">
        <v>69</v>
      </c>
      <c r="B7">
        <v>1.5</v>
      </c>
      <c r="J7" s="59" t="s">
        <v>69</v>
      </c>
      <c r="K7" s="59">
        <v>1.5</v>
      </c>
      <c r="M7" s="75"/>
    </row>
    <row r="8" spans="1:14" x14ac:dyDescent="0.2">
      <c r="M8" s="75"/>
    </row>
    <row r="9" spans="1:14" x14ac:dyDescent="0.2">
      <c r="A9" t="s">
        <v>70</v>
      </c>
      <c r="B9">
        <v>10000</v>
      </c>
      <c r="C9" t="s">
        <v>71</v>
      </c>
      <c r="D9" t="s">
        <v>72</v>
      </c>
      <c r="J9" s="57" t="s">
        <v>60</v>
      </c>
      <c r="K9" s="60">
        <v>158.41</v>
      </c>
      <c r="M9" s="75" t="s">
        <v>55</v>
      </c>
      <c r="N9">
        <f>N6*TAN($F$12)</f>
        <v>7.8694765860127465</v>
      </c>
    </row>
    <row r="10" spans="1:14" x14ac:dyDescent="0.2">
      <c r="D10" s="53" t="s">
        <v>73</v>
      </c>
      <c r="E10" t="s">
        <v>74</v>
      </c>
      <c r="F10" t="s">
        <v>151</v>
      </c>
      <c r="J10" s="59" t="s">
        <v>66</v>
      </c>
      <c r="K10" s="60">
        <v>3500</v>
      </c>
      <c r="M10" s="75"/>
    </row>
    <row r="11" spans="1:14" x14ac:dyDescent="0.2">
      <c r="D11" s="53"/>
      <c r="J11" t="s">
        <v>75</v>
      </c>
      <c r="K11">
        <f>PI()*K10*K42/(1000*60)</f>
        <v>24.758361321797071</v>
      </c>
      <c r="M11" s="75"/>
    </row>
    <row r="12" spans="1:14" x14ac:dyDescent="0.2">
      <c r="A12" t="s">
        <v>76</v>
      </c>
      <c r="B12">
        <f>B9*B5*60</f>
        <v>2100000000</v>
      </c>
      <c r="D12">
        <v>1.5</v>
      </c>
      <c r="E12">
        <f>RADIANS(30)</f>
        <v>0.52359877559829882</v>
      </c>
      <c r="F12">
        <v>20</v>
      </c>
      <c r="J12" t="s">
        <v>77</v>
      </c>
      <c r="K12">
        <f>PI()*K10*K43/(1000*60)</f>
        <v>13.966255104603476</v>
      </c>
      <c r="M12" s="75" t="s">
        <v>56</v>
      </c>
      <c r="N12">
        <f>N6/(COS($F$12)*COS(E12))</f>
        <v>9.9533776460192733</v>
      </c>
    </row>
    <row r="13" spans="1:14" x14ac:dyDescent="0.2">
      <c r="J13" s="57" t="s">
        <v>70</v>
      </c>
      <c r="K13" s="59">
        <v>10000</v>
      </c>
      <c r="M13" s="75"/>
    </row>
    <row r="14" spans="1:14" x14ac:dyDescent="0.2">
      <c r="A14" t="s">
        <v>78</v>
      </c>
      <c r="B14">
        <v>1</v>
      </c>
      <c r="J14" s="59"/>
      <c r="K14" s="59"/>
      <c r="M14" s="75" t="s">
        <v>33</v>
      </c>
    </row>
    <row r="15" spans="1:14" x14ac:dyDescent="0.2">
      <c r="A15" t="s">
        <v>79</v>
      </c>
      <c r="B15">
        <v>1</v>
      </c>
      <c r="J15" s="59" t="s">
        <v>76</v>
      </c>
      <c r="K15" s="59">
        <f>K13*K10*60</f>
        <v>2100000000</v>
      </c>
      <c r="M15" s="75" t="s">
        <v>57</v>
      </c>
      <c r="N15">
        <f>N6*TAN($E$12)</f>
        <v>2.0308974358974354</v>
      </c>
    </row>
    <row r="16" spans="1:14" x14ac:dyDescent="0.2">
      <c r="A16" t="s">
        <v>81</v>
      </c>
      <c r="B16">
        <v>1</v>
      </c>
      <c r="M16" s="75"/>
    </row>
    <row r="17" spans="1:13" x14ac:dyDescent="0.2">
      <c r="A17" t="s">
        <v>82</v>
      </c>
      <c r="B17">
        <v>1</v>
      </c>
      <c r="J17" s="58" t="s">
        <v>78</v>
      </c>
      <c r="K17" s="59">
        <v>1</v>
      </c>
    </row>
    <row r="18" spans="1:13" x14ac:dyDescent="0.2">
      <c r="J18" s="58" t="s">
        <v>79</v>
      </c>
      <c r="K18" s="59">
        <v>1</v>
      </c>
    </row>
    <row r="19" spans="1:13" x14ac:dyDescent="0.2">
      <c r="J19" s="58" t="s">
        <v>81</v>
      </c>
      <c r="K19" s="59">
        <v>1</v>
      </c>
      <c r="M19" t="s">
        <v>152</v>
      </c>
    </row>
    <row r="20" spans="1:13" x14ac:dyDescent="0.2">
      <c r="A20" s="53" t="s">
        <v>83</v>
      </c>
      <c r="B20" s="69" t="s">
        <v>84</v>
      </c>
      <c r="J20" s="58" t="s">
        <v>82</v>
      </c>
      <c r="K20" s="59">
        <v>1.2</v>
      </c>
    </row>
    <row r="21" spans="1:13" x14ac:dyDescent="0.2">
      <c r="J21" s="58" t="s">
        <v>85</v>
      </c>
      <c r="K21" s="59">
        <v>2.9</v>
      </c>
    </row>
    <row r="22" spans="1:13" x14ac:dyDescent="0.2">
      <c r="A22" s="53" t="s">
        <v>86</v>
      </c>
      <c r="D22" s="53" t="s">
        <v>87</v>
      </c>
      <c r="E22" t="s">
        <v>88</v>
      </c>
      <c r="F22" t="s">
        <v>89</v>
      </c>
      <c r="J22" s="58" t="s">
        <v>90</v>
      </c>
      <c r="K22" s="59">
        <f>K7*K9</f>
        <v>237.61500000000001</v>
      </c>
    </row>
    <row r="23" spans="1:13" x14ac:dyDescent="0.2">
      <c r="A23" s="53"/>
      <c r="D23" s="53"/>
      <c r="J23" s="70" t="s">
        <v>91</v>
      </c>
      <c r="K23" s="71">
        <v>6</v>
      </c>
    </row>
    <row r="24" spans="1:13" x14ac:dyDescent="0.2">
      <c r="A24" t="s">
        <v>92</v>
      </c>
      <c r="B24">
        <v>1500</v>
      </c>
      <c r="D24" t="s">
        <v>93</v>
      </c>
      <c r="E24" s="52">
        <f>B25*B14*B16*B17</f>
        <v>920</v>
      </c>
      <c r="J24" s="70" t="s">
        <v>94</v>
      </c>
      <c r="K24" s="71">
        <v>1.32</v>
      </c>
    </row>
    <row r="25" spans="1:13" x14ac:dyDescent="0.2">
      <c r="A25" t="s">
        <v>95</v>
      </c>
      <c r="B25">
        <v>920</v>
      </c>
      <c r="D25" t="s">
        <v>96</v>
      </c>
      <c r="E25">
        <f>B24*B15*SQRT(B17)</f>
        <v>1500</v>
      </c>
      <c r="J25" s="62" t="s">
        <v>97</v>
      </c>
      <c r="K25" s="62">
        <f>1+0.6*(K24-1)</f>
        <v>1.1919999999999999</v>
      </c>
    </row>
    <row r="26" spans="1:13" x14ac:dyDescent="0.2">
      <c r="A26" t="s">
        <v>98</v>
      </c>
      <c r="B26">
        <v>1.2749999999999999</v>
      </c>
      <c r="J26" s="59" t="s">
        <v>99</v>
      </c>
      <c r="K26" s="59">
        <v>1.75</v>
      </c>
    </row>
    <row r="27" spans="1:13" x14ac:dyDescent="0.2">
      <c r="A27" t="s">
        <v>100</v>
      </c>
      <c r="B27">
        <v>1.94</v>
      </c>
      <c r="D27" s="55" t="s">
        <v>101</v>
      </c>
      <c r="E27" s="18" t="s">
        <v>102</v>
      </c>
      <c r="F27" s="53" t="s">
        <v>19</v>
      </c>
      <c r="G27" s="53" t="s">
        <v>22</v>
      </c>
      <c r="J27" s="59" t="s">
        <v>103</v>
      </c>
      <c r="K27" s="59" cm="1">
        <f t="array" ref="K27">IF(K26&gt;1.6,(K26-1)*0.5+1,N/A)</f>
        <v>1.375</v>
      </c>
    </row>
    <row r="28" spans="1:13" x14ac:dyDescent="0.2">
      <c r="A28" t="s">
        <v>104</v>
      </c>
      <c r="D28">
        <v>1</v>
      </c>
      <c r="E28">
        <f>'Gear Ratio and forces'!H2/4.25</f>
        <v>2.1176470588235294</v>
      </c>
      <c r="F28">
        <f>SQRT(E28)</f>
        <v>1.4552137502179978</v>
      </c>
      <c r="G28" cm="1">
        <f t="array" ref="G28:G30">SQRT(E28:E30)</f>
        <v>1.4552137502179978</v>
      </c>
      <c r="J28" s="59" t="s">
        <v>105</v>
      </c>
      <c r="K28" s="59">
        <f>IF(ISNUMBER(K27),0.9*K27,0.9*K26)</f>
        <v>1.2375</v>
      </c>
    </row>
    <row r="29" spans="1:13" x14ac:dyDescent="0.2">
      <c r="D29">
        <v>2</v>
      </c>
      <c r="E29">
        <f>'Gear Ratio and forces'!H3/4.25</f>
        <v>1.411764705882353</v>
      </c>
      <c r="F29">
        <f t="shared" ref="F29:F30" si="0">SQRT(E29)</f>
        <v>1.1881770515720091</v>
      </c>
      <c r="G29">
        <v>1.1881770515720091</v>
      </c>
      <c r="J29" s="59" t="s">
        <v>106</v>
      </c>
      <c r="K29" s="59">
        <v>0.3</v>
      </c>
    </row>
    <row r="30" spans="1:13" x14ac:dyDescent="0.2">
      <c r="A30" s="53" t="s">
        <v>107</v>
      </c>
      <c r="D30">
        <v>3</v>
      </c>
      <c r="E30">
        <f>'Gear Ratio and forces'!H4/4.25</f>
        <v>0.94117647058823528</v>
      </c>
      <c r="F30">
        <f t="shared" si="0"/>
        <v>0.97014250014533188</v>
      </c>
      <c r="G30">
        <v>0.97014250014533188</v>
      </c>
      <c r="J30" s="62" t="s">
        <v>108</v>
      </c>
      <c r="K30" s="59">
        <f>E32</f>
        <v>0.56470588235294117</v>
      </c>
    </row>
    <row r="31" spans="1:13" x14ac:dyDescent="0.2">
      <c r="A31" t="s">
        <v>109</v>
      </c>
      <c r="B31">
        <v>270</v>
      </c>
      <c r="D31">
        <v>4</v>
      </c>
      <c r="E31">
        <f>'Gear Ratio and forces'!H5/4.25</f>
        <v>0.70588235294117652</v>
      </c>
      <c r="J31" s="71" t="s">
        <v>110</v>
      </c>
      <c r="K31">
        <v>1.2</v>
      </c>
    </row>
    <row r="32" spans="1:13" x14ac:dyDescent="0.2">
      <c r="A32" t="s">
        <v>111</v>
      </c>
      <c r="B32">
        <v>650</v>
      </c>
      <c r="D32">
        <v>5</v>
      </c>
      <c r="E32">
        <f>'Gear Ratio and forces'!H6/4.25</f>
        <v>0.56470588235294117</v>
      </c>
      <c r="J32" s="57" t="s">
        <v>113</v>
      </c>
      <c r="K32" s="59">
        <f>700*((K22/K29)*(($B$26/$E$25)^2)*((K30+1)/K30)*(K25*IF(ISNUMBER(K27),K27,24)))^(1/3)</f>
        <v>96.240523270542198</v>
      </c>
    </row>
    <row r="33" spans="1:11" x14ac:dyDescent="0.2">
      <c r="J33" s="59" t="s">
        <v>115</v>
      </c>
      <c r="K33" s="59">
        <f>K30*K32</f>
        <v>54.347589611600299</v>
      </c>
    </row>
    <row r="34" spans="1:11" x14ac:dyDescent="0.2">
      <c r="J34" s="65" t="s">
        <v>116</v>
      </c>
      <c r="K34" s="63">
        <f>2*K22*(10^3)*K21*$B$27*K25*K28/(K29*$E$24*K32^2)</f>
        <v>1.5427658117244571</v>
      </c>
    </row>
    <row r="35" spans="1:11" x14ac:dyDescent="0.2">
      <c r="J35" s="59"/>
      <c r="K35" s="59"/>
    </row>
    <row r="36" spans="1:11" x14ac:dyDescent="0.2">
      <c r="J36" s="59" t="s">
        <v>117</v>
      </c>
      <c r="K36" s="59">
        <f>(K32/K34)*COS(($E$12))</f>
        <v>54.024231929688995</v>
      </c>
    </row>
    <row r="37" spans="1:11" x14ac:dyDescent="0.2">
      <c r="A37" s="53" t="s">
        <v>118</v>
      </c>
      <c r="B37" s="54">
        <v>1E-3</v>
      </c>
      <c r="D37" t="s">
        <v>51</v>
      </c>
      <c r="E37">
        <v>4.25</v>
      </c>
      <c r="J37" s="63" t="s">
        <v>119</v>
      </c>
      <c r="K37" s="63">
        <f>K30*K36</f>
        <v>30.507801560294961</v>
      </c>
    </row>
    <row r="38" spans="1:11" x14ac:dyDescent="0.2">
      <c r="J38" s="57"/>
      <c r="K38" s="59"/>
    </row>
    <row r="39" spans="1:11" x14ac:dyDescent="0.2">
      <c r="A39" t="s">
        <v>120</v>
      </c>
      <c r="B39">
        <v>0.3</v>
      </c>
      <c r="D39" t="s">
        <v>121</v>
      </c>
      <c r="J39" s="59" t="s">
        <v>122</v>
      </c>
      <c r="K39" s="59">
        <v>39</v>
      </c>
    </row>
    <row r="40" spans="1:11" x14ac:dyDescent="0.2">
      <c r="D40" t="s">
        <v>123</v>
      </c>
      <c r="J40" s="65" t="s">
        <v>124</v>
      </c>
      <c r="K40" s="63">
        <v>22</v>
      </c>
    </row>
    <row r="41" spans="1:11" x14ac:dyDescent="0.2">
      <c r="J41" s="59" t="s">
        <v>125</v>
      </c>
      <c r="K41" s="59">
        <v>3</v>
      </c>
    </row>
    <row r="42" spans="1:11" x14ac:dyDescent="0.2">
      <c r="D42" t="s">
        <v>126</v>
      </c>
      <c r="J42" s="59" t="s">
        <v>127</v>
      </c>
      <c r="K42" s="59">
        <f>K39*K41/(COS($E$12))</f>
        <v>135.09996299037243</v>
      </c>
    </row>
    <row r="43" spans="1:11" x14ac:dyDescent="0.2">
      <c r="J43" s="63" t="s">
        <v>128</v>
      </c>
      <c r="K43" s="59">
        <f>K40*K41/(COS($E$12))</f>
        <v>76.210235533030598</v>
      </c>
    </row>
    <row r="44" spans="1:11" x14ac:dyDescent="0.2">
      <c r="J44" s="71" t="s">
        <v>129</v>
      </c>
      <c r="K44">
        <f>MAX(K42*K29,K43*K29)</f>
        <v>40.529988897111728</v>
      </c>
    </row>
    <row r="45" spans="1:11" x14ac:dyDescent="0.2">
      <c r="J45" s="74" t="s">
        <v>130</v>
      </c>
      <c r="K45" s="73">
        <v>2.5</v>
      </c>
    </row>
    <row r="46" spans="1:11" x14ac:dyDescent="0.2">
      <c r="J46" s="74" t="s">
        <v>131</v>
      </c>
      <c r="K46" s="73">
        <v>190</v>
      </c>
    </row>
    <row r="47" spans="1:11" x14ac:dyDescent="0.2">
      <c r="J47" s="74" t="s">
        <v>133</v>
      </c>
      <c r="K47" s="73">
        <v>0.83</v>
      </c>
    </row>
    <row r="48" spans="1:11" x14ac:dyDescent="0.2">
      <c r="J48" s="74" t="s">
        <v>134</v>
      </c>
      <c r="K48" s="73">
        <v>0.96</v>
      </c>
    </row>
    <row r="49" spans="10:11" x14ac:dyDescent="0.2">
      <c r="J49" s="73"/>
      <c r="K49" s="73"/>
    </row>
    <row r="50" spans="10:11" x14ac:dyDescent="0.2">
      <c r="J50" s="73"/>
      <c r="K50" s="73"/>
    </row>
    <row r="51" spans="10:11" x14ac:dyDescent="0.2">
      <c r="J51" s="73"/>
      <c r="K51" s="73"/>
    </row>
    <row r="52" spans="10:11" x14ac:dyDescent="0.2">
      <c r="J52" s="73"/>
      <c r="K52" s="73"/>
    </row>
    <row r="53" spans="10:11" x14ac:dyDescent="0.2">
      <c r="J53" s="73" t="s">
        <v>135</v>
      </c>
      <c r="K53" s="73">
        <f>K40/K39</f>
        <v>0.5641025641025641</v>
      </c>
    </row>
    <row r="54" spans="10:11" x14ac:dyDescent="0.2">
      <c r="J54" s="73" t="s">
        <v>136</v>
      </c>
      <c r="K54" s="73">
        <f>K41*K29*(MIN(K42,K43)^2)*$E$24/(2*K22*1000*K21*K25*K28)</f>
        <v>2.3655581857553689</v>
      </c>
    </row>
    <row r="55" spans="10:11" x14ac:dyDescent="0.2">
      <c r="J55" s="73" t="s">
        <v>137</v>
      </c>
      <c r="K55" s="73">
        <f>(((MIN(K42,K43)^3)*(K53/(K53+1))/((K25*IF(ISNUMBER(K27),K27,K26)*K31)*2*K22*1000))^0.5)*($E$25/(K45*K46*K47*K48))</f>
        <v>1.6378822580010906</v>
      </c>
    </row>
    <row r="56" spans="10:11" x14ac:dyDescent="0.2">
      <c r="J56" s="73" t="s">
        <v>138</v>
      </c>
      <c r="K56" s="73"/>
    </row>
    <row r="57" spans="10:11" x14ac:dyDescent="0.2">
      <c r="J57" s="73" t="s">
        <v>139</v>
      </c>
      <c r="K57" s="73">
        <f>K53*$E$37</f>
        <v>2.3974358974358974</v>
      </c>
    </row>
    <row r="58" spans="10:11" x14ac:dyDescent="0.2">
      <c r="J58" s="73"/>
      <c r="K58" s="73"/>
    </row>
    <row r="59" spans="10:11" x14ac:dyDescent="0.2">
      <c r="J59" s="73" t="s">
        <v>140</v>
      </c>
      <c r="K59" s="73">
        <f>K39*(1/COS($E$12))^3</f>
        <v>60.044427995721072</v>
      </c>
    </row>
    <row r="60" spans="10:11" x14ac:dyDescent="0.2">
      <c r="J60" s="73" t="s">
        <v>141</v>
      </c>
      <c r="K60" s="73">
        <f>K40*(1/COS($E$12))^3</f>
        <v>33.871215792458038</v>
      </c>
    </row>
    <row r="61" spans="10:11" x14ac:dyDescent="0.2">
      <c r="J61" s="73" t="s">
        <v>142</v>
      </c>
      <c r="K61" s="73">
        <f>K60+K59</f>
        <v>93.915643788179111</v>
      </c>
    </row>
    <row r="62" spans="10:11" x14ac:dyDescent="0.2">
      <c r="J62" t="s">
        <v>143</v>
      </c>
      <c r="K62">
        <f>0.5*K61</f>
        <v>46.957821894089555</v>
      </c>
    </row>
    <row r="63" spans="10:11" x14ac:dyDescent="0.2">
      <c r="J63" t="s">
        <v>144</v>
      </c>
      <c r="K63">
        <v>0.3</v>
      </c>
    </row>
    <row r="64" spans="10:11" x14ac:dyDescent="0.2">
      <c r="J64" t="s">
        <v>145</v>
      </c>
      <c r="K64">
        <v>0.3</v>
      </c>
    </row>
  </sheetData>
  <conditionalFormatting sqref="M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{8BC77BB4-B2DF-AD44-8FF0-80AD2ECB630E}</x14:id>
        </ext>
      </extLst>
    </cfRule>
  </conditionalFormatting>
  <conditionalFormatting sqref="M4:N13 M14:M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{D822E2AB-4A5E-4044-8A14-6E26AC6D2CB9}</x14:id>
        </ext>
      </extLst>
    </cfRule>
  </conditionalFormatting>
  <conditionalFormatting sqref="N6:N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{12A45C59-5198-7048-B6DE-D55A07CA8C53}</x14:id>
        </ext>
      </extLst>
    </cfRule>
  </conditionalFormatting>
  <hyperlinks>
    <hyperlink ref="B20" r:id="rId1" xr:uid="{E6BDCABB-7BA5-0F4B-AA4C-89B27CFE0CFC}"/>
  </hyperlink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C77BB4-B2DF-AD44-8FF0-80AD2ECB6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D822E2AB-4A5E-4044-8A14-6E26AC6D2CB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M4:N13 M14:M16</xm:sqref>
        </x14:conditionalFormatting>
        <x14:conditionalFormatting xmlns:xm="http://schemas.microsoft.com/office/excel/2006/main">
          <x14:cfRule type="dataBar" id="{12A45C59-5198-7048-B6DE-D55A07CA8C5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N6:N16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6CE6-CD5B-0040-AC2B-D1C4CE21107B}">
  <dimension ref="A1:K64"/>
  <sheetViews>
    <sheetView workbookViewId="0">
      <selection activeCell="M10" sqref="M10"/>
    </sheetView>
  </sheetViews>
  <sheetFormatPr baseColWidth="10" defaultRowHeight="16" x14ac:dyDescent="0.2"/>
  <cols>
    <col min="10" max="10" width="19.1640625" customWidth="1"/>
    <col min="11" max="11" width="20.1640625" customWidth="1"/>
  </cols>
  <sheetData>
    <row r="1" spans="1:11" x14ac:dyDescent="0.2">
      <c r="A1" t="s">
        <v>58</v>
      </c>
    </row>
    <row r="2" spans="1:11" x14ac:dyDescent="0.2">
      <c r="A2" t="s">
        <v>59</v>
      </c>
    </row>
    <row r="3" spans="1:11" ht="17" thickBot="1" x14ac:dyDescent="0.25"/>
    <row r="4" spans="1:11" ht="17" thickBot="1" x14ac:dyDescent="0.25">
      <c r="A4" s="53" t="s">
        <v>60</v>
      </c>
      <c r="B4" s="52">
        <f>'Gear Ratio and forces'!B10</f>
        <v>158.41</v>
      </c>
      <c r="J4" s="56" t="s">
        <v>158</v>
      </c>
      <c r="K4" s="64"/>
    </row>
    <row r="5" spans="1:11" ht="17" thickBot="1" x14ac:dyDescent="0.25">
      <c r="A5" t="s">
        <v>66</v>
      </c>
      <c r="B5" s="52">
        <f>'Gear Ratio and forces'!B11</f>
        <v>3500</v>
      </c>
      <c r="J5" s="68" t="s">
        <v>67</v>
      </c>
      <c r="K5" s="61"/>
    </row>
    <row r="7" spans="1:11" x14ac:dyDescent="0.2">
      <c r="A7" s="53" t="s">
        <v>69</v>
      </c>
      <c r="B7">
        <v>1.5</v>
      </c>
      <c r="J7" s="59" t="s">
        <v>69</v>
      </c>
      <c r="K7" s="59">
        <v>1.5</v>
      </c>
    </row>
    <row r="9" spans="1:11" x14ac:dyDescent="0.2">
      <c r="A9" t="s">
        <v>70</v>
      </c>
      <c r="B9">
        <v>10000</v>
      </c>
      <c r="C9" t="s">
        <v>71</v>
      </c>
      <c r="D9" t="s">
        <v>72</v>
      </c>
      <c r="J9" s="57" t="s">
        <v>60</v>
      </c>
      <c r="K9" s="60">
        <v>158.41</v>
      </c>
    </row>
    <row r="10" spans="1:11" x14ac:dyDescent="0.2">
      <c r="D10" s="53" t="s">
        <v>73</v>
      </c>
      <c r="E10" t="s">
        <v>74</v>
      </c>
      <c r="F10" t="s">
        <v>151</v>
      </c>
      <c r="J10" s="59" t="s">
        <v>66</v>
      </c>
      <c r="K10" s="60">
        <v>3500</v>
      </c>
    </row>
    <row r="11" spans="1:11" x14ac:dyDescent="0.2">
      <c r="D11" s="53"/>
      <c r="J11" t="s">
        <v>75</v>
      </c>
      <c r="K11">
        <f>PI()*K10*K42/(1000*60)</f>
        <v>24.758361321797071</v>
      </c>
    </row>
    <row r="12" spans="1:11" x14ac:dyDescent="0.2">
      <c r="A12" t="s">
        <v>76</v>
      </c>
      <c r="B12">
        <f>B9*B5*60</f>
        <v>2100000000</v>
      </c>
      <c r="D12">
        <v>1.5</v>
      </c>
      <c r="E12">
        <f>RADIANS(30)</f>
        <v>0.52359877559829882</v>
      </c>
      <c r="F12">
        <v>20</v>
      </c>
      <c r="J12" t="s">
        <v>77</v>
      </c>
      <c r="K12">
        <f>PI()*K10*K43/(1000*60)</f>
        <v>13.966255104603476</v>
      </c>
    </row>
    <row r="13" spans="1:11" x14ac:dyDescent="0.2">
      <c r="J13" s="57" t="s">
        <v>70</v>
      </c>
      <c r="K13" s="59">
        <v>10000</v>
      </c>
    </row>
    <row r="14" spans="1:11" x14ac:dyDescent="0.2">
      <c r="A14" t="s">
        <v>78</v>
      </c>
      <c r="B14">
        <v>1</v>
      </c>
      <c r="J14" s="59"/>
      <c r="K14" s="59"/>
    </row>
    <row r="15" spans="1:11" x14ac:dyDescent="0.2">
      <c r="A15" t="s">
        <v>79</v>
      </c>
      <c r="B15">
        <v>1</v>
      </c>
      <c r="J15" s="59" t="s">
        <v>76</v>
      </c>
      <c r="K15" s="59">
        <f>K13*K10*60</f>
        <v>2100000000</v>
      </c>
    </row>
    <row r="16" spans="1:11" x14ac:dyDescent="0.2">
      <c r="A16" t="s">
        <v>81</v>
      </c>
      <c r="B16">
        <v>1</v>
      </c>
    </row>
    <row r="17" spans="1:11" x14ac:dyDescent="0.2">
      <c r="A17" t="s">
        <v>82</v>
      </c>
      <c r="B17">
        <v>1</v>
      </c>
      <c r="J17" s="58" t="s">
        <v>78</v>
      </c>
      <c r="K17" s="59">
        <v>1</v>
      </c>
    </row>
    <row r="18" spans="1:11" x14ac:dyDescent="0.2">
      <c r="J18" s="58" t="s">
        <v>79</v>
      </c>
      <c r="K18" s="59">
        <v>1</v>
      </c>
    </row>
    <row r="19" spans="1:11" x14ac:dyDescent="0.2">
      <c r="J19" s="58" t="s">
        <v>81</v>
      </c>
      <c r="K19" s="59">
        <v>1</v>
      </c>
    </row>
    <row r="20" spans="1:11" x14ac:dyDescent="0.2">
      <c r="A20" s="53" t="s">
        <v>83</v>
      </c>
      <c r="B20" s="69" t="s">
        <v>84</v>
      </c>
      <c r="J20" s="58" t="s">
        <v>82</v>
      </c>
      <c r="K20" s="59">
        <v>1.2</v>
      </c>
    </row>
    <row r="21" spans="1:11" x14ac:dyDescent="0.2">
      <c r="J21" s="58" t="s">
        <v>85</v>
      </c>
      <c r="K21" s="59">
        <v>2.9</v>
      </c>
    </row>
    <row r="22" spans="1:11" x14ac:dyDescent="0.2">
      <c r="A22" s="53" t="s">
        <v>86</v>
      </c>
      <c r="D22" s="53" t="s">
        <v>87</v>
      </c>
      <c r="E22" t="s">
        <v>88</v>
      </c>
      <c r="F22" t="s">
        <v>89</v>
      </c>
      <c r="J22" s="58" t="s">
        <v>90</v>
      </c>
      <c r="K22" s="59">
        <f>K7*K9</f>
        <v>237.61500000000001</v>
      </c>
    </row>
    <row r="23" spans="1:11" x14ac:dyDescent="0.2">
      <c r="A23" s="53"/>
      <c r="D23" s="53"/>
      <c r="J23" s="70" t="s">
        <v>91</v>
      </c>
      <c r="K23" s="71">
        <v>6</v>
      </c>
    </row>
    <row r="24" spans="1:11" x14ac:dyDescent="0.2">
      <c r="A24" t="s">
        <v>92</v>
      </c>
      <c r="B24">
        <v>1500</v>
      </c>
      <c r="D24" t="s">
        <v>93</v>
      </c>
      <c r="E24" s="52">
        <f>B25*B14*B16*B17</f>
        <v>920</v>
      </c>
      <c r="J24" s="70" t="s">
        <v>94</v>
      </c>
      <c r="K24" s="71">
        <v>1.32</v>
      </c>
    </row>
    <row r="25" spans="1:11" x14ac:dyDescent="0.2">
      <c r="A25" t="s">
        <v>95</v>
      </c>
      <c r="B25">
        <v>920</v>
      </c>
      <c r="D25" t="s">
        <v>96</v>
      </c>
      <c r="E25">
        <f>B24*B15*SQRT(B17)</f>
        <v>1500</v>
      </c>
      <c r="J25" s="62" t="s">
        <v>97</v>
      </c>
      <c r="K25" s="62">
        <f>1+0.6*(K24-1)</f>
        <v>1.1919999999999999</v>
      </c>
    </row>
    <row r="26" spans="1:11" x14ac:dyDescent="0.2">
      <c r="A26" t="s">
        <v>98</v>
      </c>
      <c r="B26">
        <v>1.2749999999999999</v>
      </c>
      <c r="J26" s="59" t="s">
        <v>99</v>
      </c>
      <c r="K26" s="59">
        <v>1.75</v>
      </c>
    </row>
    <row r="27" spans="1:11" x14ac:dyDescent="0.2">
      <c r="A27" t="s">
        <v>100</v>
      </c>
      <c r="B27">
        <v>1.94</v>
      </c>
      <c r="D27" s="55" t="s">
        <v>101</v>
      </c>
      <c r="E27" s="18" t="s">
        <v>102</v>
      </c>
      <c r="F27" s="53" t="s">
        <v>19</v>
      </c>
      <c r="G27" s="53" t="s">
        <v>22</v>
      </c>
      <c r="J27" s="59" t="s">
        <v>103</v>
      </c>
      <c r="K27" s="59" cm="1">
        <f t="array" ref="K27">IF(K26&gt;1.6,(K26-1)*0.5+1,N/A)</f>
        <v>1.375</v>
      </c>
    </row>
    <row r="28" spans="1:11" x14ac:dyDescent="0.2">
      <c r="A28" t="s">
        <v>104</v>
      </c>
      <c r="D28">
        <v>1</v>
      </c>
      <c r="E28">
        <f>'Gear Ratio and forces'!H2/4.25</f>
        <v>2.1176470588235294</v>
      </c>
      <c r="F28">
        <f>SQRT(E28)</f>
        <v>1.4552137502179978</v>
      </c>
      <c r="G28" cm="1">
        <f t="array" ref="G28:G30">SQRT(E28:E30)</f>
        <v>1.4552137502179978</v>
      </c>
      <c r="J28" s="59" t="s">
        <v>105</v>
      </c>
      <c r="K28" s="59">
        <f>IF(ISNUMBER(K27),0.9*K27,0.9*K26)</f>
        <v>1.2375</v>
      </c>
    </row>
    <row r="29" spans="1:11" x14ac:dyDescent="0.2">
      <c r="D29">
        <v>2</v>
      </c>
      <c r="E29">
        <f>'Gear Ratio and forces'!H3/4.25</f>
        <v>1.411764705882353</v>
      </c>
      <c r="F29">
        <f t="shared" ref="F29:F30" si="0">SQRT(E29)</f>
        <v>1.1881770515720091</v>
      </c>
      <c r="G29">
        <v>1.1881770515720091</v>
      </c>
      <c r="J29" s="59" t="s">
        <v>106</v>
      </c>
      <c r="K29" s="59">
        <v>0.3</v>
      </c>
    </row>
    <row r="30" spans="1:11" x14ac:dyDescent="0.2">
      <c r="A30" s="53" t="s">
        <v>107</v>
      </c>
      <c r="D30">
        <v>3</v>
      </c>
      <c r="E30">
        <f>'Gear Ratio and forces'!H4/4.25</f>
        <v>0.94117647058823528</v>
      </c>
      <c r="F30">
        <f t="shared" si="0"/>
        <v>0.97014250014533188</v>
      </c>
      <c r="G30">
        <v>0.97014250014533188</v>
      </c>
      <c r="J30" s="62" t="s">
        <v>108</v>
      </c>
      <c r="K30" s="59">
        <f>E32</f>
        <v>0.56470588235294117</v>
      </c>
    </row>
    <row r="31" spans="1:11" x14ac:dyDescent="0.2">
      <c r="A31" t="s">
        <v>109</v>
      </c>
      <c r="B31">
        <v>270</v>
      </c>
      <c r="D31">
        <v>4</v>
      </c>
      <c r="E31">
        <f>'Gear Ratio and forces'!H5/4.25</f>
        <v>0.70588235294117652</v>
      </c>
      <c r="J31" s="71" t="s">
        <v>110</v>
      </c>
      <c r="K31">
        <v>1.2</v>
      </c>
    </row>
    <row r="32" spans="1:11" x14ac:dyDescent="0.2">
      <c r="A32" t="s">
        <v>111</v>
      </c>
      <c r="B32">
        <v>650</v>
      </c>
      <c r="D32">
        <v>5</v>
      </c>
      <c r="E32">
        <f>'Gear Ratio and forces'!H6/4.25</f>
        <v>0.56470588235294117</v>
      </c>
      <c r="J32" s="57" t="s">
        <v>113</v>
      </c>
      <c r="K32" s="59">
        <f>700*((K22/K29)*(($B$26/$E$25)^2)*((K30+1)/K30)*(K25*IF(ISNUMBER(K27),K27,24)))^(1/3)</f>
        <v>96.240523270542198</v>
      </c>
    </row>
    <row r="33" spans="1:11" x14ac:dyDescent="0.2">
      <c r="J33" s="59" t="s">
        <v>115</v>
      </c>
      <c r="K33" s="59">
        <f>K30*K32</f>
        <v>54.347589611600299</v>
      </c>
    </row>
    <row r="34" spans="1:11" x14ac:dyDescent="0.2">
      <c r="J34" s="65" t="s">
        <v>116</v>
      </c>
      <c r="K34" s="63">
        <f>2*K22*(10^3)*K21*$B$27*K25*K28/(K29*$E$24*K32^2)</f>
        <v>1.5427658117244571</v>
      </c>
    </row>
    <row r="35" spans="1:11" x14ac:dyDescent="0.2">
      <c r="J35" s="59"/>
      <c r="K35" s="59"/>
    </row>
    <row r="36" spans="1:11" x14ac:dyDescent="0.2">
      <c r="J36" s="59" t="s">
        <v>117</v>
      </c>
      <c r="K36" s="59">
        <f>(K32/K34)*COS(($E$12))</f>
        <v>54.024231929688995</v>
      </c>
    </row>
    <row r="37" spans="1:11" x14ac:dyDescent="0.2">
      <c r="A37" s="53" t="s">
        <v>118</v>
      </c>
      <c r="B37" s="54">
        <v>1E-3</v>
      </c>
      <c r="D37" t="s">
        <v>51</v>
      </c>
      <c r="E37">
        <v>4.25</v>
      </c>
      <c r="J37" s="63" t="s">
        <v>119</v>
      </c>
      <c r="K37" s="63">
        <f>K30*K36</f>
        <v>30.507801560294961</v>
      </c>
    </row>
    <row r="38" spans="1:11" x14ac:dyDescent="0.2">
      <c r="J38" s="57"/>
      <c r="K38" s="59"/>
    </row>
    <row r="39" spans="1:11" x14ac:dyDescent="0.2">
      <c r="A39" t="s">
        <v>120</v>
      </c>
      <c r="B39">
        <v>0.3</v>
      </c>
      <c r="D39" t="s">
        <v>121</v>
      </c>
      <c r="J39" s="59" t="s">
        <v>122</v>
      </c>
      <c r="K39" s="59">
        <v>39</v>
      </c>
    </row>
    <row r="40" spans="1:11" x14ac:dyDescent="0.2">
      <c r="D40" t="s">
        <v>123</v>
      </c>
      <c r="J40" s="65" t="s">
        <v>124</v>
      </c>
      <c r="K40" s="63">
        <v>22</v>
      </c>
    </row>
    <row r="41" spans="1:11" x14ac:dyDescent="0.2">
      <c r="J41" s="59" t="s">
        <v>125</v>
      </c>
      <c r="K41" s="59">
        <v>3</v>
      </c>
    </row>
    <row r="42" spans="1:11" x14ac:dyDescent="0.2">
      <c r="D42" t="s">
        <v>126</v>
      </c>
      <c r="J42" s="59" t="s">
        <v>127</v>
      </c>
      <c r="K42" s="59">
        <f>K39*K41/(COS($E$12))</f>
        <v>135.09996299037243</v>
      </c>
    </row>
    <row r="43" spans="1:11" x14ac:dyDescent="0.2">
      <c r="J43" s="63" t="s">
        <v>128</v>
      </c>
      <c r="K43" s="59">
        <f>K40*K41/(COS($E$12))</f>
        <v>76.210235533030598</v>
      </c>
    </row>
    <row r="44" spans="1:11" x14ac:dyDescent="0.2">
      <c r="J44" s="71" t="s">
        <v>129</v>
      </c>
      <c r="K44">
        <f>MAX(K42*K29,K43*K29)</f>
        <v>40.529988897111728</v>
      </c>
    </row>
    <row r="45" spans="1:11" x14ac:dyDescent="0.2">
      <c r="J45" s="74" t="s">
        <v>130</v>
      </c>
      <c r="K45" s="73">
        <v>2.5</v>
      </c>
    </row>
    <row r="46" spans="1:11" x14ac:dyDescent="0.2">
      <c r="J46" s="74" t="s">
        <v>131</v>
      </c>
      <c r="K46" s="73">
        <v>190</v>
      </c>
    </row>
    <row r="47" spans="1:11" x14ac:dyDescent="0.2">
      <c r="J47" s="74" t="s">
        <v>133</v>
      </c>
      <c r="K47" s="73">
        <v>0.83</v>
      </c>
    </row>
    <row r="48" spans="1:11" x14ac:dyDescent="0.2">
      <c r="J48" s="74" t="s">
        <v>134</v>
      </c>
      <c r="K48" s="73">
        <v>0.96</v>
      </c>
    </row>
    <row r="49" spans="10:11" x14ac:dyDescent="0.2">
      <c r="J49" s="73"/>
      <c r="K49" s="73"/>
    </row>
    <row r="50" spans="10:11" x14ac:dyDescent="0.2">
      <c r="J50" s="73"/>
      <c r="K50" s="73"/>
    </row>
    <row r="51" spans="10:11" x14ac:dyDescent="0.2">
      <c r="J51" s="73"/>
      <c r="K51" s="73"/>
    </row>
    <row r="52" spans="10:11" x14ac:dyDescent="0.2">
      <c r="J52" s="73"/>
      <c r="K52" s="73"/>
    </row>
    <row r="53" spans="10:11" x14ac:dyDescent="0.2">
      <c r="J53" s="73" t="s">
        <v>135</v>
      </c>
      <c r="K53" s="73">
        <f>K40/K39</f>
        <v>0.5641025641025641</v>
      </c>
    </row>
    <row r="54" spans="10:11" x14ac:dyDescent="0.2">
      <c r="J54" s="73" t="s">
        <v>136</v>
      </c>
      <c r="K54" s="73">
        <f>K41*K29*(MIN(K42,K43)^2)*$E$24/(2*K22*1000*K21*K25*K28)</f>
        <v>2.3655581857553689</v>
      </c>
    </row>
    <row r="55" spans="10:11" x14ac:dyDescent="0.2">
      <c r="J55" s="73" t="s">
        <v>137</v>
      </c>
      <c r="K55" s="73">
        <f>(((MIN(K42,K43)^3)*(K53/(K53+1))/((K25*IF(ISNUMBER(K27),K27,K26)*K31)*2*K22*1000))^0.5)*($E$25/(K45*K46*K47*K48))</f>
        <v>1.6378822580010906</v>
      </c>
    </row>
    <row r="56" spans="10:11" x14ac:dyDescent="0.2">
      <c r="J56" s="73" t="s">
        <v>138</v>
      </c>
      <c r="K56" s="73"/>
    </row>
    <row r="57" spans="10:11" x14ac:dyDescent="0.2">
      <c r="J57" s="73" t="s">
        <v>139</v>
      </c>
      <c r="K57" s="73">
        <f>K53*$E$37</f>
        <v>2.3974358974358974</v>
      </c>
    </row>
    <row r="58" spans="10:11" x14ac:dyDescent="0.2">
      <c r="J58" s="73"/>
      <c r="K58" s="73"/>
    </row>
    <row r="59" spans="10:11" x14ac:dyDescent="0.2">
      <c r="J59" s="73" t="s">
        <v>140</v>
      </c>
      <c r="K59" s="73">
        <f>K39*(1/COS($E$12))^3</f>
        <v>60.044427995721072</v>
      </c>
    </row>
    <row r="60" spans="10:11" x14ac:dyDescent="0.2">
      <c r="J60" s="73" t="s">
        <v>141</v>
      </c>
      <c r="K60" s="73">
        <f>K40*(1/COS($E$12))^3</f>
        <v>33.871215792458038</v>
      </c>
    </row>
    <row r="61" spans="10:11" x14ac:dyDescent="0.2">
      <c r="J61" s="73" t="s">
        <v>142</v>
      </c>
      <c r="K61" s="73">
        <f>K60+K59</f>
        <v>93.915643788179111</v>
      </c>
    </row>
    <row r="62" spans="10:11" x14ac:dyDescent="0.2">
      <c r="J62" t="s">
        <v>143</v>
      </c>
      <c r="K62">
        <f>0.5*K61</f>
        <v>46.957821894089555</v>
      </c>
    </row>
    <row r="63" spans="10:11" x14ac:dyDescent="0.2">
      <c r="J63" t="s">
        <v>144</v>
      </c>
      <c r="K63">
        <v>0.3</v>
      </c>
    </row>
    <row r="64" spans="10:11" x14ac:dyDescent="0.2">
      <c r="J64" t="s">
        <v>145</v>
      </c>
      <c r="K64">
        <v>0.3</v>
      </c>
    </row>
  </sheetData>
  <hyperlinks>
    <hyperlink ref="B20" r:id="rId1" xr:uid="{CC0102D3-81A7-C944-ACBA-CFBE25818EF9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C29B4-A7F5-1640-A366-839C08BC919A}">
  <dimension ref="A1:R63"/>
  <sheetViews>
    <sheetView topLeftCell="J1" workbookViewId="0">
      <selection activeCell="Q3" sqref="Q3:R15"/>
    </sheetView>
  </sheetViews>
  <sheetFormatPr baseColWidth="10" defaultColWidth="11" defaultRowHeight="16" x14ac:dyDescent="0.2"/>
  <cols>
    <col min="11" max="11" width="29.33203125" customWidth="1"/>
    <col min="12" max="12" width="23.5" customWidth="1"/>
    <col min="14" max="14" width="29.83203125" customWidth="1"/>
    <col min="15" max="15" width="34.6640625" customWidth="1"/>
    <col min="18" max="18" width="18.83203125" customWidth="1"/>
  </cols>
  <sheetData>
    <row r="1" spans="1:18" x14ac:dyDescent="0.2">
      <c r="A1" t="s">
        <v>58</v>
      </c>
    </row>
    <row r="2" spans="1:18" ht="17" thickBot="1" x14ac:dyDescent="0.25">
      <c r="A2" t="s">
        <v>59</v>
      </c>
    </row>
    <row r="3" spans="1:18" ht="17" thickBot="1" x14ac:dyDescent="0.25">
      <c r="K3" s="56" t="s">
        <v>65</v>
      </c>
      <c r="L3" s="64"/>
      <c r="N3" s="56" t="s">
        <v>51</v>
      </c>
      <c r="O3" s="64"/>
      <c r="Q3" s="75" t="s">
        <v>53</v>
      </c>
      <c r="R3" s="75"/>
    </row>
    <row r="4" spans="1:18" ht="17" thickBot="1" x14ac:dyDescent="0.25">
      <c r="A4" s="53" t="s">
        <v>60</v>
      </c>
      <c r="B4" s="52">
        <f>'Gear Ratio and forces'!B10</f>
        <v>158.41</v>
      </c>
      <c r="K4" s="68" t="s">
        <v>67</v>
      </c>
      <c r="L4" s="61"/>
      <c r="N4" s="68" t="s">
        <v>67</v>
      </c>
      <c r="O4" s="61"/>
      <c r="Q4" s="75"/>
    </row>
    <row r="5" spans="1:18" x14ac:dyDescent="0.2">
      <c r="A5" t="s">
        <v>66</v>
      </c>
      <c r="B5" s="52">
        <f>'Gear Ratio and forces'!B11</f>
        <v>3500</v>
      </c>
      <c r="Q5" s="75" t="s">
        <v>54</v>
      </c>
      <c r="R5">
        <f>2*O21/O41</f>
        <v>3.8693792983292878</v>
      </c>
    </row>
    <row r="6" spans="1:18" x14ac:dyDescent="0.2">
      <c r="K6" s="59" t="s">
        <v>69</v>
      </c>
      <c r="L6" s="59">
        <v>1.5</v>
      </c>
      <c r="N6" s="59" t="s">
        <v>69</v>
      </c>
      <c r="O6" s="59">
        <v>1.5</v>
      </c>
      <c r="Q6" s="75"/>
    </row>
    <row r="7" spans="1:18" x14ac:dyDescent="0.2">
      <c r="A7" s="53" t="s">
        <v>69</v>
      </c>
      <c r="B7">
        <v>1.5</v>
      </c>
      <c r="Q7" s="75"/>
    </row>
    <row r="8" spans="1:18" x14ac:dyDescent="0.2">
      <c r="K8" s="57" t="s">
        <v>60</v>
      </c>
      <c r="L8" s="60">
        <v>158.41</v>
      </c>
      <c r="N8" s="57" t="s">
        <v>60</v>
      </c>
      <c r="O8" s="60">
        <f>L8*L52</f>
        <v>89.359487179487175</v>
      </c>
      <c r="Q8" s="75" t="s">
        <v>55</v>
      </c>
      <c r="R8">
        <f>R5*TAN($F$12)</f>
        <v>8.6564242446140209</v>
      </c>
    </row>
    <row r="9" spans="1:18" x14ac:dyDescent="0.2">
      <c r="A9" t="s">
        <v>70</v>
      </c>
      <c r="B9">
        <v>10000</v>
      </c>
      <c r="C9" t="s">
        <v>71</v>
      </c>
      <c r="D9" t="s">
        <v>72</v>
      </c>
      <c r="K9" s="59" t="s">
        <v>66</v>
      </c>
      <c r="L9" s="60">
        <v>3500</v>
      </c>
      <c r="N9" s="59" t="s">
        <v>66</v>
      </c>
      <c r="O9" s="60">
        <f>L9/L52</f>
        <v>6204.545454545455</v>
      </c>
      <c r="Q9" s="75"/>
    </row>
    <row r="10" spans="1:18" x14ac:dyDescent="0.2">
      <c r="D10" s="53" t="s">
        <v>73</v>
      </c>
      <c r="E10" t="s">
        <v>74</v>
      </c>
      <c r="F10" t="s">
        <v>151</v>
      </c>
      <c r="K10" t="s">
        <v>75</v>
      </c>
      <c r="L10">
        <f>PI()*L9*L41/(1000*60)</f>
        <v>24.758361321797071</v>
      </c>
      <c r="N10" t="s">
        <v>75</v>
      </c>
      <c r="O10">
        <f>PI()*O9*O41/(1000*60)</f>
        <v>22.507601201633701</v>
      </c>
      <c r="Q10" s="75"/>
    </row>
    <row r="11" spans="1:18" x14ac:dyDescent="0.2">
      <c r="D11" s="53"/>
      <c r="K11" t="s">
        <v>77</v>
      </c>
      <c r="L11">
        <f>PI()*L9*L42/(1000*60)</f>
        <v>13.966255104603476</v>
      </c>
      <c r="N11" t="s">
        <v>77</v>
      </c>
      <c r="O11">
        <f>PI()*O9*O42/(1000*60)</f>
        <v>95.657305106943241</v>
      </c>
      <c r="Q11" s="75" t="s">
        <v>56</v>
      </c>
      <c r="R11">
        <f>R5/(COS($F$12)*COS(I11))</f>
        <v>9.4818656844041325</v>
      </c>
    </row>
    <row r="12" spans="1:18" x14ac:dyDescent="0.2">
      <c r="A12" t="s">
        <v>76</v>
      </c>
      <c r="B12">
        <f>B9*B5*60</f>
        <v>2100000000</v>
      </c>
      <c r="D12">
        <v>1.5</v>
      </c>
      <c r="E12">
        <f>RADIANS(30)</f>
        <v>0.52359877559829882</v>
      </c>
      <c r="F12">
        <v>20</v>
      </c>
      <c r="K12" s="57" t="s">
        <v>70</v>
      </c>
      <c r="L12" s="59">
        <v>10000</v>
      </c>
      <c r="N12" s="57" t="s">
        <v>70</v>
      </c>
      <c r="O12" s="59">
        <v>10000</v>
      </c>
      <c r="Q12" s="75"/>
    </row>
    <row r="13" spans="1:18" x14ac:dyDescent="0.2">
      <c r="K13" s="59"/>
      <c r="L13" s="59"/>
      <c r="N13" s="59"/>
      <c r="O13" s="59"/>
      <c r="Q13" s="75" t="s">
        <v>33</v>
      </c>
    </row>
    <row r="14" spans="1:18" x14ac:dyDescent="0.2">
      <c r="A14" t="s">
        <v>78</v>
      </c>
      <c r="B14">
        <v>1</v>
      </c>
      <c r="K14" s="59" t="s">
        <v>76</v>
      </c>
      <c r="L14" s="59">
        <f>L12*L9*60</f>
        <v>2100000000</v>
      </c>
      <c r="N14" s="59" t="s">
        <v>76</v>
      </c>
      <c r="O14" s="59">
        <f>O12*O9*60</f>
        <v>3722727272.727273</v>
      </c>
      <c r="Q14" s="75" t="s">
        <v>57</v>
      </c>
      <c r="R14">
        <f>R5*TAN($E$12)</f>
        <v>2.2339871794871788</v>
      </c>
    </row>
    <row r="15" spans="1:18" x14ac:dyDescent="0.2">
      <c r="A15" t="s">
        <v>79</v>
      </c>
      <c r="B15">
        <v>1</v>
      </c>
      <c r="Q15" s="75"/>
    </row>
    <row r="16" spans="1:18" x14ac:dyDescent="0.2">
      <c r="A16" t="s">
        <v>81</v>
      </c>
      <c r="B16">
        <v>1</v>
      </c>
      <c r="K16" s="58" t="s">
        <v>78</v>
      </c>
      <c r="L16" s="59">
        <v>1</v>
      </c>
      <c r="N16" s="58" t="s">
        <v>78</v>
      </c>
      <c r="O16" s="59">
        <v>1</v>
      </c>
    </row>
    <row r="17" spans="1:17" x14ac:dyDescent="0.2">
      <c r="A17" t="s">
        <v>82</v>
      </c>
      <c r="B17">
        <v>1</v>
      </c>
      <c r="K17" s="58" t="s">
        <v>79</v>
      </c>
      <c r="L17" s="59">
        <v>1</v>
      </c>
      <c r="N17" s="58" t="s">
        <v>79</v>
      </c>
      <c r="O17" s="59">
        <v>1</v>
      </c>
    </row>
    <row r="18" spans="1:17" x14ac:dyDescent="0.2">
      <c r="K18" s="58" t="s">
        <v>81</v>
      </c>
      <c r="L18" s="59">
        <v>1</v>
      </c>
      <c r="N18" s="58" t="s">
        <v>81</v>
      </c>
      <c r="O18" s="59">
        <v>1</v>
      </c>
      <c r="Q18" t="s">
        <v>152</v>
      </c>
    </row>
    <row r="19" spans="1:17" x14ac:dyDescent="0.2">
      <c r="K19" s="58" t="s">
        <v>82</v>
      </c>
      <c r="L19" s="59">
        <v>1.2</v>
      </c>
      <c r="N19" s="58" t="s">
        <v>82</v>
      </c>
      <c r="O19" s="59">
        <v>1.2</v>
      </c>
    </row>
    <row r="20" spans="1:17" x14ac:dyDescent="0.2">
      <c r="A20" s="53" t="s">
        <v>83</v>
      </c>
      <c r="B20" s="69" t="s">
        <v>84</v>
      </c>
      <c r="K20" s="58" t="s">
        <v>85</v>
      </c>
      <c r="L20" s="59">
        <v>2.9</v>
      </c>
      <c r="N20" s="58" t="s">
        <v>85</v>
      </c>
      <c r="O20" s="59">
        <v>2.9</v>
      </c>
    </row>
    <row r="21" spans="1:17" x14ac:dyDescent="0.2">
      <c r="K21" s="58" t="s">
        <v>90</v>
      </c>
      <c r="L21" s="59">
        <f>L6*L8</f>
        <v>237.61500000000001</v>
      </c>
      <c r="N21" s="58" t="s">
        <v>90</v>
      </c>
      <c r="O21" s="59">
        <f>O6*O8</f>
        <v>134.03923076923076</v>
      </c>
    </row>
    <row r="22" spans="1:17" x14ac:dyDescent="0.2">
      <c r="A22" s="53" t="s">
        <v>86</v>
      </c>
      <c r="D22" s="53" t="s">
        <v>87</v>
      </c>
      <c r="E22" t="s">
        <v>88</v>
      </c>
      <c r="F22" t="s">
        <v>89</v>
      </c>
      <c r="K22" s="70" t="s">
        <v>91</v>
      </c>
      <c r="L22" s="71">
        <v>6</v>
      </c>
      <c r="N22" s="70" t="s">
        <v>91</v>
      </c>
      <c r="O22" s="71">
        <v>6</v>
      </c>
    </row>
    <row r="23" spans="1:17" x14ac:dyDescent="0.2">
      <c r="A23" s="53"/>
      <c r="D23" s="53"/>
      <c r="K23" s="70" t="s">
        <v>94</v>
      </c>
      <c r="L23" s="71">
        <v>1.32</v>
      </c>
      <c r="N23" s="70" t="s">
        <v>94</v>
      </c>
      <c r="O23" s="71">
        <v>1.45</v>
      </c>
    </row>
    <row r="24" spans="1:17" x14ac:dyDescent="0.2">
      <c r="A24" t="s">
        <v>92</v>
      </c>
      <c r="B24">
        <v>1500</v>
      </c>
      <c r="D24" t="s">
        <v>93</v>
      </c>
      <c r="E24" s="52">
        <f>B25*B14*B16*B17</f>
        <v>920</v>
      </c>
      <c r="K24" s="62" t="s">
        <v>97</v>
      </c>
      <c r="L24" s="62">
        <f>1+0.6*(L23-1)</f>
        <v>1.1919999999999999</v>
      </c>
      <c r="N24" s="62" t="s">
        <v>97</v>
      </c>
      <c r="O24" s="62">
        <f>1+0.6*(O23-1)</f>
        <v>1.27</v>
      </c>
    </row>
    <row r="25" spans="1:17" x14ac:dyDescent="0.2">
      <c r="A25" t="s">
        <v>95</v>
      </c>
      <c r="B25">
        <v>920</v>
      </c>
      <c r="D25" t="s">
        <v>96</v>
      </c>
      <c r="E25">
        <f>B24*B15*SQRT(B17)</f>
        <v>1500</v>
      </c>
      <c r="K25" s="59" t="s">
        <v>99</v>
      </c>
      <c r="L25" s="59">
        <v>1.75</v>
      </c>
      <c r="N25" s="59" t="s">
        <v>99</v>
      </c>
      <c r="O25" s="59">
        <v>1.75</v>
      </c>
    </row>
    <row r="26" spans="1:17" x14ac:dyDescent="0.2">
      <c r="A26" t="s">
        <v>98</v>
      </c>
      <c r="B26">
        <v>1.2749999999999999</v>
      </c>
      <c r="K26" s="59" t="s">
        <v>103</v>
      </c>
      <c r="L26" s="59" cm="1">
        <f t="array" ref="L26">IF(L25&gt;1.6,(L25-1)*0.5+1,N/A)</f>
        <v>1.375</v>
      </c>
      <c r="N26" s="59" t="s">
        <v>103</v>
      </c>
      <c r="O26" s="59" cm="1">
        <f t="array" ref="O26">IF(O25&gt;1.6,(O25-1)*0.5+1,N/A)</f>
        <v>1.375</v>
      </c>
    </row>
    <row r="27" spans="1:17" x14ac:dyDescent="0.2">
      <c r="A27" t="s">
        <v>100</v>
      </c>
      <c r="B27">
        <v>1.94</v>
      </c>
      <c r="D27" s="55" t="s">
        <v>101</v>
      </c>
      <c r="E27" s="18" t="s">
        <v>102</v>
      </c>
      <c r="F27" s="53" t="s">
        <v>19</v>
      </c>
      <c r="G27" s="53" t="s">
        <v>22</v>
      </c>
      <c r="K27" s="59" t="s">
        <v>105</v>
      </c>
      <c r="L27" s="59">
        <f>IF(ISNUMBER(L26),0.9*L26,0.9*L25)</f>
        <v>1.2375</v>
      </c>
      <c r="N27" s="59" t="s">
        <v>105</v>
      </c>
      <c r="O27" s="59">
        <f>IF(ISNUMBER(O26),0.9*O26,0.9*O25)</f>
        <v>1.2375</v>
      </c>
    </row>
    <row r="28" spans="1:17" x14ac:dyDescent="0.2">
      <c r="A28" t="s">
        <v>104</v>
      </c>
      <c r="D28">
        <v>1</v>
      </c>
      <c r="E28">
        <f>'Gear Ratio and forces'!H2/4.25</f>
        <v>2.1176470588235294</v>
      </c>
      <c r="F28">
        <f>SQRT(E28)</f>
        <v>1.4552137502179978</v>
      </c>
      <c r="G28" cm="1">
        <f t="array" ref="G28:G30">SQRT(E28:E30)</f>
        <v>1.4552137502179978</v>
      </c>
      <c r="K28" s="59" t="s">
        <v>106</v>
      </c>
      <c r="L28" s="59">
        <v>0.3</v>
      </c>
      <c r="N28" s="59" t="s">
        <v>106</v>
      </c>
      <c r="O28" s="59">
        <v>0.3</v>
      </c>
    </row>
    <row r="29" spans="1:17" x14ac:dyDescent="0.2">
      <c r="D29">
        <v>2</v>
      </c>
      <c r="E29">
        <f>'Gear Ratio and forces'!H3/4.25</f>
        <v>1.411764705882353</v>
      </c>
      <c r="F29">
        <f t="shared" ref="F29:F30" si="0">SQRT(E29)</f>
        <v>1.1881770515720091</v>
      </c>
      <c r="G29">
        <v>1.1881770515720091</v>
      </c>
      <c r="K29" s="62" t="s">
        <v>108</v>
      </c>
      <c r="L29" s="59">
        <f>E32</f>
        <v>0.56470588235294117</v>
      </c>
      <c r="N29" s="62" t="s">
        <v>108</v>
      </c>
      <c r="O29" s="59">
        <f>E37</f>
        <v>4.25</v>
      </c>
    </row>
    <row r="30" spans="1:17" x14ac:dyDescent="0.2">
      <c r="A30" s="53" t="s">
        <v>107</v>
      </c>
      <c r="D30">
        <v>3</v>
      </c>
      <c r="E30">
        <f>'Gear Ratio and forces'!H4/4.25</f>
        <v>0.94117647058823528</v>
      </c>
      <c r="F30">
        <f t="shared" si="0"/>
        <v>0.97014250014533188</v>
      </c>
      <c r="G30">
        <v>0.97014250014533188</v>
      </c>
      <c r="K30" s="71" t="s">
        <v>110</v>
      </c>
      <c r="L30">
        <v>1.2</v>
      </c>
      <c r="N30" s="71" t="s">
        <v>110</v>
      </c>
      <c r="O30">
        <v>1.2</v>
      </c>
    </row>
    <row r="31" spans="1:17" x14ac:dyDescent="0.2">
      <c r="A31" t="s">
        <v>109</v>
      </c>
      <c r="B31">
        <v>270</v>
      </c>
      <c r="D31">
        <v>4</v>
      </c>
      <c r="E31">
        <f>'Gear Ratio and forces'!H5/4.25</f>
        <v>0.70588235294117652</v>
      </c>
      <c r="K31" s="57" t="s">
        <v>113</v>
      </c>
      <c r="L31" s="59">
        <f>700*((L21/L28)*(($B$26/$E$25)^2)*((L29+1)/L29)*(L24*IF(ISNUMBER(L26),L26,24)))^(1/3)</f>
        <v>96.240523270542198</v>
      </c>
      <c r="N31" s="57" t="s">
        <v>113</v>
      </c>
      <c r="O31" s="59">
        <f>700*((O21/O28)*(($B$26/$E$25)^2)*((O29+1)/O29)*(O24*IF(ISNUMBER(O26),O26,24)))^(1/3)</f>
        <v>62.044955681487664</v>
      </c>
    </row>
    <row r="32" spans="1:17" x14ac:dyDescent="0.2">
      <c r="A32" t="s">
        <v>111</v>
      </c>
      <c r="B32">
        <v>650</v>
      </c>
      <c r="D32">
        <v>5</v>
      </c>
      <c r="E32">
        <f>'Gear Ratio and forces'!H6/4.25</f>
        <v>0.56470588235294117</v>
      </c>
      <c r="K32" s="59" t="s">
        <v>115</v>
      </c>
      <c r="L32" s="59">
        <f>L29*L31</f>
        <v>54.347589611600299</v>
      </c>
      <c r="N32" s="59" t="s">
        <v>115</v>
      </c>
      <c r="O32" s="59">
        <f>O29*O31</f>
        <v>263.69106164632257</v>
      </c>
    </row>
    <row r="33" spans="1:15" x14ac:dyDescent="0.2">
      <c r="K33" s="65" t="s">
        <v>116</v>
      </c>
      <c r="L33" s="63">
        <f>2*L21*(10^3)*L20*$B$27*L24*L27/(L28*$E$24*L31^2)</f>
        <v>1.5427658117244571</v>
      </c>
      <c r="N33" s="65" t="s">
        <v>116</v>
      </c>
      <c r="O33" s="63">
        <f>2*O21*(10^3)*O20*$B$27*O24*O27/(O28*$E$24*O31^2)</f>
        <v>2.2309433345486878</v>
      </c>
    </row>
    <row r="34" spans="1:15" x14ac:dyDescent="0.2">
      <c r="K34" s="59"/>
      <c r="L34" s="59"/>
      <c r="N34" s="59"/>
      <c r="O34" s="59"/>
    </row>
    <row r="35" spans="1:15" x14ac:dyDescent="0.2">
      <c r="K35" s="59" t="s">
        <v>117</v>
      </c>
      <c r="L35" s="59">
        <f>(L31/L33)*COS(($E$12))</f>
        <v>54.024231929688995</v>
      </c>
      <c r="N35" s="59" t="s">
        <v>117</v>
      </c>
      <c r="O35" s="59">
        <f>(O31/O33)*COS(($E$12))</f>
        <v>24.085106494969697</v>
      </c>
    </row>
    <row r="36" spans="1:15" x14ac:dyDescent="0.2">
      <c r="K36" s="63" t="s">
        <v>119</v>
      </c>
      <c r="L36" s="63">
        <f>L29*L35</f>
        <v>30.507801560294961</v>
      </c>
      <c r="N36" s="63" t="s">
        <v>119</v>
      </c>
      <c r="O36" s="63">
        <f>O29*O35</f>
        <v>102.36170260362121</v>
      </c>
    </row>
    <row r="37" spans="1:15" x14ac:dyDescent="0.2">
      <c r="A37" s="53" t="s">
        <v>118</v>
      </c>
      <c r="B37" s="54">
        <v>1E-3</v>
      </c>
      <c r="D37" t="s">
        <v>51</v>
      </c>
      <c r="E37">
        <v>4.25</v>
      </c>
      <c r="K37" s="57"/>
      <c r="L37" s="59"/>
      <c r="N37" s="57"/>
      <c r="O37" s="59"/>
    </row>
    <row r="38" spans="1:15" x14ac:dyDescent="0.2">
      <c r="K38" s="59" t="s">
        <v>122</v>
      </c>
      <c r="L38" s="59">
        <v>39</v>
      </c>
      <c r="N38" s="59" t="s">
        <v>122</v>
      </c>
      <c r="O38" s="59">
        <v>20</v>
      </c>
    </row>
    <row r="39" spans="1:15" x14ac:dyDescent="0.2">
      <c r="A39" t="s">
        <v>120</v>
      </c>
      <c r="B39">
        <v>0.3</v>
      </c>
      <c r="D39" t="s">
        <v>121</v>
      </c>
      <c r="K39" s="65" t="s">
        <v>124</v>
      </c>
      <c r="L39" s="63">
        <v>22</v>
      </c>
      <c r="N39" s="65" t="s">
        <v>124</v>
      </c>
      <c r="O39" s="63">
        <f>ROUND(O38*O29,0)</f>
        <v>85</v>
      </c>
    </row>
    <row r="40" spans="1:15" x14ac:dyDescent="0.2">
      <c r="D40" t="s">
        <v>123</v>
      </c>
      <c r="K40" s="59" t="s">
        <v>125</v>
      </c>
      <c r="L40" s="59">
        <v>3</v>
      </c>
      <c r="N40" s="59" t="s">
        <v>125</v>
      </c>
      <c r="O40" s="59">
        <v>3</v>
      </c>
    </row>
    <row r="41" spans="1:15" x14ac:dyDescent="0.2">
      <c r="K41" s="59" t="s">
        <v>127</v>
      </c>
      <c r="L41" s="59">
        <f>L38*L40/(COS($E$12))</f>
        <v>135.09996299037243</v>
      </c>
      <c r="N41" s="59" t="s">
        <v>127</v>
      </c>
      <c r="O41" s="59">
        <f>O38*O40/(COS($E$12))</f>
        <v>69.282032302755084</v>
      </c>
    </row>
    <row r="42" spans="1:15" x14ac:dyDescent="0.2">
      <c r="D42" t="s">
        <v>126</v>
      </c>
      <c r="K42" s="63" t="s">
        <v>128</v>
      </c>
      <c r="L42" s="59">
        <f>L39*L40/(COS($E$12))</f>
        <v>76.210235533030598</v>
      </c>
      <c r="N42" s="63" t="s">
        <v>128</v>
      </c>
      <c r="O42" s="59">
        <f>O39*O40/(COS($E$12))</f>
        <v>294.44863728670913</v>
      </c>
    </row>
    <row r="43" spans="1:15" x14ac:dyDescent="0.2">
      <c r="K43" s="71" t="s">
        <v>129</v>
      </c>
      <c r="L43">
        <f>MAX(L41*L28,L42*L28)</f>
        <v>40.529988897111728</v>
      </c>
      <c r="N43" s="71" t="s">
        <v>129</v>
      </c>
      <c r="O43">
        <f>MAX(O41*O28,O42*O28)</f>
        <v>88.33459118601273</v>
      </c>
    </row>
    <row r="44" spans="1:15" x14ac:dyDescent="0.2">
      <c r="K44" s="74" t="s">
        <v>130</v>
      </c>
      <c r="L44" s="73">
        <v>2.5</v>
      </c>
      <c r="N44" s="74" t="s">
        <v>130</v>
      </c>
      <c r="O44" s="73">
        <v>2.5</v>
      </c>
    </row>
    <row r="45" spans="1:15" x14ac:dyDescent="0.2">
      <c r="K45" s="74" t="s">
        <v>131</v>
      </c>
      <c r="L45" s="73">
        <v>190</v>
      </c>
      <c r="N45" s="74" t="s">
        <v>131</v>
      </c>
      <c r="O45" s="73">
        <v>190</v>
      </c>
    </row>
    <row r="46" spans="1:15" x14ac:dyDescent="0.2">
      <c r="K46" s="74" t="s">
        <v>133</v>
      </c>
      <c r="L46" s="73">
        <v>0.83</v>
      </c>
      <c r="N46" s="74" t="s">
        <v>133</v>
      </c>
      <c r="O46" s="73">
        <v>0.83</v>
      </c>
    </row>
    <row r="47" spans="1:15" x14ac:dyDescent="0.2">
      <c r="K47" s="74" t="s">
        <v>134</v>
      </c>
      <c r="L47" s="73">
        <v>0.96</v>
      </c>
      <c r="N47" s="74" t="s">
        <v>134</v>
      </c>
      <c r="O47" s="73">
        <v>0.96</v>
      </c>
    </row>
    <row r="48" spans="1:15" x14ac:dyDescent="0.2">
      <c r="K48" s="73"/>
      <c r="L48" s="73"/>
      <c r="N48" s="73"/>
      <c r="O48" s="73"/>
    </row>
    <row r="49" spans="11:15" x14ac:dyDescent="0.2">
      <c r="K49" s="73"/>
      <c r="L49" s="73"/>
      <c r="N49" s="73"/>
      <c r="O49" s="73"/>
    </row>
    <row r="50" spans="11:15" x14ac:dyDescent="0.2">
      <c r="K50" s="73"/>
      <c r="L50" s="73"/>
      <c r="N50" s="73"/>
      <c r="O50" s="73"/>
    </row>
    <row r="51" spans="11:15" x14ac:dyDescent="0.2">
      <c r="K51" s="73"/>
      <c r="L51" s="73"/>
      <c r="N51" s="73"/>
      <c r="O51" s="73"/>
    </row>
    <row r="52" spans="11:15" x14ac:dyDescent="0.2">
      <c r="K52" s="73" t="s">
        <v>135</v>
      </c>
      <c r="L52" s="73">
        <f>L39/L38</f>
        <v>0.5641025641025641</v>
      </c>
      <c r="N52" s="73" t="s">
        <v>135</v>
      </c>
      <c r="O52" s="73">
        <f>O39/O38</f>
        <v>4.25</v>
      </c>
    </row>
    <row r="53" spans="11:15" x14ac:dyDescent="0.2">
      <c r="K53" s="73" t="s">
        <v>136</v>
      </c>
      <c r="L53" s="73">
        <f>L40*L28*(MIN(L41,L42)^2)*$E$24/(2*L21*1000*L20*L24*L27)</f>
        <v>2.3655581857553689</v>
      </c>
      <c r="N53" s="73" t="s">
        <v>136</v>
      </c>
      <c r="O53" s="73">
        <f>O40*O28*(O41^2)*$E$24/(2*O21*1000*O20*O24*O27)</f>
        <v>3.2528401752100304</v>
      </c>
    </row>
    <row r="54" spans="11:15" x14ac:dyDescent="0.2">
      <c r="K54" s="73" t="s">
        <v>137</v>
      </c>
      <c r="L54" s="73">
        <f>(((MIN(L41,L42)^3)*(L52/(L52+1))/((L24*IF(ISNUMBER(L26),L26,L25)*L30)*2*L21*1000))^0.5)*($E$25/(L44*L45*L46*L47))</f>
        <v>1.6378822580010906</v>
      </c>
      <c r="N54" s="73" t="s">
        <v>137</v>
      </c>
      <c r="O54" s="73">
        <f>(((O41^3)*(O52/(O52+1))/((O24*IF(ISNUMBER(O26),O26,O25)*O30)*2*O21*1000))^0.5)*($E$25/(O44*O45*O46*O47))</f>
        <v>2.7435903809043154</v>
      </c>
    </row>
    <row r="55" spans="11:15" x14ac:dyDescent="0.2">
      <c r="K55" s="73" t="s">
        <v>138</v>
      </c>
      <c r="L55" s="73"/>
      <c r="N55" s="73" t="s">
        <v>138</v>
      </c>
      <c r="O55" s="73"/>
    </row>
    <row r="56" spans="11:15" x14ac:dyDescent="0.2">
      <c r="K56" s="73" t="s">
        <v>139</v>
      </c>
      <c r="L56" s="73">
        <f>L52*$E$37</f>
        <v>2.3974358974358974</v>
      </c>
      <c r="N56" s="73" t="s">
        <v>139</v>
      </c>
      <c r="O56" s="73">
        <f>O52*$E$32</f>
        <v>2.4</v>
      </c>
    </row>
    <row r="57" spans="11:15" x14ac:dyDescent="0.2">
      <c r="K57" s="73"/>
      <c r="L57" s="73"/>
      <c r="N57" s="73"/>
      <c r="O57" s="73"/>
    </row>
    <row r="58" spans="11:15" x14ac:dyDescent="0.2">
      <c r="K58" s="73" t="s">
        <v>140</v>
      </c>
      <c r="L58" s="73">
        <f>L38*(1/COS($E$12))^3</f>
        <v>60.044427995721072</v>
      </c>
      <c r="N58" s="73" t="s">
        <v>140</v>
      </c>
      <c r="O58" s="73">
        <f>O38*(1/COS($E$12))^3</f>
        <v>30.792014356780037</v>
      </c>
    </row>
    <row r="59" spans="11:15" x14ac:dyDescent="0.2">
      <c r="K59" s="73" t="s">
        <v>141</v>
      </c>
      <c r="L59" s="73">
        <f>L39*(1/COS($E$12))^3</f>
        <v>33.871215792458038</v>
      </c>
      <c r="N59" s="73" t="s">
        <v>141</v>
      </c>
      <c r="O59" s="73">
        <f>O39*(1/COS($E$12))^3</f>
        <v>130.86606101631517</v>
      </c>
    </row>
    <row r="60" spans="11:15" x14ac:dyDescent="0.2">
      <c r="K60" s="73" t="s">
        <v>142</v>
      </c>
      <c r="L60" s="73">
        <f>L59+L58</f>
        <v>93.915643788179111</v>
      </c>
      <c r="N60" s="73" t="s">
        <v>142</v>
      </c>
      <c r="O60" s="73">
        <f>O59+O58</f>
        <v>161.65807537309522</v>
      </c>
    </row>
    <row r="61" spans="11:15" x14ac:dyDescent="0.2">
      <c r="K61" t="s">
        <v>143</v>
      </c>
      <c r="L61">
        <f>0.5*L60</f>
        <v>46.957821894089555</v>
      </c>
      <c r="N61" t="s">
        <v>143</v>
      </c>
      <c r="O61">
        <f>0.5*O60</f>
        <v>80.829037686547608</v>
      </c>
    </row>
    <row r="62" spans="11:15" x14ac:dyDescent="0.2">
      <c r="K62" t="s">
        <v>144</v>
      </c>
      <c r="L62">
        <v>0.3</v>
      </c>
      <c r="N62" t="s">
        <v>144</v>
      </c>
      <c r="O62">
        <v>0.3</v>
      </c>
    </row>
    <row r="63" spans="11:15" x14ac:dyDescent="0.2">
      <c r="K63" t="s">
        <v>145</v>
      </c>
      <c r="L63">
        <v>0.3</v>
      </c>
      <c r="N63" t="s">
        <v>145</v>
      </c>
      <c r="O63">
        <v>0.3</v>
      </c>
    </row>
  </sheetData>
  <conditionalFormatting sqref="Q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{48C706B6-C9CD-DB4C-93EB-2B8169236E87}</x14:id>
        </ext>
      </extLst>
    </cfRule>
  </conditionalFormatting>
  <conditionalFormatting sqref="Q3:R12 Q13:Q1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{4870600A-3711-6345-AEC3-66EB51B0E315}</x14:id>
        </ext>
      </extLst>
    </cfRule>
  </conditionalFormatting>
  <conditionalFormatting sqref="R5:R1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{97DB8965-F37D-A24C-8DB7-9A7357F1B513}</x14:id>
        </ext>
      </extLst>
    </cfRule>
  </conditionalFormatting>
  <hyperlinks>
    <hyperlink ref="B20" r:id="rId1" xr:uid="{4E1AC403-57A2-6940-A755-B97CCE40F3B6}"/>
  </hyperlinks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C706B6-C9CD-DB4C-93EB-2B8169236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</xm:sqref>
        </x14:conditionalFormatting>
        <x14:conditionalFormatting xmlns:xm="http://schemas.microsoft.com/office/excel/2006/main">
          <x14:cfRule type="dataBar" id="{4870600A-3711-6345-AEC3-66EB51B0E3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Q3:R12 Q13:Q15</xm:sqref>
        </x14:conditionalFormatting>
        <x14:conditionalFormatting xmlns:xm="http://schemas.microsoft.com/office/excel/2006/main">
          <x14:cfRule type="dataBar" id="{97DB8965-F37D-A24C-8DB7-9A7357F1B51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R5:R15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5D04-236A-40A5-A7EE-CEE630D70815}">
  <dimension ref="A1:AK105"/>
  <sheetViews>
    <sheetView zoomScale="85" workbookViewId="0">
      <selection activeCell="H53" sqref="H53"/>
    </sheetView>
  </sheetViews>
  <sheetFormatPr baseColWidth="10" defaultColWidth="8.83203125" defaultRowHeight="16" x14ac:dyDescent="0.2"/>
  <cols>
    <col min="1" max="1" width="12.6640625" customWidth="1"/>
    <col min="2" max="2" width="15.5" customWidth="1"/>
    <col min="4" max="4" width="18.5" customWidth="1"/>
    <col min="6" max="6" width="16" customWidth="1"/>
    <col min="7" max="7" width="14.5" customWidth="1"/>
  </cols>
  <sheetData>
    <row r="1" spans="1:23" x14ac:dyDescent="0.2">
      <c r="A1" t="s">
        <v>153</v>
      </c>
    </row>
    <row r="4" spans="1:23" x14ac:dyDescent="0.2">
      <c r="A4" t="s">
        <v>157</v>
      </c>
    </row>
    <row r="6" spans="1:23" x14ac:dyDescent="0.2">
      <c r="A6" t="s">
        <v>51</v>
      </c>
    </row>
    <row r="8" spans="1:23" x14ac:dyDescent="0.2">
      <c r="A8" s="75" t="s">
        <v>53</v>
      </c>
      <c r="B8" s="75"/>
    </row>
    <row r="9" spans="1:23" x14ac:dyDescent="0.2">
      <c r="A9" s="75"/>
    </row>
    <row r="10" spans="1:23" x14ac:dyDescent="0.2">
      <c r="A10" s="75" t="s">
        <v>54</v>
      </c>
      <c r="B10">
        <v>3.8693792983292878</v>
      </c>
    </row>
    <row r="11" spans="1:23" x14ac:dyDescent="0.2">
      <c r="A11" s="75"/>
    </row>
    <row r="12" spans="1:23" x14ac:dyDescent="0.2">
      <c r="A12" s="75"/>
      <c r="V12" t="s">
        <v>161</v>
      </c>
    </row>
    <row r="13" spans="1:23" x14ac:dyDescent="0.2">
      <c r="A13" s="75" t="s">
        <v>55</v>
      </c>
      <c r="B13">
        <v>8.6564242446140209</v>
      </c>
      <c r="V13" t="s">
        <v>162</v>
      </c>
    </row>
    <row r="14" spans="1:23" x14ac:dyDescent="0.2">
      <c r="A14" s="75"/>
      <c r="P14" t="s">
        <v>169</v>
      </c>
      <c r="V14" t="s">
        <v>163</v>
      </c>
      <c r="W14" t="s">
        <v>164</v>
      </c>
    </row>
    <row r="15" spans="1:23" x14ac:dyDescent="0.2">
      <c r="A15" s="75"/>
    </row>
    <row r="16" spans="1:23" ht="20" thickBot="1" x14ac:dyDescent="0.3">
      <c r="A16" s="75" t="s">
        <v>56</v>
      </c>
      <c r="B16">
        <v>9.4818656844041325</v>
      </c>
      <c r="F16" s="88" t="s">
        <v>209</v>
      </c>
      <c r="G16" s="78"/>
    </row>
    <row r="17" spans="1:37" ht="17" thickBot="1" x14ac:dyDescent="0.25">
      <c r="A17" s="75"/>
      <c r="F17" s="79" t="s">
        <v>159</v>
      </c>
      <c r="G17" s="80" t="s">
        <v>167</v>
      </c>
    </row>
    <row r="18" spans="1:37" x14ac:dyDescent="0.2">
      <c r="A18" s="75" t="s">
        <v>33</v>
      </c>
      <c r="F18" s="85" t="s">
        <v>165</v>
      </c>
      <c r="G18" s="87">
        <f>SUM(G19:G24)</f>
        <v>8.4220391778287347</v>
      </c>
      <c r="P18" t="s">
        <v>160</v>
      </c>
    </row>
    <row r="19" spans="1:37" x14ac:dyDescent="0.2">
      <c r="A19" s="75" t="s">
        <v>57</v>
      </c>
      <c r="B19">
        <v>2.2339871794871788</v>
      </c>
      <c r="F19" s="81">
        <v>1</v>
      </c>
      <c r="G19">
        <v>0.65770167624985632</v>
      </c>
    </row>
    <row r="20" spans="1:37" x14ac:dyDescent="0.2">
      <c r="A20" s="75"/>
      <c r="F20" s="82">
        <v>2</v>
      </c>
      <c r="G20">
        <v>1.0503448275862066</v>
      </c>
    </row>
    <row r="21" spans="1:37" x14ac:dyDescent="0.2">
      <c r="F21" s="82">
        <v>3</v>
      </c>
      <c r="G21">
        <v>2.0045238095238092</v>
      </c>
    </row>
    <row r="22" spans="1:37" x14ac:dyDescent="0.2">
      <c r="A22" t="s">
        <v>65</v>
      </c>
      <c r="F22" s="82">
        <v>4</v>
      </c>
      <c r="G22">
        <v>2.6785714285714279</v>
      </c>
      <c r="L22" s="89"/>
      <c r="M22" s="89"/>
      <c r="N22" s="89"/>
      <c r="O22" s="89"/>
      <c r="P22" s="89"/>
      <c r="Q22" s="89"/>
      <c r="R22" s="90"/>
      <c r="S22" s="89"/>
      <c r="T22" s="89"/>
      <c r="U22" s="89"/>
      <c r="V22" s="89"/>
      <c r="W22" s="89"/>
      <c r="X22" s="89"/>
      <c r="Y22" s="89"/>
      <c r="Z22" s="89"/>
      <c r="AA22" s="89"/>
    </row>
    <row r="23" spans="1:37" x14ac:dyDescent="0.2">
      <c r="F23" s="82">
        <v>5</v>
      </c>
      <c r="G23">
        <v>2.0308974358974354</v>
      </c>
      <c r="K23" s="89" t="s">
        <v>171</v>
      </c>
      <c r="L23" s="89"/>
      <c r="M23" s="89">
        <v>3500</v>
      </c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</row>
    <row r="24" spans="1:37" ht="17" thickBot="1" x14ac:dyDescent="0.25">
      <c r="A24" s="75" t="s">
        <v>53</v>
      </c>
      <c r="B24" s="75"/>
      <c r="E24" t="s">
        <v>170</v>
      </c>
      <c r="F24" s="82">
        <v>6</v>
      </c>
      <c r="G24" t="s">
        <v>168</v>
      </c>
      <c r="K24" s="89" t="s">
        <v>172</v>
      </c>
      <c r="L24" s="89"/>
      <c r="M24" s="89">
        <v>20</v>
      </c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</row>
    <row r="25" spans="1:37" x14ac:dyDescent="0.2">
      <c r="A25" s="75"/>
      <c r="F25" s="86" t="s">
        <v>85</v>
      </c>
      <c r="G25" s="87">
        <f>SUM(G26:G31)</f>
        <v>32.634361019377643</v>
      </c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</row>
    <row r="26" spans="1:37" x14ac:dyDescent="0.2">
      <c r="A26" s="75" t="s">
        <v>54</v>
      </c>
      <c r="B26">
        <v>3.517617543935716</v>
      </c>
      <c r="F26" s="81">
        <v>1</v>
      </c>
      <c r="G26">
        <v>2.5485127167647699</v>
      </c>
      <c r="K26" s="91" t="s">
        <v>173</v>
      </c>
      <c r="L26" s="89" t="s">
        <v>174</v>
      </c>
      <c r="M26" s="89" t="s">
        <v>175</v>
      </c>
      <c r="N26" s="89"/>
      <c r="O26" s="90" t="s">
        <v>176</v>
      </c>
      <c r="P26" s="89">
        <v>3</v>
      </c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</row>
    <row r="27" spans="1:37" x14ac:dyDescent="0.2">
      <c r="A27" s="75"/>
      <c r="F27" s="82">
        <v>2</v>
      </c>
      <c r="G27">
        <v>4.0699564053941133</v>
      </c>
      <c r="K27" s="89"/>
      <c r="L27" s="92" t="s">
        <v>177</v>
      </c>
      <c r="M27" s="92" t="s">
        <v>178</v>
      </c>
      <c r="N27" s="91" t="s">
        <v>179</v>
      </c>
      <c r="O27" s="91" t="s">
        <v>180</v>
      </c>
      <c r="P27" s="91" t="s">
        <v>181</v>
      </c>
      <c r="Q27" s="91" t="s">
        <v>182</v>
      </c>
      <c r="R27" s="91" t="s">
        <v>183</v>
      </c>
      <c r="S27" s="91" t="s">
        <v>165</v>
      </c>
      <c r="T27" s="91" t="s">
        <v>85</v>
      </c>
      <c r="U27" s="91" t="s">
        <v>184</v>
      </c>
      <c r="V27" s="92" t="s">
        <v>185</v>
      </c>
      <c r="W27" s="92" t="s">
        <v>186</v>
      </c>
      <c r="X27" s="91"/>
      <c r="Y27" s="91"/>
      <c r="AA27" s="91" t="s">
        <v>187</v>
      </c>
      <c r="AB27" s="91" t="s">
        <v>188</v>
      </c>
      <c r="AC27" s="77" t="s">
        <v>189</v>
      </c>
      <c r="AD27" s="91" t="s">
        <v>190</v>
      </c>
      <c r="AE27" s="91" t="s">
        <v>191</v>
      </c>
      <c r="AF27" s="91" t="s">
        <v>192</v>
      </c>
      <c r="AG27" s="91" t="s">
        <v>193</v>
      </c>
      <c r="AH27" s="91" t="s">
        <v>194</v>
      </c>
      <c r="AI27" s="91" t="s">
        <v>195</v>
      </c>
      <c r="AJ27" s="92" t="s">
        <v>196</v>
      </c>
    </row>
    <row r="28" spans="1:37" x14ac:dyDescent="0.2">
      <c r="A28" s="75"/>
      <c r="F28" s="82">
        <v>3</v>
      </c>
      <c r="G28">
        <v>7.7672820430648963</v>
      </c>
      <c r="K28" s="91"/>
      <c r="L28" s="93">
        <f>'[1]Bevel and Load Calculations'!S54/1000</f>
        <v>0</v>
      </c>
      <c r="M28" s="93">
        <f>'[1]Bevel and Load Calculations'!R54/1000</f>
        <v>0</v>
      </c>
      <c r="N28" s="89" t="e">
        <f>L28/M28</f>
        <v>#DIV/0!</v>
      </c>
      <c r="O28" s="89">
        <v>3.6</v>
      </c>
      <c r="P28" s="89">
        <v>2.2229999999999999</v>
      </c>
      <c r="Q28" s="89">
        <f>L28/P28</f>
        <v>0</v>
      </c>
      <c r="R28" s="89">
        <v>0.28999999999999998</v>
      </c>
      <c r="S28" s="89">
        <v>0.56000000000000005</v>
      </c>
      <c r="T28" s="89">
        <v>1.49</v>
      </c>
      <c r="U28" s="94">
        <f>(S28*M28)+(T28*L28)</f>
        <v>0</v>
      </c>
      <c r="V28" s="95" t="e">
        <f>(O28/U28)^P26</f>
        <v>#DIV/0!</v>
      </c>
      <c r="W28" s="96" t="e">
        <f>V28*(10^6)/(60*$C$15)</f>
        <v>#DIV/0!</v>
      </c>
      <c r="X28" s="91"/>
      <c r="Y28" s="91"/>
      <c r="Z28" s="91"/>
      <c r="AA28" s="89">
        <v>1</v>
      </c>
      <c r="AB28" s="89">
        <v>128</v>
      </c>
      <c r="AC28" s="89">
        <f>(K34+L34)/2</f>
        <v>26</v>
      </c>
      <c r="AD28" s="89">
        <v>109</v>
      </c>
      <c r="AE28" s="97">
        <f>AB28/AD28</f>
        <v>1.1743119266055047</v>
      </c>
      <c r="AF28" s="89">
        <v>0.3</v>
      </c>
      <c r="AG28" s="94">
        <v>0.104</v>
      </c>
      <c r="AH28" s="89" t="e">
        <f>AF28*AG28/U28</f>
        <v>#DIV/0!</v>
      </c>
      <c r="AI28" s="89">
        <v>1.2</v>
      </c>
      <c r="AJ28" s="96" t="e">
        <f>AA28*AI28*W28</f>
        <v>#DIV/0!</v>
      </c>
      <c r="AK28" s="91"/>
    </row>
    <row r="29" spans="1:37" x14ac:dyDescent="0.2">
      <c r="A29" s="75" t="s">
        <v>55</v>
      </c>
      <c r="B29">
        <v>7.8694765860127465</v>
      </c>
      <c r="F29" s="82">
        <v>4</v>
      </c>
      <c r="G29">
        <v>10.379133268141119</v>
      </c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AF29" s="89"/>
      <c r="AI29" s="89"/>
    </row>
    <row r="30" spans="1:37" x14ac:dyDescent="0.2">
      <c r="A30" s="75"/>
      <c r="F30" s="82">
        <v>5</v>
      </c>
      <c r="G30">
        <v>7.8694765860127465</v>
      </c>
      <c r="K30" s="91" t="s">
        <v>197</v>
      </c>
      <c r="L30" s="89" t="s">
        <v>174</v>
      </c>
      <c r="M30" s="89" t="s">
        <v>175</v>
      </c>
      <c r="O30" s="90" t="s">
        <v>176</v>
      </c>
      <c r="P30" s="89">
        <v>3</v>
      </c>
      <c r="AF30" s="89"/>
      <c r="AI30" s="89"/>
    </row>
    <row r="31" spans="1:37" ht="17" thickBot="1" x14ac:dyDescent="0.25">
      <c r="A31" s="75"/>
      <c r="F31" s="82">
        <v>6</v>
      </c>
      <c r="G31" s="83" t="s">
        <v>168</v>
      </c>
      <c r="K31" s="77" t="s">
        <v>198</v>
      </c>
      <c r="L31" s="98">
        <f>'[1]Bevel and Load Calculations'!S55/1000</f>
        <v>0</v>
      </c>
      <c r="M31" s="93">
        <f>'[1]Bevel and Load Calculations'!R55/1000</f>
        <v>0</v>
      </c>
      <c r="N31" s="99" t="s">
        <v>199</v>
      </c>
      <c r="O31" s="89">
        <v>3.6</v>
      </c>
      <c r="P31" s="89">
        <v>2.2229999999999999</v>
      </c>
      <c r="Q31" s="99" t="s">
        <v>199</v>
      </c>
      <c r="R31" s="99" t="s">
        <v>199</v>
      </c>
      <c r="S31" s="99" t="s">
        <v>199</v>
      </c>
      <c r="T31" s="99" t="s">
        <v>199</v>
      </c>
      <c r="U31" s="94">
        <f>M31</f>
        <v>0</v>
      </c>
      <c r="V31" s="95" t="e">
        <f>(O31/U31)^P30</f>
        <v>#DIV/0!</v>
      </c>
      <c r="W31" s="96" t="e">
        <f>V31*(10^6)/(60*$C$15)</f>
        <v>#DIV/0!</v>
      </c>
      <c r="AA31" s="89">
        <v>1</v>
      </c>
      <c r="AB31" s="89">
        <v>128</v>
      </c>
      <c r="AC31" s="89">
        <f>(K34+L34)/2</f>
        <v>26</v>
      </c>
      <c r="AD31" s="89">
        <v>109</v>
      </c>
      <c r="AE31" s="97">
        <f>AB31/AD31</f>
        <v>1.1743119266055047</v>
      </c>
      <c r="AF31" s="89">
        <v>0.3</v>
      </c>
      <c r="AG31" s="94">
        <v>0.104</v>
      </c>
      <c r="AH31" s="100" t="e">
        <f>AF31*AG31/U31</f>
        <v>#DIV/0!</v>
      </c>
      <c r="AI31" s="89">
        <v>1.2</v>
      </c>
      <c r="AJ31" s="96" t="e">
        <f>AA31*AI31*W31</f>
        <v>#DIV/0!</v>
      </c>
    </row>
    <row r="32" spans="1:37" x14ac:dyDescent="0.2">
      <c r="A32" s="75" t="s">
        <v>56</v>
      </c>
      <c r="B32">
        <v>9.9533776460192733</v>
      </c>
      <c r="F32" s="86" t="s">
        <v>166</v>
      </c>
      <c r="G32" s="87">
        <f>SUM(G33:G38)</f>
        <v>14.587399759334987</v>
      </c>
    </row>
    <row r="33" spans="1:37" x14ac:dyDescent="0.2">
      <c r="A33" s="75"/>
      <c r="F33" s="81">
        <v>1</v>
      </c>
      <c r="G33">
        <v>1.1391727194879679</v>
      </c>
      <c r="K33" s="101" t="s">
        <v>200</v>
      </c>
      <c r="L33" s="101" t="s">
        <v>201</v>
      </c>
      <c r="M33" s="101" t="s">
        <v>202</v>
      </c>
      <c r="N33" s="101" t="s">
        <v>203</v>
      </c>
      <c r="P33" s="89"/>
      <c r="Q33" s="92" t="s">
        <v>204</v>
      </c>
      <c r="R33" s="102"/>
      <c r="S33" s="102"/>
      <c r="T33" s="103" t="s">
        <v>205</v>
      </c>
    </row>
    <row r="34" spans="1:37" x14ac:dyDescent="0.2">
      <c r="A34" s="75" t="s">
        <v>33</v>
      </c>
      <c r="F34" s="82">
        <v>2</v>
      </c>
      <c r="G34">
        <v>1.8192506068464829</v>
      </c>
      <c r="K34" s="101">
        <v>20</v>
      </c>
      <c r="L34" s="101">
        <v>32</v>
      </c>
      <c r="M34" s="101">
        <v>7</v>
      </c>
      <c r="N34" s="101">
        <v>1.9E-2</v>
      </c>
      <c r="P34" s="90">
        <v>1</v>
      </c>
      <c r="Q34" s="112">
        <v>42.2</v>
      </c>
      <c r="R34" s="112"/>
      <c r="S34" s="112"/>
      <c r="T34" s="105">
        <f>1.05*10^(-4)*Q34*$C$15</f>
        <v>0</v>
      </c>
      <c r="U34" s="89"/>
      <c r="V34" s="89"/>
      <c r="W34" s="89"/>
      <c r="X34" s="89"/>
      <c r="Y34" s="89"/>
      <c r="Z34" s="89"/>
      <c r="AA34" s="89"/>
    </row>
    <row r="35" spans="1:37" x14ac:dyDescent="0.2">
      <c r="A35" s="75" t="s">
        <v>57</v>
      </c>
      <c r="B35">
        <v>2.0308974358974354</v>
      </c>
      <c r="F35" s="82">
        <v>3</v>
      </c>
      <c r="G35">
        <v>3.4719370830767571</v>
      </c>
      <c r="P35" s="90">
        <v>2</v>
      </c>
      <c r="Q35" s="112">
        <v>40.5</v>
      </c>
      <c r="R35" s="112"/>
      <c r="S35" s="112"/>
      <c r="T35" s="105">
        <f>1.05*10^(-4)*Q35*$C$15</f>
        <v>0</v>
      </c>
      <c r="AB35" s="77"/>
      <c r="AC35" s="77"/>
      <c r="AD35" s="77"/>
      <c r="AE35" s="77"/>
      <c r="AF35" s="77"/>
      <c r="AG35" s="77"/>
      <c r="AH35" s="77"/>
      <c r="AI35" s="77"/>
      <c r="AJ35" s="77"/>
      <c r="AK35" s="77"/>
    </row>
    <row r="36" spans="1:37" x14ac:dyDescent="0.2">
      <c r="A36" s="75"/>
      <c r="F36" s="82">
        <v>4</v>
      </c>
      <c r="G36">
        <v>4.6394218059880643</v>
      </c>
      <c r="K36" t="s">
        <v>206</v>
      </c>
      <c r="M36" t="s">
        <v>207</v>
      </c>
      <c r="N36" s="106">
        <v>3.88</v>
      </c>
    </row>
    <row r="37" spans="1:37" x14ac:dyDescent="0.2">
      <c r="F37" s="82">
        <v>5</v>
      </c>
      <c r="G37">
        <v>3.517617543935716</v>
      </c>
      <c r="K37" t="s">
        <v>208</v>
      </c>
      <c r="M37" t="s">
        <v>207</v>
      </c>
      <c r="N37" s="106">
        <v>3.88</v>
      </c>
    </row>
    <row r="38" spans="1:37" ht="17" thickBot="1" x14ac:dyDescent="0.25">
      <c r="A38" t="s">
        <v>64</v>
      </c>
      <c r="F38" s="82">
        <v>6</v>
      </c>
      <c r="G38" s="84" t="s">
        <v>168</v>
      </c>
    </row>
    <row r="40" spans="1:37" x14ac:dyDescent="0.2">
      <c r="A40" s="75" t="s">
        <v>53</v>
      </c>
      <c r="B40" s="75"/>
    </row>
    <row r="41" spans="1:37" x14ac:dyDescent="0.2">
      <c r="A41" s="75"/>
    </row>
    <row r="42" spans="1:37" x14ac:dyDescent="0.2">
      <c r="A42" s="75" t="s">
        <v>54</v>
      </c>
      <c r="B42">
        <v>4.6394218059880643</v>
      </c>
    </row>
    <row r="43" spans="1:37" x14ac:dyDescent="0.2">
      <c r="A43" s="75"/>
    </row>
    <row r="44" spans="1:37" x14ac:dyDescent="0.2">
      <c r="A44" s="75"/>
    </row>
    <row r="45" spans="1:37" x14ac:dyDescent="0.2">
      <c r="A45" s="75" t="s">
        <v>55</v>
      </c>
      <c r="B45">
        <v>10.379133268141119</v>
      </c>
    </row>
    <row r="46" spans="1:37" x14ac:dyDescent="0.2">
      <c r="A46" s="75"/>
    </row>
    <row r="47" spans="1:37" x14ac:dyDescent="0.2">
      <c r="A47" s="75"/>
    </row>
    <row r="48" spans="1:37" x14ac:dyDescent="0.2">
      <c r="A48" s="75" t="s">
        <v>56</v>
      </c>
      <c r="B48">
        <v>27.859213388377075</v>
      </c>
    </row>
    <row r="49" spans="1:2" x14ac:dyDescent="0.2">
      <c r="A49" s="75"/>
    </row>
    <row r="50" spans="1:2" x14ac:dyDescent="0.2">
      <c r="A50" s="75" t="s">
        <v>33</v>
      </c>
    </row>
    <row r="51" spans="1:2" x14ac:dyDescent="0.2">
      <c r="A51" s="75" t="s">
        <v>57</v>
      </c>
      <c r="B51">
        <v>2.6785714285714279</v>
      </c>
    </row>
    <row r="52" spans="1:2" x14ac:dyDescent="0.2">
      <c r="A52" s="75"/>
    </row>
    <row r="54" spans="1:2" x14ac:dyDescent="0.2">
      <c r="A54" t="s">
        <v>63</v>
      </c>
    </row>
    <row r="56" spans="1:2" x14ac:dyDescent="0.2">
      <c r="A56" s="75" t="s">
        <v>53</v>
      </c>
      <c r="B56" s="75"/>
    </row>
    <row r="57" spans="1:2" x14ac:dyDescent="0.2">
      <c r="A57" s="75"/>
    </row>
    <row r="58" spans="1:2" x14ac:dyDescent="0.2">
      <c r="A58" s="75" t="s">
        <v>54</v>
      </c>
      <c r="B58">
        <v>3.4719370830767571</v>
      </c>
    </row>
    <row r="59" spans="1:2" x14ac:dyDescent="0.2">
      <c r="A59" s="75"/>
    </row>
    <row r="60" spans="1:2" x14ac:dyDescent="0.2">
      <c r="A60" s="75"/>
    </row>
    <row r="61" spans="1:2" x14ac:dyDescent="0.2">
      <c r="A61" s="75" t="s">
        <v>55</v>
      </c>
      <c r="B61">
        <v>7.7672820430648963</v>
      </c>
    </row>
    <row r="62" spans="1:2" x14ac:dyDescent="0.2">
      <c r="A62" s="75"/>
    </row>
    <row r="63" spans="1:2" x14ac:dyDescent="0.2">
      <c r="A63" s="75"/>
    </row>
    <row r="64" spans="1:2" x14ac:dyDescent="0.2">
      <c r="A64" s="75" t="s">
        <v>56</v>
      </c>
      <c r="B64">
        <v>20.848597112599698</v>
      </c>
    </row>
    <row r="65" spans="1:2" x14ac:dyDescent="0.2">
      <c r="A65" s="75"/>
    </row>
    <row r="66" spans="1:2" x14ac:dyDescent="0.2">
      <c r="A66" s="75" t="s">
        <v>33</v>
      </c>
    </row>
    <row r="67" spans="1:2" x14ac:dyDescent="0.2">
      <c r="A67" s="75" t="s">
        <v>57</v>
      </c>
      <c r="B67">
        <v>2.0045238095238092</v>
      </c>
    </row>
    <row r="68" spans="1:2" x14ac:dyDescent="0.2">
      <c r="A68" s="75"/>
    </row>
    <row r="70" spans="1:2" x14ac:dyDescent="0.2">
      <c r="A70" t="s">
        <v>62</v>
      </c>
    </row>
    <row r="71" spans="1:2" x14ac:dyDescent="0.2">
      <c r="A71" s="75" t="s">
        <v>53</v>
      </c>
      <c r="B71" s="75"/>
    </row>
    <row r="72" spans="1:2" x14ac:dyDescent="0.2">
      <c r="A72" s="75"/>
    </row>
    <row r="73" spans="1:2" x14ac:dyDescent="0.2">
      <c r="A73" s="75" t="s">
        <v>54</v>
      </c>
      <c r="B73">
        <v>1.8192506068464829</v>
      </c>
    </row>
    <row r="74" spans="1:2" x14ac:dyDescent="0.2">
      <c r="A74" s="75"/>
    </row>
    <row r="75" spans="1:2" x14ac:dyDescent="0.2">
      <c r="A75" s="75"/>
    </row>
    <row r="76" spans="1:2" x14ac:dyDescent="0.2">
      <c r="A76" s="75" t="s">
        <v>55</v>
      </c>
      <c r="B76">
        <v>4.0699564053941133</v>
      </c>
    </row>
    <row r="77" spans="1:2" x14ac:dyDescent="0.2">
      <c r="A77" s="75"/>
    </row>
    <row r="78" spans="1:2" x14ac:dyDescent="0.2">
      <c r="A78" s="75"/>
    </row>
    <row r="79" spans="1:2" x14ac:dyDescent="0.2">
      <c r="A79" s="75" t="s">
        <v>56</v>
      </c>
      <c r="B79">
        <v>10.924398121691512</v>
      </c>
    </row>
    <row r="80" spans="1:2" x14ac:dyDescent="0.2">
      <c r="A80" s="75"/>
    </row>
    <row r="81" spans="1:9" x14ac:dyDescent="0.2">
      <c r="A81" s="75" t="s">
        <v>33</v>
      </c>
    </row>
    <row r="82" spans="1:9" x14ac:dyDescent="0.2">
      <c r="A82" s="75" t="s">
        <v>57</v>
      </c>
      <c r="B82">
        <v>1.0503448275862066</v>
      </c>
    </row>
    <row r="83" spans="1:9" x14ac:dyDescent="0.2">
      <c r="A83" s="75"/>
    </row>
    <row r="85" spans="1:9" x14ac:dyDescent="0.2">
      <c r="A85" t="s">
        <v>61</v>
      </c>
      <c r="E85" t="s">
        <v>19</v>
      </c>
      <c r="F85" t="s">
        <v>22</v>
      </c>
      <c r="G85" t="s">
        <v>23</v>
      </c>
      <c r="H85" t="s">
        <v>24</v>
      </c>
      <c r="I85" t="s">
        <v>25</v>
      </c>
    </row>
    <row r="86" spans="1:9" x14ac:dyDescent="0.2">
      <c r="D86" s="18" t="s">
        <v>217</v>
      </c>
      <c r="E86" s="59">
        <v>34.641016151377542</v>
      </c>
      <c r="F86">
        <v>50.191320908196815</v>
      </c>
      <c r="G86">
        <v>72.746133917892834</v>
      </c>
      <c r="H86">
        <v>80.829037686547608</v>
      </c>
      <c r="I86">
        <v>135.09996299037243</v>
      </c>
    </row>
    <row r="87" spans="1:9" x14ac:dyDescent="0.2">
      <c r="A87" s="75" t="s">
        <v>53</v>
      </c>
      <c r="B87" s="75"/>
      <c r="D87" s="18" t="s">
        <v>218</v>
      </c>
      <c r="E87">
        <f>E86/(2*1000)</f>
        <v>1.732050807568877E-2</v>
      </c>
      <c r="F87">
        <f>F86/(2*1000)</f>
        <v>2.5095660454098407E-2</v>
      </c>
      <c r="G87">
        <f>G86/(2*1000)</f>
        <v>3.6373066958946418E-2</v>
      </c>
      <c r="H87">
        <f>H86/(2*1000)</f>
        <v>4.0414518843273801E-2</v>
      </c>
      <c r="I87">
        <f>I86/(2*1000)</f>
        <v>6.754998149518622E-2</v>
      </c>
    </row>
    <row r="88" spans="1:9" x14ac:dyDescent="0.2">
      <c r="A88" s="75"/>
      <c r="D88" s="18" t="s">
        <v>212</v>
      </c>
      <c r="E88">
        <v>19.731050287495687</v>
      </c>
      <c r="F88">
        <v>45.69</v>
      </c>
      <c r="G88">
        <v>126.285</v>
      </c>
      <c r="H88">
        <v>187.5</v>
      </c>
      <c r="I88">
        <v>237.61500000000001</v>
      </c>
    </row>
    <row r="89" spans="1:9" x14ac:dyDescent="0.2">
      <c r="A89" s="75" t="s">
        <v>54</v>
      </c>
      <c r="B89">
        <v>1.1391727194879679</v>
      </c>
      <c r="D89" t="s">
        <v>226</v>
      </c>
      <c r="E89">
        <f>E88/E87</f>
        <v>1139.1727194879679</v>
      </c>
      <c r="F89">
        <f>F88/F87</f>
        <v>1820.6334949251475</v>
      </c>
      <c r="G89">
        <f>G88/G87</f>
        <v>3471.9370830767571</v>
      </c>
      <c r="H89">
        <f>H88/H87</f>
        <v>4639.4218059880641</v>
      </c>
      <c r="I89">
        <f>I88/I87</f>
        <v>3517.6175439357157</v>
      </c>
    </row>
    <row r="90" spans="1:9" x14ac:dyDescent="0.2">
      <c r="A90" s="75"/>
      <c r="D90" s="18" t="s">
        <v>215</v>
      </c>
      <c r="E90">
        <f>RADIANS(30)</f>
        <v>0.52359877559829882</v>
      </c>
      <c r="F90">
        <f>RADIANS(30)</f>
        <v>0.52359877559829882</v>
      </c>
      <c r="G90">
        <f>RADIANS(30)</f>
        <v>0.52359877559829882</v>
      </c>
      <c r="H90">
        <f>RADIANS(30)</f>
        <v>0.52359877559829882</v>
      </c>
      <c r="I90">
        <f>RADIANS(30)</f>
        <v>0.52359877559829882</v>
      </c>
    </row>
    <row r="91" spans="1:9" x14ac:dyDescent="0.2">
      <c r="A91" s="75"/>
      <c r="D91" s="18" t="s">
        <v>225</v>
      </c>
      <c r="E91">
        <f>RADIANS(20)</f>
        <v>0.3490658503988659</v>
      </c>
      <c r="F91">
        <f>RADIANS(20)</f>
        <v>0.3490658503988659</v>
      </c>
      <c r="G91">
        <f>RADIANS(20)</f>
        <v>0.3490658503988659</v>
      </c>
      <c r="H91">
        <f>RADIANS(20)</f>
        <v>0.3490658503988659</v>
      </c>
      <c r="I91">
        <f>RADIANS(20)</f>
        <v>0.3490658503988659</v>
      </c>
    </row>
    <row r="92" spans="1:9" x14ac:dyDescent="0.2">
      <c r="A92" s="75" t="s">
        <v>55</v>
      </c>
      <c r="B92">
        <v>2.5485127167647699</v>
      </c>
      <c r="D92" t="s">
        <v>216</v>
      </c>
      <c r="E92">
        <f>E89*TAN(E90)</f>
        <v>657.70167624985618</v>
      </c>
      <c r="F92">
        <f>F89*TAN(F90)</f>
        <v>1051.1432383906829</v>
      </c>
      <c r="G92">
        <f>G89*TAN(G90)</f>
        <v>2004.5238095238092</v>
      </c>
      <c r="H92">
        <f>H89*TAN(H90)</f>
        <v>2678.571428571428</v>
      </c>
      <c r="I92">
        <f>I89*TAN(I90)</f>
        <v>2030.8974358974351</v>
      </c>
    </row>
    <row r="93" spans="1:9" x14ac:dyDescent="0.2">
      <c r="A93" s="75"/>
      <c r="D93" t="s">
        <v>224</v>
      </c>
      <c r="E93">
        <f>E89*(TAN(E91)/COS(E90))</f>
        <v>478.76766636386833</v>
      </c>
      <c r="F93">
        <f>F89*(TAN(F91)/COS(F90))</f>
        <v>765.16970144878292</v>
      </c>
      <c r="G93">
        <f>G89*(TAN(G91)/COS(G90))</f>
        <v>1459.1740010891228</v>
      </c>
      <c r="H93">
        <f>H89*(TAN(H91)/COS(H90))</f>
        <v>1949.8405407117982</v>
      </c>
      <c r="I93">
        <f>I89*(TAN(I91)/COS(I90))</f>
        <v>1478.3724310284385</v>
      </c>
    </row>
    <row r="94" spans="1:9" x14ac:dyDescent="0.2">
      <c r="A94" s="75"/>
    </row>
    <row r="95" spans="1:9" x14ac:dyDescent="0.2">
      <c r="A95" s="75" t="s">
        <v>56</v>
      </c>
      <c r="B95">
        <v>3.2233795003251604</v>
      </c>
      <c r="D95" t="s">
        <v>230</v>
      </c>
      <c r="E95">
        <f>E92</f>
        <v>657.70167624985618</v>
      </c>
      <c r="F95">
        <f>F92</f>
        <v>1051.1432383906829</v>
      </c>
      <c r="G95">
        <f>G92</f>
        <v>2004.5238095238092</v>
      </c>
      <c r="H95">
        <f>H92</f>
        <v>2678.571428571428</v>
      </c>
      <c r="I95">
        <f>I92</f>
        <v>2030.8974358974351</v>
      </c>
    </row>
    <row r="96" spans="1:9" x14ac:dyDescent="0.2">
      <c r="A96" s="75"/>
    </row>
    <row r="97" spans="1:9" x14ac:dyDescent="0.2">
      <c r="A97" s="75" t="s">
        <v>33</v>
      </c>
      <c r="D97" t="s">
        <v>231</v>
      </c>
    </row>
    <row r="98" spans="1:9" x14ac:dyDescent="0.2">
      <c r="A98" s="75" t="s">
        <v>57</v>
      </c>
      <c r="B98">
        <v>0.65770167624985632</v>
      </c>
      <c r="D98" t="s">
        <v>129</v>
      </c>
    </row>
    <row r="99" spans="1:9" x14ac:dyDescent="0.2">
      <c r="A99" s="75"/>
    </row>
    <row r="100" spans="1:9" x14ac:dyDescent="0.2">
      <c r="D100" t="s">
        <v>232</v>
      </c>
      <c r="E100" t="e">
        <f>E89*E97/(E97+E98)</f>
        <v>#DIV/0!</v>
      </c>
      <c r="F100" t="e">
        <f>F89*F97/(F97+F98)</f>
        <v>#DIV/0!</v>
      </c>
      <c r="G100" t="e">
        <f>G89*G97/(G97+G98)</f>
        <v>#DIV/0!</v>
      </c>
      <c r="H100" t="e">
        <f>H89*H97/(H97+H98)</f>
        <v>#DIV/0!</v>
      </c>
      <c r="I100" t="e">
        <f>I89*I97/(I97+I98)</f>
        <v>#DIV/0!</v>
      </c>
    </row>
    <row r="101" spans="1:9" x14ac:dyDescent="0.2">
      <c r="D101" t="s">
        <v>233</v>
      </c>
      <c r="E101" t="e">
        <f>(E97*E93-E87*E92)/(E97+E98)</f>
        <v>#DIV/0!</v>
      </c>
      <c r="F101" t="e">
        <f>(F97*F93-F87*F92)/(F97+F98)</f>
        <v>#DIV/0!</v>
      </c>
      <c r="G101" t="e">
        <f>(G97*G93-G87*G92)/(G97+G98)</f>
        <v>#DIV/0!</v>
      </c>
      <c r="H101" t="e">
        <f>(H97*H93-H87*H92)/(H97+H98)</f>
        <v>#DIV/0!</v>
      </c>
      <c r="I101" t="e">
        <f>(I97*I93-I87*I92)/(I97+I98)</f>
        <v>#DIV/0!</v>
      </c>
    </row>
    <row r="102" spans="1:9" x14ac:dyDescent="0.2">
      <c r="D102" t="s">
        <v>239</v>
      </c>
      <c r="E102" t="e">
        <f>E89-E100</f>
        <v>#DIV/0!</v>
      </c>
      <c r="F102" t="e">
        <f>F89-F100</f>
        <v>#DIV/0!</v>
      </c>
      <c r="G102" t="e">
        <f>G89-G100</f>
        <v>#DIV/0!</v>
      </c>
      <c r="H102" t="e">
        <f>H89-H100</f>
        <v>#DIV/0!</v>
      </c>
      <c r="I102" t="e">
        <f>I89-I100</f>
        <v>#DIV/0!</v>
      </c>
    </row>
    <row r="103" spans="1:9" x14ac:dyDescent="0.2">
      <c r="D103" t="s">
        <v>240</v>
      </c>
      <c r="E103" t="e">
        <f>E93-E101</f>
        <v>#DIV/0!</v>
      </c>
      <c r="F103" t="e">
        <f>F93-F101</f>
        <v>#DIV/0!</v>
      </c>
      <c r="G103" t="e">
        <f>G93-G101</f>
        <v>#DIV/0!</v>
      </c>
      <c r="H103" t="e">
        <f>H93-H101</f>
        <v>#DIV/0!</v>
      </c>
      <c r="I103" t="e">
        <f>I93-I101</f>
        <v>#DIV/0!</v>
      </c>
    </row>
    <row r="104" spans="1:9" x14ac:dyDescent="0.2">
      <c r="D104" t="s">
        <v>55</v>
      </c>
      <c r="E104" t="e">
        <f>SQRT(E102^2+E103^2)</f>
        <v>#DIV/0!</v>
      </c>
      <c r="F104" t="e">
        <f>SQRT(F102^2+F103^2)</f>
        <v>#DIV/0!</v>
      </c>
      <c r="G104" t="e">
        <f>SQRT(G102^2+G103^2)</f>
        <v>#DIV/0!</v>
      </c>
      <c r="H104" t="e">
        <f>SQRT(H102^2+H103^2)</f>
        <v>#DIV/0!</v>
      </c>
      <c r="I104" t="e">
        <f>SQRT(I102^2+I103^2)</f>
        <v>#DIV/0!</v>
      </c>
    </row>
    <row r="105" spans="1:9" x14ac:dyDescent="0.2">
      <c r="D105" t="s">
        <v>241</v>
      </c>
      <c r="E105" t="e">
        <f>SQRT(E100^2+E101^2)</f>
        <v>#DIV/0!</v>
      </c>
      <c r="F105" t="e">
        <f>SQRT(F100^2+F101^2)</f>
        <v>#DIV/0!</v>
      </c>
      <c r="G105" t="e">
        <f>SQRT(G100^2+G101^2)</f>
        <v>#DIV/0!</v>
      </c>
      <c r="H105" t="e">
        <f>SQRT(H100^2+H101^2)</f>
        <v>#DIV/0!</v>
      </c>
      <c r="I105" t="e">
        <f>SQRT(I100^2+I101^2)</f>
        <v>#DIV/0!</v>
      </c>
    </row>
  </sheetData>
  <mergeCells count="2">
    <mergeCell ref="Q34:S34"/>
    <mergeCell ref="Q35:S35"/>
  </mergeCells>
  <conditionalFormatting sqref="A8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{7B6C2B9E-5FD6-DF42-B5F6-C051ED4DD565}</x14:id>
        </ext>
      </extLst>
    </cfRule>
  </conditionalFormatting>
  <conditionalFormatting sqref="A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{CA6A1A25-E145-154E-99B8-1AEABD7DE1FF}</x14:id>
        </ext>
      </extLst>
    </cfRule>
  </conditionalFormatting>
  <conditionalFormatting sqref="A40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{08D473DD-09A2-BB46-8606-E22916EC03F5}</x14:id>
        </ext>
      </extLst>
    </cfRule>
  </conditionalFormatting>
  <conditionalFormatting sqref="A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{4785EB58-2FC5-C049-90CF-7A969F9FAA39}</x14:id>
        </ext>
      </extLst>
    </cfRule>
  </conditionalFormatting>
  <conditionalFormatting sqref="A7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{F81BE3C9-8119-4845-9DBF-424FE29C5DFD}</x14:id>
        </ext>
      </extLst>
    </cfRule>
  </conditionalFormatting>
  <conditionalFormatting sqref="A87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{79738349-3EC6-F541-8141-C89A122E9CCF}</x14:id>
        </ext>
      </extLst>
    </cfRule>
  </conditionalFormatting>
  <conditionalFormatting sqref="A8:B17 A18:A20">
    <cfRule type="dataBar" priority="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{0F3278CD-738D-9842-A64B-DE1580EF9079}</x14:id>
        </ext>
      </extLst>
    </cfRule>
  </conditionalFormatting>
  <conditionalFormatting sqref="A24:B33 A34:A36">
    <cfRule type="dataBar" priority="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{08F04FEF-FC14-BA48-951F-569CBEBFF555}</x14:id>
        </ext>
      </extLst>
    </cfRule>
  </conditionalFormatting>
  <conditionalFormatting sqref="A40:B49 A50:A52"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{C5AE93C7-9CE5-3A42-8595-AB194201D3D1}</x14:id>
        </ext>
      </extLst>
    </cfRule>
  </conditionalFormatting>
  <conditionalFormatting sqref="A56:B65 A66:A68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{D92CF979-1231-B64C-B59C-8D5612A68B34}</x14:id>
        </ext>
      </extLst>
    </cfRule>
  </conditionalFormatting>
  <conditionalFormatting sqref="A71:B80 A81:A83">
    <cfRule type="dataBar" priority="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{CAA5FD00-5B43-8245-8EFE-F6540A2F6A36}</x14:id>
        </ext>
      </extLst>
    </cfRule>
  </conditionalFormatting>
  <conditionalFormatting sqref="A87:B96 A97:A99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{4F02D202-43FE-244D-9FA5-30F822932D0A}</x14:id>
        </ext>
      </extLst>
    </cfRule>
  </conditionalFormatting>
  <conditionalFormatting sqref="B10:B20">
    <cfRule type="dataBar" priority="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{3F303F64-C27B-DE42-AF82-890E103EE4EB}</x14:id>
        </ext>
      </extLst>
    </cfRule>
  </conditionalFormatting>
  <conditionalFormatting sqref="B26:B36">
    <cfRule type="dataBar" priority="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{D685A9E9-8EC5-434E-8455-0F408152410F}</x14:id>
        </ext>
      </extLst>
    </cfRule>
  </conditionalFormatting>
  <conditionalFormatting sqref="B42:B52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{0C345569-80BA-4344-83EC-C7E69CDE6337}</x14:id>
        </ext>
      </extLst>
    </cfRule>
  </conditionalFormatting>
  <conditionalFormatting sqref="B58:B68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{0ADB81FB-0CE0-B14B-A668-A6F0E3402910}</x14:id>
        </ext>
      </extLst>
    </cfRule>
  </conditionalFormatting>
  <conditionalFormatting sqref="B73:B83">
    <cfRule type="dataBar" priority="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{C7DD7762-E8DB-2743-B519-817D33C61488}</x14:id>
        </ext>
      </extLst>
    </cfRule>
  </conditionalFormatting>
  <conditionalFormatting sqref="B89:B99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{1C6D8477-527B-6C46-AC91-22E8CD274137}</x14:id>
        </ext>
      </extLst>
    </cfRule>
  </conditionalFormatting>
  <conditionalFormatting sqref="G19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{5D714A5D-6161-AF4F-9316-027F18848E36}</x14:id>
        </ext>
      </extLst>
    </cfRule>
  </conditionalFormatting>
  <conditionalFormatting sqref="G20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{BDA54357-AF38-E04E-A1C3-AF9B3D920CD7}</x14:id>
        </ext>
      </extLst>
    </cfRule>
  </conditionalFormatting>
  <conditionalFormatting sqref="G21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{0A896E87-99FF-0440-B30B-FA5078EB7C10}</x14:id>
        </ext>
      </extLst>
    </cfRule>
  </conditionalFormatting>
  <conditionalFormatting sqref="G22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{C76FE910-B814-0C4F-B041-40C67513E05B}</x14:id>
        </ext>
      </extLst>
    </cfRule>
  </conditionalFormatting>
  <conditionalFormatting sqref="G23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{17921F60-963C-F746-A3A6-54E6FBAC1DA9}</x14:id>
        </ext>
      </extLst>
    </cfRule>
  </conditionalFormatting>
  <conditionalFormatting sqref="G24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{D08CFDC3-4E96-C445-8F1F-326B72F13FB1}</x14:id>
        </ext>
      </extLst>
    </cfRule>
  </conditionalFormatting>
  <conditionalFormatting sqref="G26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{220C53FF-581C-004F-9A02-3CEBE17C8644}</x14:id>
        </ext>
      </extLst>
    </cfRule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{D64E5833-2E48-9E44-8394-8C5BC291997C}</x14:id>
        </ext>
      </extLst>
    </cfRule>
  </conditionalFormatting>
  <conditionalFormatting sqref="G27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{B75395C2-A1C1-CE4C-BA26-40F9F18B3580}</x14:id>
        </ext>
      </extLst>
    </cfRule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{40AC4845-4F5D-AB4C-8404-C1F08F5903E9}</x14:id>
        </ext>
      </extLst>
    </cfRule>
  </conditionalFormatting>
  <conditionalFormatting sqref="G28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{974CCA94-7CA1-8049-8C93-760A0B086002}</x14:id>
        </ext>
      </extLst>
    </cfRule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{B4EED2C1-418F-DF4B-847C-198451C5DF2C}</x14:id>
        </ext>
      </extLst>
    </cfRule>
  </conditionalFormatting>
  <conditionalFormatting sqref="G29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{85B5CA72-DE5B-0A4B-9796-F5B19A8149F5}</x14:id>
        </ext>
      </extLst>
    </cfRule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{2710D715-A4E8-2C42-AE5D-4F8DB396793B}</x14:id>
        </ext>
      </extLst>
    </cfRule>
  </conditionalFormatting>
  <conditionalFormatting sqref="G30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{0606F337-177B-DF4D-AE45-9BBAC5A45BA9}</x14:id>
        </ext>
      </extLst>
    </cfRule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{FB6C37A4-6EEE-4F43-956F-788E7B4E9492}</x14:id>
        </ext>
      </extLst>
    </cfRule>
  </conditionalFormatting>
  <conditionalFormatting sqref="G3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{BB66A39A-760F-504D-A58F-7202C6089E0C}</x14:id>
        </ext>
      </extLst>
    </cfRule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{4C6EB94C-6D95-D24D-9667-BC511B74F262}</x14:id>
        </ext>
      </extLst>
    </cfRule>
  </conditionalFormatting>
  <conditionalFormatting sqref="G34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{0423723F-D17C-284C-996B-76B10329121D}</x14:id>
        </ext>
      </extLst>
    </cfRule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{49611F22-1082-A044-A792-DD2D8F5DE04F}</x14:id>
        </ext>
      </extLst>
    </cfRule>
  </conditionalFormatting>
  <conditionalFormatting sqref="G35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{CAA33024-D4A8-9142-AC50-0E7E0F95DA72}</x14:id>
        </ext>
      </extLst>
    </cfRule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{5EFF41BC-CC70-E442-897E-CEFF886DD280}</x14:id>
        </ext>
      </extLst>
    </cfRule>
  </conditionalFormatting>
  <conditionalFormatting sqref="G36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{DEB15848-BBCB-CC41-B4D6-FF361B570336}</x14:id>
        </ext>
      </extLst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{8338F32A-D173-7544-B82B-9AFE538A6045}</x14:id>
        </ext>
      </extLst>
    </cfRule>
  </conditionalFormatting>
  <conditionalFormatting sqref="G37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{705B0650-74A7-034A-B905-C4CD3D4D9CED}</x14:id>
        </ext>
      </extLst>
    </cfRule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{500E61C5-E029-1249-B23F-B7A46B77F0B8}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6C2B9E-5FD6-DF42-B5F6-C051ED4DD5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A8</xm:sqref>
        </x14:conditionalFormatting>
        <x14:conditionalFormatting xmlns:xm="http://schemas.microsoft.com/office/excel/2006/main">
          <x14:cfRule type="dataBar" id="{CA6A1A25-E145-154E-99B8-1AEABD7DE1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A24</xm:sqref>
        </x14:conditionalFormatting>
        <x14:conditionalFormatting xmlns:xm="http://schemas.microsoft.com/office/excel/2006/main">
          <x14:cfRule type="dataBar" id="{08D473DD-09A2-BB46-8606-E22916EC03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A40</xm:sqref>
        </x14:conditionalFormatting>
        <x14:conditionalFormatting xmlns:xm="http://schemas.microsoft.com/office/excel/2006/main">
          <x14:cfRule type="dataBar" id="{4785EB58-2FC5-C049-90CF-7A969F9FAA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A56</xm:sqref>
        </x14:conditionalFormatting>
        <x14:conditionalFormatting xmlns:xm="http://schemas.microsoft.com/office/excel/2006/main">
          <x14:cfRule type="dataBar" id="{F81BE3C9-8119-4845-9DBF-424FE29C5D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A71</xm:sqref>
        </x14:conditionalFormatting>
        <x14:conditionalFormatting xmlns:xm="http://schemas.microsoft.com/office/excel/2006/main">
          <x14:cfRule type="dataBar" id="{79738349-3EC6-F541-8141-C89A122E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A87</xm:sqref>
        </x14:conditionalFormatting>
        <x14:conditionalFormatting xmlns:xm="http://schemas.microsoft.com/office/excel/2006/main">
          <x14:cfRule type="dataBar" id="{0F3278CD-738D-9842-A64B-DE1580EF90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A8:B17 A18:A20</xm:sqref>
        </x14:conditionalFormatting>
        <x14:conditionalFormatting xmlns:xm="http://schemas.microsoft.com/office/excel/2006/main">
          <x14:cfRule type="dataBar" id="{08F04FEF-FC14-BA48-951F-569CBEBFF5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A24:B33 A34:A36</xm:sqref>
        </x14:conditionalFormatting>
        <x14:conditionalFormatting xmlns:xm="http://schemas.microsoft.com/office/excel/2006/main">
          <x14:cfRule type="dataBar" id="{C5AE93C7-9CE5-3A42-8595-AB194201D3D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A40:B49 A50:A52</xm:sqref>
        </x14:conditionalFormatting>
        <x14:conditionalFormatting xmlns:xm="http://schemas.microsoft.com/office/excel/2006/main">
          <x14:cfRule type="dataBar" id="{D92CF979-1231-B64C-B59C-8D5612A68B3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A56:B65 A66:A68</xm:sqref>
        </x14:conditionalFormatting>
        <x14:conditionalFormatting xmlns:xm="http://schemas.microsoft.com/office/excel/2006/main">
          <x14:cfRule type="dataBar" id="{CAA5FD00-5B43-8245-8EFE-F6540A2F6A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A71:B80 A81:A83</xm:sqref>
        </x14:conditionalFormatting>
        <x14:conditionalFormatting xmlns:xm="http://schemas.microsoft.com/office/excel/2006/main">
          <x14:cfRule type="dataBar" id="{4F02D202-43FE-244D-9FA5-30F822932D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A87:B96 A97:A99</xm:sqref>
        </x14:conditionalFormatting>
        <x14:conditionalFormatting xmlns:xm="http://schemas.microsoft.com/office/excel/2006/main">
          <x14:cfRule type="dataBar" id="{3F303F64-C27B-DE42-AF82-890E103EE4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B10:B20</xm:sqref>
        </x14:conditionalFormatting>
        <x14:conditionalFormatting xmlns:xm="http://schemas.microsoft.com/office/excel/2006/main">
          <x14:cfRule type="dataBar" id="{D685A9E9-8EC5-434E-8455-0F408152410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B26:B36</xm:sqref>
        </x14:conditionalFormatting>
        <x14:conditionalFormatting xmlns:xm="http://schemas.microsoft.com/office/excel/2006/main">
          <x14:cfRule type="dataBar" id="{0C345569-80BA-4344-83EC-C7E69CDE633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B42:B52</xm:sqref>
        </x14:conditionalFormatting>
        <x14:conditionalFormatting xmlns:xm="http://schemas.microsoft.com/office/excel/2006/main">
          <x14:cfRule type="dataBar" id="{0ADB81FB-0CE0-B14B-A668-A6F0E34029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B58:B68</xm:sqref>
        </x14:conditionalFormatting>
        <x14:conditionalFormatting xmlns:xm="http://schemas.microsoft.com/office/excel/2006/main">
          <x14:cfRule type="dataBar" id="{C7DD7762-E8DB-2743-B519-817D33C6148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B73:B83</xm:sqref>
        </x14:conditionalFormatting>
        <x14:conditionalFormatting xmlns:xm="http://schemas.microsoft.com/office/excel/2006/main">
          <x14:cfRule type="dataBar" id="{1C6D8477-527B-6C46-AC91-22E8CD27413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B89:B99</xm:sqref>
        </x14:conditionalFormatting>
        <x14:conditionalFormatting xmlns:xm="http://schemas.microsoft.com/office/excel/2006/main">
          <x14:cfRule type="dataBar" id="{5D714A5D-6161-AF4F-9316-027F18848E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G19</xm:sqref>
        </x14:conditionalFormatting>
        <x14:conditionalFormatting xmlns:xm="http://schemas.microsoft.com/office/excel/2006/main">
          <x14:cfRule type="dataBar" id="{BDA54357-AF38-E04E-A1C3-AF9B3D920C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G20</xm:sqref>
        </x14:conditionalFormatting>
        <x14:conditionalFormatting xmlns:xm="http://schemas.microsoft.com/office/excel/2006/main">
          <x14:cfRule type="dataBar" id="{0A896E87-99FF-0440-B30B-FA5078EB7C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G21</xm:sqref>
        </x14:conditionalFormatting>
        <x14:conditionalFormatting xmlns:xm="http://schemas.microsoft.com/office/excel/2006/main">
          <x14:cfRule type="dataBar" id="{C76FE910-B814-0C4F-B041-40C67513E0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G22</xm:sqref>
        </x14:conditionalFormatting>
        <x14:conditionalFormatting xmlns:xm="http://schemas.microsoft.com/office/excel/2006/main">
          <x14:cfRule type="dataBar" id="{17921F60-963C-F746-A3A6-54E6FBAC1D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G23</xm:sqref>
        </x14:conditionalFormatting>
        <x14:conditionalFormatting xmlns:xm="http://schemas.microsoft.com/office/excel/2006/main">
          <x14:cfRule type="dataBar" id="{D08CFDC3-4E96-C445-8F1F-326B72F13F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G24</xm:sqref>
        </x14:conditionalFormatting>
        <x14:conditionalFormatting xmlns:xm="http://schemas.microsoft.com/office/excel/2006/main">
          <x14:cfRule type="dataBar" id="{220C53FF-581C-004F-9A02-3CEBE17C86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64E5833-2E48-9E44-8394-8C5BC29199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G26</xm:sqref>
        </x14:conditionalFormatting>
        <x14:conditionalFormatting xmlns:xm="http://schemas.microsoft.com/office/excel/2006/main">
          <x14:cfRule type="dataBar" id="{B75395C2-A1C1-CE4C-BA26-40F9F18B358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40AC4845-4F5D-AB4C-8404-C1F08F5903E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974CCA94-7CA1-8049-8C93-760A0B08600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4EED2C1-418F-DF4B-847C-198451C5DF2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G28</xm:sqref>
        </x14:conditionalFormatting>
        <x14:conditionalFormatting xmlns:xm="http://schemas.microsoft.com/office/excel/2006/main">
          <x14:cfRule type="dataBar" id="{85B5CA72-DE5B-0A4B-9796-F5B19A8149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710D715-A4E8-2C42-AE5D-4F8DB39679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G29</xm:sqref>
        </x14:conditionalFormatting>
        <x14:conditionalFormatting xmlns:xm="http://schemas.microsoft.com/office/excel/2006/main">
          <x14:cfRule type="dataBar" id="{0606F337-177B-DF4D-AE45-9BBAC5A45B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B6C37A4-6EEE-4F43-956F-788E7B4E949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G30</xm:sqref>
        </x14:conditionalFormatting>
        <x14:conditionalFormatting xmlns:xm="http://schemas.microsoft.com/office/excel/2006/main">
          <x14:cfRule type="dataBar" id="{BB66A39A-760F-504D-A58F-7202C6089E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4C6EB94C-6D95-D24D-9667-BC511B74F26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G33</xm:sqref>
        </x14:conditionalFormatting>
        <x14:conditionalFormatting xmlns:xm="http://schemas.microsoft.com/office/excel/2006/main">
          <x14:cfRule type="dataBar" id="{0423723F-D17C-284C-996B-76B10329121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49611F22-1082-A044-A792-DD2D8F5DE0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G34</xm:sqref>
        </x14:conditionalFormatting>
        <x14:conditionalFormatting xmlns:xm="http://schemas.microsoft.com/office/excel/2006/main">
          <x14:cfRule type="dataBar" id="{CAA33024-D4A8-9142-AC50-0E7E0F95DA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EFF41BC-CC70-E442-897E-CEFF886DD28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G35</xm:sqref>
        </x14:conditionalFormatting>
        <x14:conditionalFormatting xmlns:xm="http://schemas.microsoft.com/office/excel/2006/main">
          <x14:cfRule type="dataBar" id="{DEB15848-BBCB-CC41-B4D6-FF361B5703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8338F32A-D173-7544-B82B-9AFE538A604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G36</xm:sqref>
        </x14:conditionalFormatting>
        <x14:conditionalFormatting xmlns:xm="http://schemas.microsoft.com/office/excel/2006/main">
          <x14:cfRule type="dataBar" id="{705B0650-74A7-034A-B905-C4CD3D4D9CE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500E61C5-E029-1249-B23F-B7A46B77F0B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3E9A-B62D-4E66-8B38-54405AC2B469}">
  <dimension ref="A1:I19"/>
  <sheetViews>
    <sheetView workbookViewId="0">
      <selection activeCell="I6" sqref="I6"/>
    </sheetView>
  </sheetViews>
  <sheetFormatPr baseColWidth="10" defaultColWidth="8.83203125" defaultRowHeight="16" x14ac:dyDescent="0.2"/>
  <sheetData>
    <row r="1" spans="1:9" x14ac:dyDescent="0.2">
      <c r="A1" s="31" t="s">
        <v>26</v>
      </c>
      <c r="B1" s="32">
        <v>1.6E-2</v>
      </c>
      <c r="D1" s="31" t="s">
        <v>34</v>
      </c>
      <c r="E1" s="49">
        <f>0.5*1.2*(B7*0.44704)^2*B2*B4</f>
        <v>1158.1291711376546</v>
      </c>
      <c r="G1" s="2" t="s">
        <v>35</v>
      </c>
      <c r="H1" s="3" t="s">
        <v>36</v>
      </c>
    </row>
    <row r="2" spans="1:9" x14ac:dyDescent="0.2">
      <c r="A2" s="33" t="s">
        <v>27</v>
      </c>
      <c r="B2" s="25">
        <v>0.32100000000000001</v>
      </c>
      <c r="D2" s="33" t="s">
        <v>37</v>
      </c>
      <c r="E2" s="27">
        <f>B3*9.81*B1*COS(B8*PI()/180)</f>
        <v>170.92944</v>
      </c>
      <c r="G2" s="4">
        <v>1</v>
      </c>
      <c r="H2" s="25">
        <v>9</v>
      </c>
      <c r="I2" t="s">
        <v>38</v>
      </c>
    </row>
    <row r="3" spans="1:9" x14ac:dyDescent="0.2">
      <c r="A3" s="33" t="s">
        <v>28</v>
      </c>
      <c r="B3" s="25">
        <v>1089</v>
      </c>
      <c r="D3" s="33" t="s">
        <v>39</v>
      </c>
      <c r="E3" s="27">
        <f>B3*9.81*SIN(B8*PI()/180)</f>
        <v>0</v>
      </c>
      <c r="G3" s="4">
        <v>2</v>
      </c>
      <c r="H3" s="25">
        <v>6</v>
      </c>
    </row>
    <row r="4" spans="1:9" ht="19" x14ac:dyDescent="0.2">
      <c r="A4" s="33" t="s">
        <v>29</v>
      </c>
      <c r="B4" s="25">
        <v>2.15</v>
      </c>
      <c r="D4" s="33" t="s">
        <v>40</v>
      </c>
      <c r="E4" s="27">
        <f>SUM(E1:E3)</f>
        <v>1329.0586111376547</v>
      </c>
      <c r="G4" s="4">
        <v>3</v>
      </c>
      <c r="H4" s="25">
        <v>4</v>
      </c>
    </row>
    <row r="5" spans="1:9" x14ac:dyDescent="0.2">
      <c r="A5" s="35" t="s">
        <v>30</v>
      </c>
      <c r="B5" s="47">
        <f>0.3075*0.95</f>
        <v>0.29212499999999997</v>
      </c>
      <c r="D5" s="35" t="s">
        <v>41</v>
      </c>
      <c r="E5" s="29">
        <f>E4*B7*0.00044704</f>
        <v>70.28704136816819</v>
      </c>
      <c r="G5" s="4">
        <v>4</v>
      </c>
      <c r="H5" s="25">
        <v>3</v>
      </c>
    </row>
    <row r="6" spans="1:9" x14ac:dyDescent="0.2">
      <c r="B6" s="1"/>
      <c r="D6" s="18"/>
      <c r="E6" s="1"/>
      <c r="G6" s="5">
        <v>5</v>
      </c>
      <c r="H6" s="36">
        <v>2.4</v>
      </c>
      <c r="I6" t="s">
        <v>42</v>
      </c>
    </row>
    <row r="7" spans="1:9" x14ac:dyDescent="0.2">
      <c r="A7" s="31" t="s">
        <v>10</v>
      </c>
      <c r="B7" s="32">
        <v>118.3</v>
      </c>
      <c r="D7" s="31" t="s">
        <v>43</v>
      </c>
      <c r="E7" s="49">
        <f>E4*B5</f>
        <v>388.25124677858736</v>
      </c>
      <c r="G7" s="1"/>
      <c r="H7" s="1"/>
    </row>
    <row r="8" spans="1:9" x14ac:dyDescent="0.2">
      <c r="A8" s="35" t="s">
        <v>31</v>
      </c>
      <c r="B8" s="36">
        <v>0</v>
      </c>
      <c r="D8" s="35" t="s">
        <v>44</v>
      </c>
      <c r="E8" s="39">
        <f>B7*0.44704/B5*30/PI()</f>
        <v>1728.7563393857656</v>
      </c>
      <c r="G8" s="1"/>
      <c r="H8" s="1"/>
    </row>
    <row r="9" spans="1:9" x14ac:dyDescent="0.2">
      <c r="B9" s="1"/>
      <c r="E9" s="1"/>
      <c r="G9" s="1"/>
      <c r="H9" s="1"/>
    </row>
    <row r="10" spans="1:9" x14ac:dyDescent="0.2">
      <c r="A10" s="31" t="s">
        <v>20</v>
      </c>
      <c r="B10" s="48">
        <v>162</v>
      </c>
      <c r="D10" s="50" t="s">
        <v>45</v>
      </c>
      <c r="E10" s="49">
        <f>E7/B10</f>
        <v>2.3966126344357246</v>
      </c>
      <c r="G10" s="1"/>
      <c r="H10" s="1"/>
    </row>
    <row r="11" spans="1:9" x14ac:dyDescent="0.2">
      <c r="A11" s="35" t="s">
        <v>46</v>
      </c>
      <c r="B11" s="39">
        <v>4150</v>
      </c>
      <c r="E11" s="51">
        <f>1/(E8/B11)</f>
        <v>2.4005696496676405</v>
      </c>
      <c r="G11" s="1"/>
      <c r="H11" s="1"/>
    </row>
    <row r="12" spans="1:9" x14ac:dyDescent="0.2">
      <c r="B12" s="1"/>
      <c r="E12" s="1"/>
      <c r="G12" s="1"/>
      <c r="H12" s="1"/>
    </row>
    <row r="13" spans="1:9" x14ac:dyDescent="0.2">
      <c r="B13" s="1"/>
      <c r="E13" s="1"/>
      <c r="G13" s="1"/>
      <c r="H13" s="1"/>
    </row>
    <row r="14" spans="1:9" x14ac:dyDescent="0.2">
      <c r="B14" s="1"/>
      <c r="E14" s="1"/>
      <c r="G14" s="1"/>
      <c r="H14" s="1"/>
    </row>
    <row r="15" spans="1:9" x14ac:dyDescent="0.2">
      <c r="B15" s="1"/>
      <c r="E15" s="1"/>
      <c r="G15" s="1"/>
      <c r="H15" s="1"/>
    </row>
    <row r="16" spans="1:9" x14ac:dyDescent="0.2">
      <c r="A16" s="18" t="s">
        <v>47</v>
      </c>
      <c r="B16" s="1"/>
      <c r="E16" s="1"/>
      <c r="G16" s="1"/>
      <c r="H16" s="1"/>
    </row>
    <row r="17" spans="1:8" x14ac:dyDescent="0.2">
      <c r="A17" t="s">
        <v>48</v>
      </c>
      <c r="B17" s="1">
        <f>1.609344*B7</f>
        <v>190.3853952</v>
      </c>
      <c r="E17" s="1"/>
      <c r="G17" s="1"/>
      <c r="H17" s="1"/>
    </row>
    <row r="18" spans="1:8" x14ac:dyDescent="0.2">
      <c r="A18" t="s">
        <v>49</v>
      </c>
      <c r="B18" s="1">
        <f>(B17*1000)/3600</f>
        <v>52.884832000000003</v>
      </c>
      <c r="E18" s="1"/>
      <c r="G18" s="1"/>
      <c r="H18" s="1"/>
    </row>
    <row r="19" spans="1:8" x14ac:dyDescent="0.2">
      <c r="A19" t="s">
        <v>50</v>
      </c>
      <c r="B19" s="1">
        <f>(60*B18)/(2*B5*PI())</f>
        <v>1728.7563393857658</v>
      </c>
      <c r="E19" s="1"/>
      <c r="G19" s="1"/>
      <c r="H19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67AF-F51D-FE40-925D-F52784411F57}">
  <dimension ref="A1:U62"/>
  <sheetViews>
    <sheetView topLeftCell="C1" zoomScale="106" zoomScaleNormal="83" workbookViewId="0">
      <selection activeCell="M17" sqref="M17"/>
    </sheetView>
  </sheetViews>
  <sheetFormatPr baseColWidth="10" defaultColWidth="11" defaultRowHeight="16" x14ac:dyDescent="0.2"/>
  <cols>
    <col min="1" max="1" width="52" customWidth="1"/>
    <col min="2" max="2" width="11.1640625" bestFit="1" customWidth="1"/>
    <col min="4" max="4" width="21" customWidth="1"/>
    <col min="5" max="5" width="18.83203125" customWidth="1"/>
    <col min="9" max="9" width="25.5" customWidth="1"/>
    <col min="10" max="10" width="30" customWidth="1"/>
    <col min="12" max="12" width="22" customWidth="1"/>
    <col min="13" max="13" width="26.5" customWidth="1"/>
    <col min="20" max="20" width="22" customWidth="1"/>
    <col min="21" max="21" width="24.6640625" customWidth="1"/>
  </cols>
  <sheetData>
    <row r="1" spans="1:21" x14ac:dyDescent="0.2">
      <c r="A1" t="s">
        <v>58</v>
      </c>
    </row>
    <row r="2" spans="1:21" ht="17" thickBot="1" x14ac:dyDescent="0.25">
      <c r="A2" t="s">
        <v>59</v>
      </c>
    </row>
    <row r="3" spans="1:21" ht="17" thickBot="1" x14ac:dyDescent="0.25">
      <c r="T3" s="56" t="s">
        <v>154</v>
      </c>
      <c r="U3" s="64"/>
    </row>
    <row r="4" spans="1:21" ht="17" thickBot="1" x14ac:dyDescent="0.25">
      <c r="A4" s="53" t="s">
        <v>60</v>
      </c>
      <c r="B4" s="52">
        <f>'Gear Ratio and forces'!B10</f>
        <v>158.41</v>
      </c>
      <c r="I4" s="56" t="s">
        <v>154</v>
      </c>
      <c r="J4" s="64"/>
      <c r="L4" s="56" t="s">
        <v>154</v>
      </c>
      <c r="M4" s="64"/>
      <c r="T4" s="68" t="s">
        <v>67</v>
      </c>
      <c r="U4" s="61"/>
    </row>
    <row r="5" spans="1:21" ht="17" thickBot="1" x14ac:dyDescent="0.25">
      <c r="A5" t="s">
        <v>66</v>
      </c>
      <c r="B5" s="52">
        <f>'Gear Ratio and forces'!B11</f>
        <v>3500</v>
      </c>
      <c r="I5" s="68" t="s">
        <v>67</v>
      </c>
      <c r="J5" s="61"/>
      <c r="L5" s="68" t="s">
        <v>67</v>
      </c>
      <c r="M5" s="61"/>
      <c r="O5" t="s">
        <v>68</v>
      </c>
    </row>
    <row r="6" spans="1:21" x14ac:dyDescent="0.2">
      <c r="I6" s="62" t="s">
        <v>94</v>
      </c>
      <c r="J6" s="62">
        <v>1.012</v>
      </c>
      <c r="T6" s="59" t="s">
        <v>69</v>
      </c>
      <c r="U6" s="59">
        <v>1.5</v>
      </c>
    </row>
    <row r="7" spans="1:21" x14ac:dyDescent="0.2">
      <c r="A7" s="53" t="s">
        <v>69</v>
      </c>
      <c r="B7">
        <v>1.5</v>
      </c>
      <c r="I7" s="59" t="s">
        <v>99</v>
      </c>
      <c r="J7" s="59">
        <f>1.75</f>
        <v>1.75</v>
      </c>
      <c r="L7" s="59" t="s">
        <v>69</v>
      </c>
      <c r="M7" s="59">
        <v>1.5</v>
      </c>
    </row>
    <row r="8" spans="1:21" x14ac:dyDescent="0.2">
      <c r="I8" s="59" t="s">
        <v>103</v>
      </c>
      <c r="J8" s="59" cm="1">
        <f t="array" ref="J8">IF(J7&gt;1.6,(J7-1)*0.5+1,N/A)</f>
        <v>1.375</v>
      </c>
      <c r="T8" s="57" t="s">
        <v>60</v>
      </c>
      <c r="U8" s="60">
        <v>33.29</v>
      </c>
    </row>
    <row r="9" spans="1:21" x14ac:dyDescent="0.2">
      <c r="A9" t="s">
        <v>70</v>
      </c>
      <c r="B9">
        <v>10000</v>
      </c>
      <c r="I9" s="59" t="s">
        <v>105</v>
      </c>
      <c r="J9" s="59">
        <f>IF(ISNUMBER(J8),0.9*J8,0.9*J7)</f>
        <v>1.2375</v>
      </c>
      <c r="L9" s="57" t="s">
        <v>60</v>
      </c>
      <c r="M9" s="60">
        <f>'Performance Map'!AF68</f>
        <v>13.154033524997125</v>
      </c>
      <c r="T9" s="59" t="s">
        <v>66</v>
      </c>
      <c r="U9" s="60">
        <v>1538</v>
      </c>
    </row>
    <row r="10" spans="1:21" x14ac:dyDescent="0.2">
      <c r="D10" s="53" t="s">
        <v>73</v>
      </c>
      <c r="E10" t="s">
        <v>74</v>
      </c>
      <c r="I10" s="59" t="s">
        <v>106</v>
      </c>
      <c r="J10" s="59">
        <v>0.3</v>
      </c>
      <c r="L10" s="59" t="s">
        <v>66</v>
      </c>
      <c r="M10" s="60">
        <f>'Performance Map'!AC68</f>
        <v>0</v>
      </c>
    </row>
    <row r="11" spans="1:21" x14ac:dyDescent="0.2">
      <c r="A11" t="s">
        <v>76</v>
      </c>
      <c r="B11">
        <f>B9*B5*60</f>
        <v>2100000000</v>
      </c>
      <c r="D11">
        <v>1.5</v>
      </c>
      <c r="E11">
        <v>30</v>
      </c>
      <c r="I11" s="62" t="s">
        <v>108</v>
      </c>
      <c r="J11" s="59">
        <v>2.1160000000000001</v>
      </c>
      <c r="T11" s="57" t="s">
        <v>70</v>
      </c>
      <c r="U11" s="59">
        <v>10000</v>
      </c>
    </row>
    <row r="12" spans="1:21" x14ac:dyDescent="0.2">
      <c r="I12" s="57" t="s">
        <v>60</v>
      </c>
      <c r="J12" s="60">
        <f>'Performance Map'!AF68</f>
        <v>13.154033524997125</v>
      </c>
      <c r="L12" s="57" t="s">
        <v>70</v>
      </c>
      <c r="M12" s="59">
        <v>10000</v>
      </c>
      <c r="T12" s="59"/>
      <c r="U12" s="59"/>
    </row>
    <row r="13" spans="1:21" x14ac:dyDescent="0.2">
      <c r="A13" t="s">
        <v>78</v>
      </c>
      <c r="B13">
        <v>1</v>
      </c>
      <c r="I13" s="59" t="s">
        <v>66</v>
      </c>
      <c r="J13" s="60">
        <f>'Performance Map'!AC68</f>
        <v>0</v>
      </c>
      <c r="L13" s="59"/>
      <c r="M13" s="59"/>
      <c r="T13" s="59" t="s">
        <v>76</v>
      </c>
      <c r="U13" s="59">
        <f>U11*U9*60</f>
        <v>922800000</v>
      </c>
    </row>
    <row r="14" spans="1:21" x14ac:dyDescent="0.2">
      <c r="A14" t="s">
        <v>79</v>
      </c>
      <c r="B14">
        <v>1</v>
      </c>
      <c r="I14" s="59"/>
      <c r="J14" s="59"/>
      <c r="L14" s="59" t="s">
        <v>76</v>
      </c>
      <c r="M14" s="59">
        <f>M12*M10*60</f>
        <v>0</v>
      </c>
      <c r="N14" t="s">
        <v>155</v>
      </c>
    </row>
    <row r="15" spans="1:21" x14ac:dyDescent="0.2">
      <c r="A15" t="s">
        <v>81</v>
      </c>
      <c r="B15">
        <v>1</v>
      </c>
      <c r="I15" s="58" t="s">
        <v>69</v>
      </c>
      <c r="J15" s="59">
        <v>1.5</v>
      </c>
      <c r="T15" s="58" t="s">
        <v>78</v>
      </c>
      <c r="U15" s="59">
        <v>1</v>
      </c>
    </row>
    <row r="16" spans="1:21" x14ac:dyDescent="0.2">
      <c r="A16" t="s">
        <v>82</v>
      </c>
      <c r="B16">
        <v>1</v>
      </c>
      <c r="I16" s="59"/>
      <c r="J16" s="59"/>
      <c r="L16" s="58" t="s">
        <v>78</v>
      </c>
      <c r="M16" s="59">
        <v>1</v>
      </c>
      <c r="T16" s="58" t="s">
        <v>79</v>
      </c>
      <c r="U16" s="59">
        <v>1</v>
      </c>
    </row>
    <row r="17" spans="1:21" x14ac:dyDescent="0.2">
      <c r="I17" s="57" t="s">
        <v>70</v>
      </c>
      <c r="J17" s="59">
        <v>10000</v>
      </c>
      <c r="L17" s="58" t="s">
        <v>79</v>
      </c>
      <c r="M17" s="59">
        <v>1</v>
      </c>
      <c r="T17" s="58" t="s">
        <v>81</v>
      </c>
      <c r="U17" s="59">
        <v>1</v>
      </c>
    </row>
    <row r="18" spans="1:21" x14ac:dyDescent="0.2">
      <c r="I18" s="59"/>
      <c r="J18" s="59"/>
      <c r="L18" s="58" t="s">
        <v>81</v>
      </c>
      <c r="M18" s="59">
        <v>1</v>
      </c>
      <c r="T18" s="58" t="s">
        <v>82</v>
      </c>
      <c r="U18" s="59">
        <v>1.2</v>
      </c>
    </row>
    <row r="19" spans="1:21" x14ac:dyDescent="0.2">
      <c r="A19" s="53" t="s">
        <v>83</v>
      </c>
      <c r="B19" s="69" t="s">
        <v>84</v>
      </c>
      <c r="I19" s="59" t="s">
        <v>76</v>
      </c>
      <c r="J19" s="59">
        <f>J17*J13*60</f>
        <v>0</v>
      </c>
      <c r="L19" s="58" t="s">
        <v>82</v>
      </c>
      <c r="M19" s="59">
        <v>1.2</v>
      </c>
      <c r="T19" s="58" t="s">
        <v>85</v>
      </c>
      <c r="U19" s="59">
        <v>2.9</v>
      </c>
    </row>
    <row r="20" spans="1:21" x14ac:dyDescent="0.2">
      <c r="I20" s="59"/>
      <c r="J20" s="59"/>
      <c r="L20" s="58" t="s">
        <v>85</v>
      </c>
      <c r="M20" s="59">
        <v>2.9</v>
      </c>
      <c r="T20" s="58" t="s">
        <v>90</v>
      </c>
      <c r="U20" s="59">
        <f>U6*U8</f>
        <v>49.935000000000002</v>
      </c>
    </row>
    <row r="21" spans="1:21" x14ac:dyDescent="0.2">
      <c r="A21" s="53" t="s">
        <v>86</v>
      </c>
      <c r="D21" s="53" t="s">
        <v>87</v>
      </c>
      <c r="E21" t="s">
        <v>88</v>
      </c>
      <c r="F21" t="s">
        <v>89</v>
      </c>
      <c r="I21" s="58" t="s">
        <v>78</v>
      </c>
      <c r="J21" s="59">
        <v>1</v>
      </c>
      <c r="L21" s="58" t="s">
        <v>90</v>
      </c>
      <c r="M21" s="59">
        <f>M7*M9</f>
        <v>19.731050287495687</v>
      </c>
      <c r="T21" s="70" t="s">
        <v>94</v>
      </c>
      <c r="U21" s="71">
        <v>1.0900000000000001</v>
      </c>
    </row>
    <row r="22" spans="1:21" x14ac:dyDescent="0.2">
      <c r="A22" t="s">
        <v>92</v>
      </c>
      <c r="B22">
        <v>1500</v>
      </c>
      <c r="D22" t="s">
        <v>93</v>
      </c>
      <c r="E22" s="52">
        <f>B23*B13*B15*B16</f>
        <v>920</v>
      </c>
      <c r="I22" s="58" t="s">
        <v>79</v>
      </c>
      <c r="J22" s="59">
        <v>1</v>
      </c>
      <c r="L22" s="70" t="s">
        <v>94</v>
      </c>
      <c r="M22" s="71">
        <v>1.0900000000000001</v>
      </c>
      <c r="T22" s="62" t="s">
        <v>97</v>
      </c>
      <c r="U22" s="62">
        <f>1+0.6*(U21-1)</f>
        <v>1.054</v>
      </c>
    </row>
    <row r="23" spans="1:21" x14ac:dyDescent="0.2">
      <c r="A23" t="s">
        <v>95</v>
      </c>
      <c r="B23">
        <v>920</v>
      </c>
      <c r="D23" t="s">
        <v>96</v>
      </c>
      <c r="E23">
        <f>B22*B14*SQRT(B16)</f>
        <v>1500</v>
      </c>
      <c r="I23" s="58" t="s">
        <v>81</v>
      </c>
      <c r="J23" s="59">
        <v>1</v>
      </c>
      <c r="L23" s="62" t="s">
        <v>97</v>
      </c>
      <c r="M23" s="62">
        <f>1+0.6*(M22-1)</f>
        <v>1.054</v>
      </c>
      <c r="T23" s="59" t="s">
        <v>99</v>
      </c>
      <c r="U23" s="59">
        <f>2.5</f>
        <v>2.5</v>
      </c>
    </row>
    <row r="24" spans="1:21" x14ac:dyDescent="0.2">
      <c r="A24" t="s">
        <v>98</v>
      </c>
      <c r="B24">
        <v>1.2749999999999999</v>
      </c>
      <c r="I24" s="58" t="s">
        <v>82</v>
      </c>
      <c r="J24" s="59">
        <v>1.2</v>
      </c>
      <c r="L24" s="59" t="s">
        <v>99</v>
      </c>
      <c r="M24" s="59">
        <f>2.5</f>
        <v>2.5</v>
      </c>
      <c r="T24" s="59" t="s">
        <v>103</v>
      </c>
      <c r="U24" s="59" cm="1">
        <f t="array" ref="U24">IF(U23&gt;1.6,(U23-1)*0.5+1,N/A)</f>
        <v>1.75</v>
      </c>
    </row>
    <row r="25" spans="1:21" x14ac:dyDescent="0.2">
      <c r="A25" t="s">
        <v>100</v>
      </c>
      <c r="B25">
        <v>1.94</v>
      </c>
      <c r="D25" s="55" t="s">
        <v>101</v>
      </c>
      <c r="E25" s="18" t="s">
        <v>102</v>
      </c>
      <c r="F25" s="53" t="s">
        <v>19</v>
      </c>
      <c r="G25" s="53" t="s">
        <v>22</v>
      </c>
      <c r="I25" s="58" t="s">
        <v>85</v>
      </c>
      <c r="J25" s="59">
        <v>2.9</v>
      </c>
      <c r="L25" s="59" t="s">
        <v>103</v>
      </c>
      <c r="M25" s="59" cm="1">
        <f t="array" ref="M25">IF(M24&gt;1.6,(M24-1)*0.5+1,N/A)</f>
        <v>1.75</v>
      </c>
      <c r="T25" s="59" t="s">
        <v>105</v>
      </c>
      <c r="U25" s="59">
        <f>IF(ISNUMBER(U24),0.9*U24,0.9*U23)</f>
        <v>1.575</v>
      </c>
    </row>
    <row r="26" spans="1:21" x14ac:dyDescent="0.2">
      <c r="A26" t="s">
        <v>104</v>
      </c>
      <c r="D26">
        <v>1</v>
      </c>
      <c r="E26">
        <f>'Gear Ratio and forces'!H2/4.25</f>
        <v>2.1176470588235294</v>
      </c>
      <c r="F26">
        <f>SQRT(E26)</f>
        <v>1.4552137502179978</v>
      </c>
      <c r="G26" cm="1">
        <f t="array" ref="G26:G28">SQRT(E26:E28)</f>
        <v>1.4552137502179978</v>
      </c>
      <c r="I26" s="58" t="s">
        <v>90</v>
      </c>
      <c r="J26" s="59">
        <f>J12*J15</f>
        <v>19.731050287495687</v>
      </c>
      <c r="L26" s="59" t="s">
        <v>105</v>
      </c>
      <c r="M26" s="59">
        <f>IF(ISNUMBER(M25),0.9*M25,0.9*M24)</f>
        <v>1.575</v>
      </c>
      <c r="T26" s="59" t="s">
        <v>106</v>
      </c>
      <c r="U26" s="59">
        <v>0.3</v>
      </c>
    </row>
    <row r="27" spans="1:21" x14ac:dyDescent="0.2">
      <c r="D27">
        <v>2</v>
      </c>
      <c r="E27">
        <f>'Gear Ratio and forces'!H3/4.25</f>
        <v>1.411764705882353</v>
      </c>
      <c r="F27">
        <f t="shared" ref="F27:F28" si="0">SQRT(E27)</f>
        <v>1.1881770515720091</v>
      </c>
      <c r="G27">
        <v>1.1881770515720091</v>
      </c>
      <c r="I27" s="59"/>
      <c r="J27" s="59"/>
      <c r="L27" s="59" t="s">
        <v>106</v>
      </c>
      <c r="M27" s="59">
        <v>0.3</v>
      </c>
      <c r="T27" s="62" t="s">
        <v>108</v>
      </c>
      <c r="U27" s="59">
        <v>2.1160000000000001</v>
      </c>
    </row>
    <row r="28" spans="1:21" x14ac:dyDescent="0.2">
      <c r="A28" s="53" t="s">
        <v>107</v>
      </c>
      <c r="D28">
        <v>3</v>
      </c>
      <c r="E28">
        <f>'Gear Ratio and forces'!H4/4.25</f>
        <v>0.94117647058823528</v>
      </c>
      <c r="F28">
        <f t="shared" si="0"/>
        <v>0.97014250014533188</v>
      </c>
      <c r="G28">
        <v>0.97014250014533188</v>
      </c>
      <c r="I28" s="57" t="s">
        <v>113</v>
      </c>
      <c r="J28" s="59">
        <f>700*((J26/J10)*(($B$24/$E$23)^2)*((J11+1)/J11)*(J6*IF(ISNUMBER(J8),J8,J7)))^(1/3)</f>
        <v>32.20391256430112</v>
      </c>
      <c r="L28" s="62" t="s">
        <v>108</v>
      </c>
      <c r="M28" s="59">
        <v>2.1160000000000001</v>
      </c>
    </row>
    <row r="29" spans="1:21" x14ac:dyDescent="0.2">
      <c r="A29" t="s">
        <v>109</v>
      </c>
      <c r="B29">
        <v>270</v>
      </c>
      <c r="D29">
        <v>4</v>
      </c>
      <c r="E29">
        <f>'Gear Ratio and forces'!H5/4.25</f>
        <v>0.70588235294117652</v>
      </c>
      <c r="I29" s="59" t="s">
        <v>115</v>
      </c>
      <c r="J29" s="59">
        <f>3*J28</f>
        <v>96.611737692903361</v>
      </c>
      <c r="T29" s="57" t="s">
        <v>113</v>
      </c>
      <c r="U29" s="59">
        <f>700*((U20/U26)*(($B$24/$E$23)^2)*((U27+1)/U27)*(U22*IF(ISNUMBER(U24),U24,24)))^(1/3)</f>
        <v>48.208698331597198</v>
      </c>
    </row>
    <row r="30" spans="1:21" x14ac:dyDescent="0.2">
      <c r="A30" t="s">
        <v>111</v>
      </c>
      <c r="B30">
        <v>650</v>
      </c>
      <c r="D30">
        <v>5</v>
      </c>
      <c r="E30">
        <f>'Gear Ratio and forces'!H6/4.25</f>
        <v>0.56470588235294117</v>
      </c>
      <c r="I30" s="65" t="s">
        <v>116</v>
      </c>
      <c r="J30" s="63">
        <f>2*J26*(10^3)*J25*B25*J6*J9/(J10*E22*J28^2)</f>
        <v>0.97135792391736231</v>
      </c>
      <c r="L30" s="57" t="s">
        <v>113</v>
      </c>
      <c r="M30" s="59">
        <f>700*((M21/M27)*(($B$24/$E$23)^2)*((M28+1)/M28)*(M23*IF(ISNUMBER(M25),M25,24)))^(1/3)</f>
        <v>35.375869390355248</v>
      </c>
      <c r="T30" s="59" t="s">
        <v>115</v>
      </c>
      <c r="U30" s="59">
        <f>3*U29</f>
        <v>144.6260949947916</v>
      </c>
    </row>
    <row r="31" spans="1:21" x14ac:dyDescent="0.2">
      <c r="I31" s="59"/>
      <c r="J31" s="59"/>
      <c r="L31" s="59" t="s">
        <v>115</v>
      </c>
      <c r="M31" s="59">
        <f>3*M30</f>
        <v>106.12760817106575</v>
      </c>
      <c r="T31" s="65" t="s">
        <v>116</v>
      </c>
      <c r="U31" s="63">
        <f>2*U20*(10^3)*U19*$B$25*U22*U25/(U26*$E$22*U29^2)</f>
        <v>1.4541059578595634</v>
      </c>
    </row>
    <row r="32" spans="1:21" x14ac:dyDescent="0.2">
      <c r="I32" s="59" t="s">
        <v>117</v>
      </c>
      <c r="J32" s="59">
        <f>(J28/J30)*COS(RADIANS(($E$11)))</f>
        <v>28.711771114671336</v>
      </c>
      <c r="L32" s="65" t="s">
        <v>116</v>
      </c>
      <c r="M32" s="63">
        <f>2*M21*(10^3)*M20*$B$25*M23*M26/(M27*$E$22*M30^2)</f>
        <v>1.0670328016565029</v>
      </c>
      <c r="T32" s="59"/>
      <c r="U32" s="59"/>
    </row>
    <row r="33" spans="1:21" ht="17" thickBot="1" x14ac:dyDescent="0.25">
      <c r="I33" s="63" t="s">
        <v>119</v>
      </c>
      <c r="J33" s="63">
        <f>3*J32</f>
        <v>86.135313344014008</v>
      </c>
      <c r="L33" s="59"/>
      <c r="M33" s="59"/>
      <c r="T33" s="59" t="s">
        <v>117</v>
      </c>
      <c r="U33" s="59">
        <f>(U29/U31)*COS(RADIANS(($E$11)))</f>
        <v>28.711771114671304</v>
      </c>
    </row>
    <row r="34" spans="1:21" ht="17" thickBot="1" x14ac:dyDescent="0.25">
      <c r="I34" s="68"/>
      <c r="J34" s="61"/>
      <c r="L34" s="59" t="s">
        <v>117</v>
      </c>
      <c r="M34" s="59">
        <f>(M30/M32)*COS(RADIANS(($E$11)))</f>
        <v>28.711771114671297</v>
      </c>
      <c r="T34" s="63" t="s">
        <v>119</v>
      </c>
      <c r="U34" s="63">
        <f>3*U33</f>
        <v>86.135313344013909</v>
      </c>
    </row>
    <row r="35" spans="1:21" x14ac:dyDescent="0.2">
      <c r="A35" s="53" t="s">
        <v>118</v>
      </c>
      <c r="B35" s="54">
        <v>1E-3</v>
      </c>
      <c r="D35" t="s">
        <v>51</v>
      </c>
      <c r="E35">
        <v>4.25</v>
      </c>
      <c r="I35" s="62"/>
      <c r="J35" s="62"/>
      <c r="L35" s="63" t="s">
        <v>119</v>
      </c>
      <c r="M35" s="63">
        <f>3*M34</f>
        <v>86.135313344013895</v>
      </c>
      <c r="T35" s="57"/>
      <c r="U35" s="59"/>
    </row>
    <row r="36" spans="1:21" x14ac:dyDescent="0.2">
      <c r="I36" s="59"/>
      <c r="J36" s="59"/>
      <c r="L36" s="57"/>
      <c r="M36" s="59"/>
      <c r="T36" s="59" t="s">
        <v>122</v>
      </c>
      <c r="U36" s="59">
        <v>29</v>
      </c>
    </row>
    <row r="37" spans="1:21" x14ac:dyDescent="0.2">
      <c r="A37" t="s">
        <v>120</v>
      </c>
      <c r="B37">
        <v>0.3</v>
      </c>
      <c r="D37" t="s">
        <v>121</v>
      </c>
      <c r="I37" s="59"/>
      <c r="J37" s="59"/>
      <c r="L37" s="59" t="s">
        <v>122</v>
      </c>
      <c r="M37" s="59">
        <v>29</v>
      </c>
      <c r="T37" s="65" t="s">
        <v>124</v>
      </c>
      <c r="U37" s="63">
        <v>86</v>
      </c>
    </row>
    <row r="38" spans="1:21" x14ac:dyDescent="0.2">
      <c r="D38" t="s">
        <v>123</v>
      </c>
      <c r="I38" s="59"/>
      <c r="J38" s="59"/>
      <c r="L38" s="65" t="s">
        <v>124</v>
      </c>
      <c r="M38" s="63">
        <v>86</v>
      </c>
      <c r="T38" s="59" t="s">
        <v>125</v>
      </c>
      <c r="U38" s="59">
        <v>2</v>
      </c>
    </row>
    <row r="39" spans="1:21" x14ac:dyDescent="0.2">
      <c r="I39" s="59"/>
      <c r="J39" s="59"/>
      <c r="L39" s="59" t="s">
        <v>125</v>
      </c>
      <c r="M39" s="59">
        <v>2</v>
      </c>
      <c r="T39" s="59" t="s">
        <v>127</v>
      </c>
      <c r="U39" s="59">
        <f>U36*U38/(COS(RADIANS($E$11)))</f>
        <v>66.972631225996579</v>
      </c>
    </row>
    <row r="40" spans="1:21" x14ac:dyDescent="0.2">
      <c r="D40" t="s">
        <v>126</v>
      </c>
      <c r="I40" s="62"/>
      <c r="J40" s="59"/>
      <c r="L40" s="59" t="s">
        <v>127</v>
      </c>
      <c r="M40" s="59">
        <f>M37*M39/(COS(RADIANS($E$11)))</f>
        <v>66.972631225996579</v>
      </c>
      <c r="T40" s="63" t="s">
        <v>128</v>
      </c>
      <c r="U40" s="59">
        <f>U37*U38/(COS(RADIANS($E$11)))</f>
        <v>198.60849260123126</v>
      </c>
    </row>
    <row r="41" spans="1:21" x14ac:dyDescent="0.2">
      <c r="I41" s="66"/>
      <c r="J41" s="67"/>
      <c r="L41" s="63" t="s">
        <v>128</v>
      </c>
      <c r="M41" s="59">
        <f>M38*M39/(COS(RADIANS($E$11)))</f>
        <v>198.60849260123126</v>
      </c>
    </row>
    <row r="42" spans="1:21" x14ac:dyDescent="0.2">
      <c r="I42" s="59"/>
      <c r="J42" s="60"/>
      <c r="T42" t="s">
        <v>135</v>
      </c>
      <c r="U42">
        <f>U37/U36</f>
        <v>2.9655172413793105</v>
      </c>
    </row>
    <row r="43" spans="1:21" x14ac:dyDescent="0.2">
      <c r="I43" s="59"/>
      <c r="J43" s="59"/>
      <c r="L43" t="s">
        <v>135</v>
      </c>
      <c r="M43">
        <f>M38/M37</f>
        <v>2.9655172413793105</v>
      </c>
      <c r="T43" t="s">
        <v>136</v>
      </c>
      <c r="U43">
        <f>U38*U26*(U39^2)*$E$22/(2*U20*1000*U19*U22*U25)</f>
        <v>5.1496721950095008</v>
      </c>
    </row>
    <row r="44" spans="1:21" x14ac:dyDescent="0.2">
      <c r="I44" s="58"/>
      <c r="J44" s="59"/>
      <c r="L44" t="s">
        <v>136</v>
      </c>
      <c r="M44">
        <f>M39*M27*(M40^2)*$E$22/(2*M21*1000*M20*M23*M26)</f>
        <v>13.032701113775193</v>
      </c>
    </row>
    <row r="45" spans="1:21" x14ac:dyDescent="0.2">
      <c r="I45" s="59"/>
      <c r="J45" s="59"/>
      <c r="T45" t="s">
        <v>138</v>
      </c>
    </row>
    <row r="46" spans="1:21" x14ac:dyDescent="0.2">
      <c r="I46" s="57"/>
      <c r="J46" s="59"/>
      <c r="L46" t="s">
        <v>138</v>
      </c>
    </row>
    <row r="47" spans="1:21" x14ac:dyDescent="0.2">
      <c r="I47" s="59"/>
      <c r="J47" s="59"/>
    </row>
    <row r="48" spans="1:21" x14ac:dyDescent="0.2">
      <c r="I48" s="59"/>
      <c r="J48" s="59"/>
    </row>
    <row r="49" spans="9:10" x14ac:dyDescent="0.2">
      <c r="I49" s="59"/>
      <c r="J49" s="59"/>
    </row>
    <row r="50" spans="9:10" x14ac:dyDescent="0.2">
      <c r="I50" s="58"/>
      <c r="J50" s="59"/>
    </row>
    <row r="51" spans="9:10" x14ac:dyDescent="0.2">
      <c r="I51" s="58"/>
      <c r="J51" s="59"/>
    </row>
    <row r="52" spans="9:10" x14ac:dyDescent="0.2">
      <c r="I52" s="58"/>
      <c r="J52" s="59"/>
    </row>
    <row r="53" spans="9:10" x14ac:dyDescent="0.2">
      <c r="I53" s="58"/>
      <c r="J53" s="59"/>
    </row>
    <row r="54" spans="9:10" x14ac:dyDescent="0.2">
      <c r="I54" s="58"/>
      <c r="J54" s="59"/>
    </row>
    <row r="55" spans="9:10" x14ac:dyDescent="0.2">
      <c r="I55" s="58"/>
      <c r="J55" s="59"/>
    </row>
    <row r="56" spans="9:10" x14ac:dyDescent="0.2">
      <c r="I56" s="59"/>
      <c r="J56" s="59"/>
    </row>
    <row r="57" spans="9:10" x14ac:dyDescent="0.2">
      <c r="I57" s="57"/>
      <c r="J57" s="59"/>
    </row>
    <row r="58" spans="9:10" x14ac:dyDescent="0.2">
      <c r="I58" s="59"/>
      <c r="J58" s="59"/>
    </row>
    <row r="59" spans="9:10" x14ac:dyDescent="0.2">
      <c r="I59" s="58"/>
      <c r="J59" s="59"/>
    </row>
    <row r="60" spans="9:10" x14ac:dyDescent="0.2">
      <c r="I60" s="59"/>
      <c r="J60" s="59"/>
    </row>
    <row r="61" spans="9:10" x14ac:dyDescent="0.2">
      <c r="I61" s="59"/>
      <c r="J61" s="59"/>
    </row>
    <row r="62" spans="9:10" x14ac:dyDescent="0.2">
      <c r="I62" s="63"/>
      <c r="J62" s="59"/>
    </row>
  </sheetData>
  <hyperlinks>
    <hyperlink ref="B19" r:id="rId1" xr:uid="{F3066CF9-68DF-9E43-BFE2-5B8891C25E1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Performance Map</vt:lpstr>
      <vt:lpstr>Gear Ratio and forces</vt:lpstr>
      <vt:lpstr>Prelim Gear Calcs. &amp; Bearings</vt:lpstr>
      <vt:lpstr>Graphs for prelim</vt:lpstr>
      <vt:lpstr>Gear Speed 1</vt:lpstr>
      <vt:lpstr>Gear Speed 2</vt:lpstr>
      <vt:lpstr>Gear Speed 3</vt:lpstr>
      <vt:lpstr>Gear Speed 4</vt:lpstr>
      <vt:lpstr>Gear Speed 5</vt:lpstr>
      <vt:lpstr>Reverse</vt:lpstr>
      <vt:lpstr>FDR</vt:lpstr>
      <vt:lpstr>Bearings</vt:lpstr>
      <vt:lpstr>Sheet3</vt:lpstr>
      <vt:lpstr>Prelim Calcs 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Markham, Xavier</dc:creator>
  <cp:keywords/>
  <dc:description/>
  <cp:lastModifiedBy>Okoro Aroh, Wisdom Ebubechi</cp:lastModifiedBy>
  <cp:revision/>
  <dcterms:created xsi:type="dcterms:W3CDTF">2024-02-22T19:43:00Z</dcterms:created>
  <dcterms:modified xsi:type="dcterms:W3CDTF">2024-03-17T14:46:20Z</dcterms:modified>
  <cp:category/>
  <cp:contentStatus/>
</cp:coreProperties>
</file>