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9912" windowHeight="7332" activeTab="4"/>
  </bookViews>
  <sheets>
    <sheet name="Triangles" sheetId="2" r:id="rId1"/>
    <sheet name="Triangles Analyse" sheetId="6" r:id="rId2"/>
    <sheet name="Estimation" sheetId="7" r:id="rId3"/>
    <sheet name="Estimation_BF" sheetId="8" r:id="rId4"/>
    <sheet name="Cash_Flow_Bonus" sheetId="9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9"/>
  <c r="D52"/>
  <c r="D53"/>
  <c r="D54"/>
  <c r="D55"/>
  <c r="D56"/>
  <c r="D57"/>
  <c r="D50"/>
  <c r="C50"/>
  <c r="F50"/>
  <c r="F49"/>
  <c r="J44"/>
  <c r="L18"/>
  <c r="L19"/>
  <c r="L20"/>
  <c r="L21"/>
  <c r="L22"/>
  <c r="L23"/>
  <c r="L24"/>
  <c r="L25"/>
  <c r="L26"/>
  <c r="L17"/>
  <c r="C12" l="1"/>
  <c r="D12"/>
  <c r="E12"/>
  <c r="F12"/>
  <c r="G12"/>
  <c r="H12"/>
  <c r="I12"/>
  <c r="J12"/>
  <c r="K12"/>
  <c r="C11"/>
  <c r="D11"/>
  <c r="E11"/>
  <c r="F11"/>
  <c r="G11"/>
  <c r="H11"/>
  <c r="I11"/>
  <c r="J11"/>
  <c r="K11"/>
  <c r="C10"/>
  <c r="D10"/>
  <c r="E10"/>
  <c r="F10"/>
  <c r="G10"/>
  <c r="H10"/>
  <c r="I10"/>
  <c r="J10"/>
  <c r="K10"/>
  <c r="C9"/>
  <c r="D9"/>
  <c r="E9"/>
  <c r="F9"/>
  <c r="G9"/>
  <c r="H9"/>
  <c r="I9"/>
  <c r="J9"/>
  <c r="K9"/>
  <c r="C8"/>
  <c r="D8"/>
  <c r="E8"/>
  <c r="F8"/>
  <c r="G8"/>
  <c r="H8"/>
  <c r="I8"/>
  <c r="J8"/>
  <c r="K8"/>
  <c r="C7"/>
  <c r="D7"/>
  <c r="E7"/>
  <c r="F7"/>
  <c r="G7"/>
  <c r="H7"/>
  <c r="I7"/>
  <c r="J7"/>
  <c r="K7"/>
  <c r="C6"/>
  <c r="D6"/>
  <c r="E6"/>
  <c r="F6"/>
  <c r="G6"/>
  <c r="H6"/>
  <c r="I6"/>
  <c r="J6"/>
  <c r="K6"/>
  <c r="C5"/>
  <c r="D5"/>
  <c r="E5"/>
  <c r="F5"/>
  <c r="G5"/>
  <c r="H5"/>
  <c r="I5"/>
  <c r="J5"/>
  <c r="K5"/>
  <c r="C4"/>
  <c r="D4"/>
  <c r="E4"/>
  <c r="F4"/>
  <c r="G4"/>
  <c r="H4"/>
  <c r="I4"/>
  <c r="J4"/>
  <c r="K4"/>
  <c r="B12"/>
  <c r="B4"/>
  <c r="B5"/>
  <c r="B6"/>
  <c r="B7"/>
  <c r="B8"/>
  <c r="B9"/>
  <c r="B10"/>
  <c r="B11"/>
  <c r="C3"/>
  <c r="D3"/>
  <c r="E3"/>
  <c r="F3"/>
  <c r="G3"/>
  <c r="H3"/>
  <c r="I3"/>
  <c r="J3"/>
  <c r="K3"/>
  <c r="B3"/>
  <c r="B3" i="8"/>
  <c r="C21"/>
  <c r="C12"/>
  <c r="D12"/>
  <c r="E12"/>
  <c r="F12"/>
  <c r="G12"/>
  <c r="H12"/>
  <c r="I12"/>
  <c r="J12"/>
  <c r="K12"/>
  <c r="C11"/>
  <c r="D11"/>
  <c r="E11"/>
  <c r="F11"/>
  <c r="G11"/>
  <c r="H11"/>
  <c r="I11"/>
  <c r="J11"/>
  <c r="K11"/>
  <c r="C10"/>
  <c r="D10"/>
  <c r="E10"/>
  <c r="F10"/>
  <c r="G10"/>
  <c r="H10"/>
  <c r="I10"/>
  <c r="J10"/>
  <c r="K10"/>
  <c r="C9"/>
  <c r="D9"/>
  <c r="E9"/>
  <c r="F9"/>
  <c r="G9"/>
  <c r="H9"/>
  <c r="I9"/>
  <c r="J9"/>
  <c r="K9"/>
  <c r="C8"/>
  <c r="D8"/>
  <c r="E8"/>
  <c r="F8"/>
  <c r="G8"/>
  <c r="H8"/>
  <c r="I8"/>
  <c r="J8"/>
  <c r="K8"/>
  <c r="C7"/>
  <c r="D7"/>
  <c r="E7"/>
  <c r="F7"/>
  <c r="G7"/>
  <c r="H7"/>
  <c r="I7"/>
  <c r="J7"/>
  <c r="K7"/>
  <c r="C6"/>
  <c r="D6"/>
  <c r="E6"/>
  <c r="F6"/>
  <c r="G6"/>
  <c r="H6"/>
  <c r="I6"/>
  <c r="J6"/>
  <c r="K6"/>
  <c r="C5"/>
  <c r="D5"/>
  <c r="E5"/>
  <c r="F5"/>
  <c r="G5"/>
  <c r="H5"/>
  <c r="I5"/>
  <c r="J5"/>
  <c r="K5"/>
  <c r="C4"/>
  <c r="D4"/>
  <c r="E4"/>
  <c r="F4"/>
  <c r="G4"/>
  <c r="H4"/>
  <c r="I4"/>
  <c r="J4"/>
  <c r="K4"/>
  <c r="C3"/>
  <c r="D3"/>
  <c r="E3"/>
  <c r="F3"/>
  <c r="G3"/>
  <c r="H3"/>
  <c r="I3"/>
  <c r="J3"/>
  <c r="K3"/>
  <c r="B4"/>
  <c r="B5"/>
  <c r="B6"/>
  <c r="B7"/>
  <c r="B8"/>
  <c r="B9"/>
  <c r="B10"/>
  <c r="B11"/>
  <c r="B12"/>
  <c r="B20" i="7"/>
  <c r="B21"/>
  <c r="AB44" i="6"/>
  <c r="AC44"/>
  <c r="AD44"/>
  <c r="AE44"/>
  <c r="AF44"/>
  <c r="AG44"/>
  <c r="AH44"/>
  <c r="AA44"/>
  <c r="AA31"/>
  <c r="AB31"/>
  <c r="AC31"/>
  <c r="AD31"/>
  <c r="AE31"/>
  <c r="AF31"/>
  <c r="AG31"/>
  <c r="AH31"/>
  <c r="Z44"/>
  <c r="Z31"/>
  <c r="AC18"/>
  <c r="AD18"/>
  <c r="AE18"/>
  <c r="AF18"/>
  <c r="AG18"/>
  <c r="AH18"/>
  <c r="AB18"/>
  <c r="AA18"/>
  <c r="Z18"/>
  <c r="AH7"/>
  <c r="AG7"/>
  <c r="Z7"/>
  <c r="AH6"/>
  <c r="AG6"/>
  <c r="AH5"/>
  <c r="AG5"/>
  <c r="AF5"/>
  <c r="AF6" s="1"/>
  <c r="AE5"/>
  <c r="AE6" s="1"/>
  <c r="AD5"/>
  <c r="AD6" s="1"/>
  <c r="AC5"/>
  <c r="AC6" s="1"/>
  <c r="AB5"/>
  <c r="AB6" s="1"/>
  <c r="AA5"/>
  <c r="AA6" s="1"/>
  <c r="Z5"/>
  <c r="Z6" s="1"/>
  <c r="AH4"/>
  <c r="AH8" s="1"/>
  <c r="AG4"/>
  <c r="AG8" s="1"/>
  <c r="AF4"/>
  <c r="AF7" s="1"/>
  <c r="AE4"/>
  <c r="AE8" s="1"/>
  <c r="AD4"/>
  <c r="AD8" s="1"/>
  <c r="AC4"/>
  <c r="AC8" s="1"/>
  <c r="AB4"/>
  <c r="AB7" s="1"/>
  <c r="AA4"/>
  <c r="AA7" s="1"/>
  <c r="Z4"/>
  <c r="Z8" s="1"/>
  <c r="AE7" l="1"/>
  <c r="AD7"/>
  <c r="AB8"/>
  <c r="AC7"/>
  <c r="AF8"/>
  <c r="AA8"/>
  <c r="D21" i="8" l="1"/>
  <c r="D22" s="1"/>
  <c r="D23" l="1"/>
  <c r="E22"/>
  <c r="C57" i="9"/>
  <c r="E57" s="1"/>
  <c r="C56"/>
  <c r="E56" s="1"/>
  <c r="C55"/>
  <c r="E55" s="1"/>
  <c r="C54"/>
  <c r="E54" s="1"/>
  <c r="C53"/>
  <c r="E53" s="1"/>
  <c r="C52"/>
  <c r="E52" s="1"/>
  <c r="C51"/>
  <c r="E51" s="1"/>
  <c r="E50"/>
  <c r="G50" s="1"/>
  <c r="C49"/>
  <c r="E49" s="1"/>
  <c r="G49" s="1"/>
  <c r="B26"/>
  <c r="C25"/>
  <c r="B25"/>
  <c r="D24"/>
  <c r="C24"/>
  <c r="B24"/>
  <c r="E23"/>
  <c r="D23"/>
  <c r="C23"/>
  <c r="B23"/>
  <c r="F22"/>
  <c r="E22"/>
  <c r="D22"/>
  <c r="C22"/>
  <c r="B22"/>
  <c r="G21"/>
  <c r="F21"/>
  <c r="E21"/>
  <c r="D21"/>
  <c r="C21"/>
  <c r="B21"/>
  <c r="H20"/>
  <c r="G20"/>
  <c r="F20"/>
  <c r="E20"/>
  <c r="D20"/>
  <c r="C20"/>
  <c r="B20"/>
  <c r="I19"/>
  <c r="H19"/>
  <c r="G19"/>
  <c r="F19"/>
  <c r="E19"/>
  <c r="D19"/>
  <c r="C19"/>
  <c r="B19"/>
  <c r="J18"/>
  <c r="I18"/>
  <c r="I29" s="1"/>
  <c r="H18"/>
  <c r="G18"/>
  <c r="F18"/>
  <c r="E18"/>
  <c r="E29" s="1"/>
  <c r="D18"/>
  <c r="C18"/>
  <c r="B18"/>
  <c r="K17"/>
  <c r="K29" s="1"/>
  <c r="J17"/>
  <c r="I17"/>
  <c r="H17"/>
  <c r="G17"/>
  <c r="F17"/>
  <c r="E17"/>
  <c r="D17"/>
  <c r="C17"/>
  <c r="B17"/>
  <c r="L12"/>
  <c r="L11"/>
  <c r="L10"/>
  <c r="L9"/>
  <c r="L8"/>
  <c r="L7"/>
  <c r="L6"/>
  <c r="L5"/>
  <c r="L4"/>
  <c r="L3"/>
  <c r="C29" l="1"/>
  <c r="D31" s="1"/>
  <c r="I30"/>
  <c r="H29"/>
  <c r="H30" s="1"/>
  <c r="G29"/>
  <c r="G30" s="1"/>
  <c r="D29"/>
  <c r="E30" s="1"/>
  <c r="F29"/>
  <c r="F30" s="1"/>
  <c r="L13"/>
  <c r="J29"/>
  <c r="J30" s="1"/>
  <c r="J19" s="1"/>
  <c r="B37" s="1"/>
  <c r="B29"/>
  <c r="B30" s="1"/>
  <c r="C31" s="1"/>
  <c r="I31"/>
  <c r="B31"/>
  <c r="F31"/>
  <c r="J31"/>
  <c r="D24" i="8"/>
  <c r="E23"/>
  <c r="K31" i="9"/>
  <c r="D30" l="1"/>
  <c r="D25" s="1"/>
  <c r="E31"/>
  <c r="E24" s="1"/>
  <c r="I20"/>
  <c r="F23"/>
  <c r="B41" s="1"/>
  <c r="H31"/>
  <c r="H21" s="1"/>
  <c r="G31"/>
  <c r="G22" s="1"/>
  <c r="K30"/>
  <c r="K19" s="1"/>
  <c r="C30"/>
  <c r="C26" s="1"/>
  <c r="B44" s="1"/>
  <c r="J20"/>
  <c r="C38" s="1"/>
  <c r="B38"/>
  <c r="I21"/>
  <c r="B39"/>
  <c r="H22"/>
  <c r="B40"/>
  <c r="K18"/>
  <c r="D25" i="8"/>
  <c r="E24"/>
  <c r="G23" i="9" l="1"/>
  <c r="H23" s="1"/>
  <c r="B43"/>
  <c r="E25"/>
  <c r="F25" s="1"/>
  <c r="I22"/>
  <c r="C40"/>
  <c r="B36"/>
  <c r="C36"/>
  <c r="F24"/>
  <c r="B42"/>
  <c r="C37"/>
  <c r="D37"/>
  <c r="J21"/>
  <c r="C39"/>
  <c r="K20"/>
  <c r="D26"/>
  <c r="C44" s="1"/>
  <c r="D26" i="8"/>
  <c r="B40" s="1"/>
  <c r="E25"/>
  <c r="G39"/>
  <c r="F39"/>
  <c r="E39"/>
  <c r="D39"/>
  <c r="C39"/>
  <c r="B39"/>
  <c r="H38"/>
  <c r="G38"/>
  <c r="F38"/>
  <c r="E38"/>
  <c r="D38"/>
  <c r="C38"/>
  <c r="B38"/>
  <c r="I37"/>
  <c r="H37"/>
  <c r="G37"/>
  <c r="F37"/>
  <c r="E37"/>
  <c r="D37"/>
  <c r="C37"/>
  <c r="B37"/>
  <c r="J36"/>
  <c r="I36"/>
  <c r="H36"/>
  <c r="G36"/>
  <c r="F36"/>
  <c r="E36"/>
  <c r="D36"/>
  <c r="C36"/>
  <c r="B36"/>
  <c r="K35"/>
  <c r="J35"/>
  <c r="I35"/>
  <c r="H35"/>
  <c r="G35"/>
  <c r="F35"/>
  <c r="E35"/>
  <c r="D35"/>
  <c r="C35"/>
  <c r="B35"/>
  <c r="L16"/>
  <c r="L17" s="1"/>
  <c r="K16"/>
  <c r="K17" s="1"/>
  <c r="C22" s="1"/>
  <c r="F22" s="1"/>
  <c r="J16"/>
  <c r="J17" s="1"/>
  <c r="C23" s="1"/>
  <c r="F23" s="1"/>
  <c r="I16"/>
  <c r="I17" s="1"/>
  <c r="C24" s="1"/>
  <c r="F24" s="1"/>
  <c r="H16"/>
  <c r="H17" s="1"/>
  <c r="C25" s="1"/>
  <c r="G16"/>
  <c r="G17" s="1"/>
  <c r="C26" s="1"/>
  <c r="F16"/>
  <c r="F17" s="1"/>
  <c r="C27" s="1"/>
  <c r="E16"/>
  <c r="E17" s="1"/>
  <c r="C28" s="1"/>
  <c r="D16"/>
  <c r="D17" s="1"/>
  <c r="C29" s="1"/>
  <c r="C16"/>
  <c r="C17" s="1"/>
  <c r="C30" s="1"/>
  <c r="L3"/>
  <c r="L4"/>
  <c r="L7"/>
  <c r="L8"/>
  <c r="L11"/>
  <c r="L12"/>
  <c r="L5"/>
  <c r="L6"/>
  <c r="L9"/>
  <c r="L10"/>
  <c r="C43" i="9" l="1"/>
  <c r="C41"/>
  <c r="B46"/>
  <c r="I23"/>
  <c r="D41"/>
  <c r="G25"/>
  <c r="D43"/>
  <c r="K21"/>
  <c r="D39"/>
  <c r="J22"/>
  <c r="D40"/>
  <c r="D38"/>
  <c r="E38"/>
  <c r="G24"/>
  <c r="C42"/>
  <c r="E26"/>
  <c r="D44" s="1"/>
  <c r="D40" i="8"/>
  <c r="E40"/>
  <c r="F40"/>
  <c r="F25"/>
  <c r="C40"/>
  <c r="D27"/>
  <c r="E26"/>
  <c r="F26" s="1"/>
  <c r="F21"/>
  <c r="L13"/>
  <c r="M24" i="7"/>
  <c r="M25"/>
  <c r="M26"/>
  <c r="M27"/>
  <c r="M28"/>
  <c r="M29"/>
  <c r="M23"/>
  <c r="M22"/>
  <c r="M21"/>
  <c r="M20"/>
  <c r="K36"/>
  <c r="J36"/>
  <c r="I36"/>
  <c r="H36"/>
  <c r="G36"/>
  <c r="F36"/>
  <c r="E36"/>
  <c r="D36"/>
  <c r="C36"/>
  <c r="B36"/>
  <c r="K19"/>
  <c r="J19"/>
  <c r="I19"/>
  <c r="H19"/>
  <c r="G19"/>
  <c r="F19"/>
  <c r="E19"/>
  <c r="D19"/>
  <c r="C19"/>
  <c r="B19"/>
  <c r="C46" i="9" l="1"/>
  <c r="K22"/>
  <c r="E40"/>
  <c r="H24"/>
  <c r="D42"/>
  <c r="D46" s="1"/>
  <c r="F51" s="1"/>
  <c r="G51" s="1"/>
  <c r="J23"/>
  <c r="E41"/>
  <c r="H25"/>
  <c r="E43"/>
  <c r="F39"/>
  <c r="E39"/>
  <c r="F26"/>
  <c r="E44" s="1"/>
  <c r="D28" i="8"/>
  <c r="E27"/>
  <c r="F27" s="1"/>
  <c r="C41"/>
  <c r="D41"/>
  <c r="E41"/>
  <c r="B41"/>
  <c r="M30" i="7"/>
  <c r="I25" i="9" l="1"/>
  <c r="F43"/>
  <c r="F40"/>
  <c r="G40"/>
  <c r="I24"/>
  <c r="E42"/>
  <c r="E46" s="1"/>
  <c r="F52" s="1"/>
  <c r="G52" s="1"/>
  <c r="K23"/>
  <c r="F41"/>
  <c r="G26"/>
  <c r="F44" s="1"/>
  <c r="D29" i="8"/>
  <c r="E28"/>
  <c r="F28" s="1"/>
  <c r="B42"/>
  <c r="C42"/>
  <c r="D42"/>
  <c r="K4" i="7"/>
  <c r="J5"/>
  <c r="J4"/>
  <c r="J16" s="1"/>
  <c r="I5"/>
  <c r="I6"/>
  <c r="I4"/>
  <c r="H5"/>
  <c r="H6"/>
  <c r="H7"/>
  <c r="H4"/>
  <c r="G5"/>
  <c r="G6"/>
  <c r="G7"/>
  <c r="G8"/>
  <c r="G4"/>
  <c r="F5"/>
  <c r="F6"/>
  <c r="F7"/>
  <c r="F8"/>
  <c r="F9"/>
  <c r="F4"/>
  <c r="E5"/>
  <c r="E6"/>
  <c r="E7"/>
  <c r="E8"/>
  <c r="E9"/>
  <c r="E10"/>
  <c r="E4"/>
  <c r="D5"/>
  <c r="D6"/>
  <c r="D7"/>
  <c r="D8"/>
  <c r="D9"/>
  <c r="D10"/>
  <c r="D11"/>
  <c r="D4"/>
  <c r="C5"/>
  <c r="C6"/>
  <c r="C7"/>
  <c r="C8"/>
  <c r="C9"/>
  <c r="C10"/>
  <c r="C11"/>
  <c r="C12"/>
  <c r="C4"/>
  <c r="B5"/>
  <c r="B6"/>
  <c r="B7"/>
  <c r="B8"/>
  <c r="B9"/>
  <c r="B10"/>
  <c r="B11"/>
  <c r="B12"/>
  <c r="B13"/>
  <c r="B4"/>
  <c r="W42" i="6"/>
  <c r="V42"/>
  <c r="U42"/>
  <c r="T42"/>
  <c r="S42"/>
  <c r="R42"/>
  <c r="Q42"/>
  <c r="P42"/>
  <c r="O42"/>
  <c r="N42"/>
  <c r="W29"/>
  <c r="V29"/>
  <c r="U29"/>
  <c r="T29"/>
  <c r="S29"/>
  <c r="R29"/>
  <c r="Q29"/>
  <c r="P29"/>
  <c r="O29"/>
  <c r="N29"/>
  <c r="O17"/>
  <c r="O25"/>
  <c r="O23"/>
  <c r="S21"/>
  <c r="R19"/>
  <c r="Q19"/>
  <c r="R17"/>
  <c r="W16"/>
  <c r="V16"/>
  <c r="U16"/>
  <c r="T16"/>
  <c r="S16"/>
  <c r="R16"/>
  <c r="Q16"/>
  <c r="P16"/>
  <c r="O16"/>
  <c r="N16"/>
  <c r="T6"/>
  <c r="T7"/>
  <c r="W3"/>
  <c r="V3"/>
  <c r="U3"/>
  <c r="T3"/>
  <c r="S3"/>
  <c r="R3"/>
  <c r="Q3"/>
  <c r="P3"/>
  <c r="O3"/>
  <c r="N3"/>
  <c r="K70"/>
  <c r="J70"/>
  <c r="I70"/>
  <c r="H70"/>
  <c r="G70"/>
  <c r="F70"/>
  <c r="E70"/>
  <c r="D70"/>
  <c r="C70"/>
  <c r="B70"/>
  <c r="K57"/>
  <c r="J57"/>
  <c r="I57"/>
  <c r="H57"/>
  <c r="G57"/>
  <c r="F57"/>
  <c r="E57"/>
  <c r="D57"/>
  <c r="C57"/>
  <c r="B57"/>
  <c r="K42"/>
  <c r="J42"/>
  <c r="I42"/>
  <c r="H42"/>
  <c r="G42"/>
  <c r="F42"/>
  <c r="E42"/>
  <c r="D42"/>
  <c r="C42"/>
  <c r="B42"/>
  <c r="K29"/>
  <c r="J29"/>
  <c r="I29"/>
  <c r="H29"/>
  <c r="G29"/>
  <c r="F29"/>
  <c r="E29"/>
  <c r="D29"/>
  <c r="C29"/>
  <c r="B29"/>
  <c r="K16"/>
  <c r="J16"/>
  <c r="I16"/>
  <c r="H16"/>
  <c r="G16"/>
  <c r="F16"/>
  <c r="E16"/>
  <c r="D16"/>
  <c r="C16"/>
  <c r="B16"/>
  <c r="K3"/>
  <c r="J3"/>
  <c r="I3"/>
  <c r="H3"/>
  <c r="G3"/>
  <c r="F3"/>
  <c r="E3"/>
  <c r="D3"/>
  <c r="C3"/>
  <c r="B3"/>
  <c r="R8"/>
  <c r="R4"/>
  <c r="Q5"/>
  <c r="Q8"/>
  <c r="P9"/>
  <c r="P10"/>
  <c r="O5"/>
  <c r="O4"/>
  <c r="B5"/>
  <c r="B4"/>
  <c r="K17"/>
  <c r="J18"/>
  <c r="J17"/>
  <c r="I18"/>
  <c r="I19"/>
  <c r="I17"/>
  <c r="U17" s="1"/>
  <c r="H18"/>
  <c r="U18" s="1"/>
  <c r="H19"/>
  <c r="H20"/>
  <c r="T20" s="1"/>
  <c r="H17"/>
  <c r="T17" s="1"/>
  <c r="G18"/>
  <c r="S18" s="1"/>
  <c r="G19"/>
  <c r="S19" s="1"/>
  <c r="G20"/>
  <c r="S20" s="1"/>
  <c r="G21"/>
  <c r="G17"/>
  <c r="F18"/>
  <c r="F19"/>
  <c r="F20"/>
  <c r="F21"/>
  <c r="F22"/>
  <c r="R22" s="1"/>
  <c r="F17"/>
  <c r="E18"/>
  <c r="E19"/>
  <c r="E20"/>
  <c r="E21"/>
  <c r="E22"/>
  <c r="E23"/>
  <c r="E17"/>
  <c r="D18"/>
  <c r="D19"/>
  <c r="P19" s="1"/>
  <c r="D20"/>
  <c r="D21"/>
  <c r="P21" s="1"/>
  <c r="D22"/>
  <c r="D23"/>
  <c r="P23" s="1"/>
  <c r="D24"/>
  <c r="D17"/>
  <c r="Q17" s="1"/>
  <c r="C18"/>
  <c r="C19"/>
  <c r="C20"/>
  <c r="C21"/>
  <c r="C22"/>
  <c r="C23"/>
  <c r="C24"/>
  <c r="O24" s="1"/>
  <c r="C25"/>
  <c r="C17"/>
  <c r="B18"/>
  <c r="B19"/>
  <c r="B20"/>
  <c r="B21"/>
  <c r="B22"/>
  <c r="B23"/>
  <c r="B24"/>
  <c r="B25"/>
  <c r="B26"/>
  <c r="B17"/>
  <c r="K4"/>
  <c r="J5"/>
  <c r="J4"/>
  <c r="V4" s="1"/>
  <c r="I5"/>
  <c r="U5" s="1"/>
  <c r="I6"/>
  <c r="I4"/>
  <c r="U4" s="1"/>
  <c r="H5"/>
  <c r="H6"/>
  <c r="U6" s="1"/>
  <c r="H7"/>
  <c r="H4"/>
  <c r="T4" s="1"/>
  <c r="G5"/>
  <c r="G6"/>
  <c r="S6" s="1"/>
  <c r="G7"/>
  <c r="G8"/>
  <c r="S8" s="1"/>
  <c r="G4"/>
  <c r="S4" s="1"/>
  <c r="F5"/>
  <c r="F6"/>
  <c r="R6" s="1"/>
  <c r="F7"/>
  <c r="F8"/>
  <c r="F9"/>
  <c r="R9" s="1"/>
  <c r="F4"/>
  <c r="E5"/>
  <c r="E6"/>
  <c r="E7"/>
  <c r="Q7" s="1"/>
  <c r="E8"/>
  <c r="E9"/>
  <c r="E10"/>
  <c r="E4"/>
  <c r="D5"/>
  <c r="P5" s="1"/>
  <c r="D6"/>
  <c r="D7"/>
  <c r="D8"/>
  <c r="P8" s="1"/>
  <c r="D9"/>
  <c r="D10"/>
  <c r="D11"/>
  <c r="D4"/>
  <c r="P4" s="1"/>
  <c r="C5"/>
  <c r="C6"/>
  <c r="C7"/>
  <c r="P7" s="1"/>
  <c r="C8"/>
  <c r="C9"/>
  <c r="O9" s="1"/>
  <c r="C10"/>
  <c r="C11"/>
  <c r="C12"/>
  <c r="O12" s="1"/>
  <c r="C4"/>
  <c r="B6"/>
  <c r="B7"/>
  <c r="B8"/>
  <c r="B9"/>
  <c r="B10"/>
  <c r="B11"/>
  <c r="O11" s="1"/>
  <c r="B12"/>
  <c r="B13"/>
  <c r="G41" i="9" l="1"/>
  <c r="H41"/>
  <c r="H26"/>
  <c r="G44" s="1"/>
  <c r="J25"/>
  <c r="G43"/>
  <c r="J24"/>
  <c r="F42"/>
  <c r="F46" s="1"/>
  <c r="F53" s="1"/>
  <c r="G53" s="1"/>
  <c r="D30" i="8"/>
  <c r="E29"/>
  <c r="F29" s="1"/>
  <c r="B43"/>
  <c r="C43"/>
  <c r="AF17" i="6"/>
  <c r="AF19" s="1"/>
  <c r="K30"/>
  <c r="K58" s="1"/>
  <c r="K20" i="7"/>
  <c r="B35" i="6"/>
  <c r="B25" i="7"/>
  <c r="J31" i="6"/>
  <c r="J44" s="1"/>
  <c r="J21" i="7"/>
  <c r="E36" i="6"/>
  <c r="E26" i="7"/>
  <c r="G30" i="6"/>
  <c r="G43" s="1"/>
  <c r="G20" i="7"/>
  <c r="J30" i="6"/>
  <c r="J20" i="7"/>
  <c r="V17" i="6"/>
  <c r="P24"/>
  <c r="E34"/>
  <c r="E24" i="7"/>
  <c r="E35" i="6"/>
  <c r="E25" i="7"/>
  <c r="C33" i="6"/>
  <c r="C46" s="1"/>
  <c r="C23" i="7"/>
  <c r="B37" i="6"/>
  <c r="B44" i="7" s="1"/>
  <c r="B27"/>
  <c r="C34" i="6"/>
  <c r="C62" s="1"/>
  <c r="C24" i="7"/>
  <c r="E30" i="6"/>
  <c r="E58" s="1"/>
  <c r="E20" i="7"/>
  <c r="F31" i="6"/>
  <c r="F21" i="7"/>
  <c r="I31" i="6"/>
  <c r="I44" s="1"/>
  <c r="I21" i="7"/>
  <c r="Q21" i="6"/>
  <c r="AB17" s="1"/>
  <c r="O21"/>
  <c r="B33"/>
  <c r="B40" i="7" s="1"/>
  <c r="B23"/>
  <c r="C32" i="6"/>
  <c r="C45" s="1"/>
  <c r="C22" i="7"/>
  <c r="B36" i="6"/>
  <c r="B49" s="1"/>
  <c r="B26" i="7"/>
  <c r="C35" i="6"/>
  <c r="C25" i="7"/>
  <c r="D31" i="6"/>
  <c r="D59" s="1"/>
  <c r="D21" i="7"/>
  <c r="I32" i="6"/>
  <c r="I60" s="1"/>
  <c r="I22" i="7"/>
  <c r="R21" i="6"/>
  <c r="O19"/>
  <c r="Q23"/>
  <c r="E33"/>
  <c r="E23" i="7"/>
  <c r="C31" i="6"/>
  <c r="C21" i="7"/>
  <c r="G34" i="6"/>
  <c r="G24" i="7"/>
  <c r="B38" i="6"/>
  <c r="B45" i="7" s="1"/>
  <c r="B28"/>
  <c r="F32" i="6"/>
  <c r="F60" s="1"/>
  <c r="F22" i="7"/>
  <c r="B39" i="6"/>
  <c r="B67" s="1"/>
  <c r="B29" i="7"/>
  <c r="C36" i="6"/>
  <c r="C64" s="1"/>
  <c r="C26" i="7"/>
  <c r="D32" i="6"/>
  <c r="D45" s="1"/>
  <c r="D22" i="7"/>
  <c r="F33" i="6"/>
  <c r="F61" s="1"/>
  <c r="F23" i="7"/>
  <c r="I30" i="6"/>
  <c r="I43" s="1"/>
  <c r="I20" i="7"/>
  <c r="W17" i="6"/>
  <c r="AH17" s="1"/>
  <c r="AH21" s="1"/>
  <c r="C59"/>
  <c r="E62"/>
  <c r="S17"/>
  <c r="AD17" s="1"/>
  <c r="AD21" s="1"/>
  <c r="V18"/>
  <c r="B34"/>
  <c r="B41" i="7" s="1"/>
  <c r="B24"/>
  <c r="C37" i="6"/>
  <c r="C50" s="1"/>
  <c r="C27" i="7"/>
  <c r="D34" i="6"/>
  <c r="D24" i="7"/>
  <c r="D33" i="6"/>
  <c r="D46" s="1"/>
  <c r="D23" i="7"/>
  <c r="H32" i="6"/>
  <c r="H22" i="7"/>
  <c r="C30" i="6"/>
  <c r="C20" i="7"/>
  <c r="D35" i="6"/>
  <c r="D25" i="7"/>
  <c r="F30" i="6"/>
  <c r="F20" i="7"/>
  <c r="H33" i="6"/>
  <c r="H23" i="7"/>
  <c r="O18" i="6"/>
  <c r="Z17" s="1"/>
  <c r="Q20"/>
  <c r="P17"/>
  <c r="P20"/>
  <c r="Q22"/>
  <c r="H31"/>
  <c r="H21" i="7"/>
  <c r="F35" i="6"/>
  <c r="F25" i="7"/>
  <c r="B31" i="6"/>
  <c r="D36"/>
  <c r="D26" i="7"/>
  <c r="E31" i="6"/>
  <c r="E21" i="7"/>
  <c r="H30" i="6"/>
  <c r="H20" i="7"/>
  <c r="B66" i="6"/>
  <c r="C63"/>
  <c r="R18"/>
  <c r="AC17" s="1"/>
  <c r="O20"/>
  <c r="P22"/>
  <c r="D30"/>
  <c r="D58" s="1"/>
  <c r="D20" i="7"/>
  <c r="G33" i="6"/>
  <c r="G23" i="7"/>
  <c r="B30" i="6"/>
  <c r="F34"/>
  <c r="F24" i="7"/>
  <c r="C38" i="6"/>
  <c r="C28" i="7"/>
  <c r="B32" i="6"/>
  <c r="B60" s="1"/>
  <c r="B22" i="7"/>
  <c r="D37" i="6"/>
  <c r="D65" s="1"/>
  <c r="D27" i="7"/>
  <c r="E32" i="6"/>
  <c r="E22" i="7"/>
  <c r="G31" i="6"/>
  <c r="G44" s="1"/>
  <c r="S44" s="1"/>
  <c r="G21" i="7"/>
  <c r="R20" i="6"/>
  <c r="T18"/>
  <c r="AE17" s="1"/>
  <c r="F44"/>
  <c r="I58"/>
  <c r="Q18"/>
  <c r="U19"/>
  <c r="O22"/>
  <c r="G32"/>
  <c r="G60" s="1"/>
  <c r="G22" i="7"/>
  <c r="P18" i="6"/>
  <c r="T19"/>
  <c r="S5"/>
  <c r="E16" i="7"/>
  <c r="K16"/>
  <c r="O6" i="6"/>
  <c r="Q9"/>
  <c r="G47"/>
  <c r="Q10"/>
  <c r="W4"/>
  <c r="G16" i="7"/>
  <c r="G9" s="1"/>
  <c r="H9" s="1"/>
  <c r="I9" s="1"/>
  <c r="J9" s="1"/>
  <c r="K9" s="1"/>
  <c r="L9" s="1"/>
  <c r="O8" i="6"/>
  <c r="Q4"/>
  <c r="R5"/>
  <c r="V5"/>
  <c r="O7"/>
  <c r="S7"/>
  <c r="O10"/>
  <c r="P6"/>
  <c r="R7"/>
  <c r="C13" i="7"/>
  <c r="T5" i="6"/>
  <c r="C16" i="7"/>
  <c r="F16"/>
  <c r="F10" s="1"/>
  <c r="G10" s="1"/>
  <c r="H10" s="1"/>
  <c r="I10" s="1"/>
  <c r="J10" s="1"/>
  <c r="K10" s="1"/>
  <c r="L10" s="1"/>
  <c r="H16"/>
  <c r="P11" i="6"/>
  <c r="Q6"/>
  <c r="B46"/>
  <c r="D16" i="7"/>
  <c r="D12"/>
  <c r="E12" s="1"/>
  <c r="F12" s="1"/>
  <c r="G12" s="1"/>
  <c r="H12" s="1"/>
  <c r="L4"/>
  <c r="E11"/>
  <c r="J6"/>
  <c r="K6" s="1"/>
  <c r="L6" s="1"/>
  <c r="I16"/>
  <c r="I7" s="1"/>
  <c r="H8"/>
  <c r="K5"/>
  <c r="L5" s="1"/>
  <c r="AD20" i="6"/>
  <c r="I26" i="9" l="1"/>
  <c r="J26" s="1"/>
  <c r="K25"/>
  <c r="H43"/>
  <c r="K24"/>
  <c r="G42"/>
  <c r="G46" s="1"/>
  <c r="F54" s="1"/>
  <c r="G54" s="1"/>
  <c r="E30" i="8"/>
  <c r="F30" s="1"/>
  <c r="F31" s="1"/>
  <c r="B44"/>
  <c r="I59" i="6"/>
  <c r="F46"/>
  <c r="C74"/>
  <c r="B47"/>
  <c r="E43"/>
  <c r="G72"/>
  <c r="B51"/>
  <c r="C79" s="1"/>
  <c r="B50"/>
  <c r="O50" s="1"/>
  <c r="B61"/>
  <c r="D73"/>
  <c r="O45"/>
  <c r="AE20"/>
  <c r="AE19"/>
  <c r="AE21"/>
  <c r="Z21"/>
  <c r="Z20"/>
  <c r="Z19"/>
  <c r="AC21"/>
  <c r="AC20"/>
  <c r="AC19"/>
  <c r="D78"/>
  <c r="P46"/>
  <c r="P45"/>
  <c r="AB21"/>
  <c r="AB20"/>
  <c r="AB19"/>
  <c r="E43" i="7"/>
  <c r="Q36" i="6"/>
  <c r="E64"/>
  <c r="G40" i="7"/>
  <c r="G46" i="6"/>
  <c r="S33"/>
  <c r="H38" i="7"/>
  <c r="T31" i="6"/>
  <c r="H59"/>
  <c r="H39" i="7"/>
  <c r="H60" i="6"/>
  <c r="T32"/>
  <c r="H45"/>
  <c r="B43"/>
  <c r="B37" i="7"/>
  <c r="B58" i="6"/>
  <c r="G61"/>
  <c r="G32" i="7"/>
  <c r="AH19" i="6"/>
  <c r="D60"/>
  <c r="J22" i="7"/>
  <c r="J32"/>
  <c r="C43"/>
  <c r="O36" i="6"/>
  <c r="E42" i="7"/>
  <c r="E63" i="6"/>
  <c r="Q35"/>
  <c r="D44" i="7"/>
  <c r="P37" i="6"/>
  <c r="E39" i="7"/>
  <c r="Q32" i="6"/>
  <c r="E60"/>
  <c r="I39" i="7"/>
  <c r="I45" i="6"/>
  <c r="U45" s="1"/>
  <c r="U32"/>
  <c r="F40" i="7"/>
  <c r="R33" i="6"/>
  <c r="G41" i="7"/>
  <c r="G62" i="6"/>
  <c r="S34"/>
  <c r="J37" i="7"/>
  <c r="J49" s="1"/>
  <c r="V30" i="6"/>
  <c r="AG30" s="1"/>
  <c r="J58"/>
  <c r="G38" i="7"/>
  <c r="G59" i="6"/>
  <c r="S31"/>
  <c r="F42" i="7"/>
  <c r="R35" i="6"/>
  <c r="F63"/>
  <c r="F48"/>
  <c r="C37" i="7"/>
  <c r="C43" i="6"/>
  <c r="C58"/>
  <c r="O30"/>
  <c r="I37" i="7"/>
  <c r="U30" i="6"/>
  <c r="C41" i="7"/>
  <c r="O34" i="6"/>
  <c r="K37" i="7"/>
  <c r="W30" i="6"/>
  <c r="AH30" s="1"/>
  <c r="K43"/>
  <c r="H32" i="7"/>
  <c r="H24" s="1"/>
  <c r="I24" s="1"/>
  <c r="J24" s="1"/>
  <c r="K24" s="1"/>
  <c r="L24" s="1"/>
  <c r="AH20" i="6"/>
  <c r="F71"/>
  <c r="E49"/>
  <c r="J43"/>
  <c r="V43" s="1"/>
  <c r="AG43" s="1"/>
  <c r="E48"/>
  <c r="E40" i="7"/>
  <c r="Q33" i="6"/>
  <c r="E46"/>
  <c r="E74" s="1"/>
  <c r="F41" i="7"/>
  <c r="F62" i="6"/>
  <c r="R34"/>
  <c r="C39" i="7"/>
  <c r="O32" i="6"/>
  <c r="C60"/>
  <c r="K32" i="7"/>
  <c r="K21" s="1"/>
  <c r="L21" s="1"/>
  <c r="L20"/>
  <c r="B44" i="6"/>
  <c r="B38" i="7"/>
  <c r="B59" i="6"/>
  <c r="D42" i="7"/>
  <c r="P35" i="6"/>
  <c r="D63"/>
  <c r="D48"/>
  <c r="F39" i="7"/>
  <c r="F45" i="6"/>
  <c r="R32"/>
  <c r="E37" i="7"/>
  <c r="Q30" i="6"/>
  <c r="B48"/>
  <c r="C76" s="1"/>
  <c r="B42" i="7"/>
  <c r="B63" i="6"/>
  <c r="AA17"/>
  <c r="G25" i="7"/>
  <c r="H25" s="1"/>
  <c r="I25" s="1"/>
  <c r="J25" s="1"/>
  <c r="K25" s="1"/>
  <c r="L25" s="1"/>
  <c r="C32"/>
  <c r="C29" s="1"/>
  <c r="D29" s="1"/>
  <c r="E29" s="1"/>
  <c r="F29" s="1"/>
  <c r="G29" s="1"/>
  <c r="H29" s="1"/>
  <c r="I29" s="1"/>
  <c r="J29" s="1"/>
  <c r="K29" s="1"/>
  <c r="L29" s="1"/>
  <c r="I32"/>
  <c r="I23" s="1"/>
  <c r="J23" s="1"/>
  <c r="K23" s="1"/>
  <c r="L23" s="1"/>
  <c r="B65" i="6"/>
  <c r="H44"/>
  <c r="T44" s="1"/>
  <c r="AG17"/>
  <c r="C45" i="7"/>
  <c r="C51" i="6"/>
  <c r="O38"/>
  <c r="C66"/>
  <c r="C44" i="7"/>
  <c r="C65" i="6"/>
  <c r="O37"/>
  <c r="G39" i="7"/>
  <c r="G45" i="6"/>
  <c r="S32"/>
  <c r="D43" i="7"/>
  <c r="P36" i="6"/>
  <c r="D49"/>
  <c r="D64"/>
  <c r="F37" i="7"/>
  <c r="R30" i="6"/>
  <c r="F43"/>
  <c r="F58"/>
  <c r="B52"/>
  <c r="B46" i="7"/>
  <c r="F38"/>
  <c r="R31" i="6"/>
  <c r="E41" i="7"/>
  <c r="E47" i="6"/>
  <c r="Q34"/>
  <c r="J38" i="7"/>
  <c r="V31" i="6"/>
  <c r="J59"/>
  <c r="E32" i="7"/>
  <c r="D28"/>
  <c r="E28" s="1"/>
  <c r="F28" s="1"/>
  <c r="G28" s="1"/>
  <c r="H28" s="1"/>
  <c r="I28" s="1"/>
  <c r="J28" s="1"/>
  <c r="K28" s="1"/>
  <c r="L28" s="1"/>
  <c r="B62" i="6"/>
  <c r="B43" i="7"/>
  <c r="B64" i="6"/>
  <c r="B45"/>
  <c r="C73" s="1"/>
  <c r="B39" i="7"/>
  <c r="D41"/>
  <c r="P34" i="6"/>
  <c r="D62"/>
  <c r="D47"/>
  <c r="C42" i="7"/>
  <c r="C48" i="6"/>
  <c r="O35"/>
  <c r="E61"/>
  <c r="D50"/>
  <c r="P50" s="1"/>
  <c r="C47"/>
  <c r="F59"/>
  <c r="F32" i="7"/>
  <c r="E45" i="6"/>
  <c r="E73" s="1"/>
  <c r="AD19"/>
  <c r="E38" i="7"/>
  <c r="E44" i="6"/>
  <c r="Q31"/>
  <c r="E59"/>
  <c r="AF21"/>
  <c r="AF20"/>
  <c r="H40" i="7"/>
  <c r="T33" i="6"/>
  <c r="H46"/>
  <c r="H61"/>
  <c r="I38" i="7"/>
  <c r="U31" i="6"/>
  <c r="D37" i="7"/>
  <c r="D43" i="6"/>
  <c r="Q43" s="1"/>
  <c r="P30"/>
  <c r="D38" i="7"/>
  <c r="D44" i="6"/>
  <c r="P31"/>
  <c r="H37" i="7"/>
  <c r="T30" i="6"/>
  <c r="AE30" s="1"/>
  <c r="H43"/>
  <c r="I71" s="1"/>
  <c r="H58"/>
  <c r="D40" i="7"/>
  <c r="D61" i="6"/>
  <c r="P33"/>
  <c r="D39" i="7"/>
  <c r="P32" i="6"/>
  <c r="C38" i="7"/>
  <c r="C44" i="6"/>
  <c r="O31"/>
  <c r="C40" i="7"/>
  <c r="C61" i="6"/>
  <c r="O33"/>
  <c r="G37" i="7"/>
  <c r="G58" i="6"/>
  <c r="S30"/>
  <c r="F26" i="7"/>
  <c r="G26" s="1"/>
  <c r="H26" s="1"/>
  <c r="I26" s="1"/>
  <c r="J26" s="1"/>
  <c r="K26" s="1"/>
  <c r="L26" s="1"/>
  <c r="E27"/>
  <c r="F27" s="1"/>
  <c r="G27" s="1"/>
  <c r="H27" s="1"/>
  <c r="I27" s="1"/>
  <c r="J27" s="1"/>
  <c r="K27" s="1"/>
  <c r="L27" s="1"/>
  <c r="D32"/>
  <c r="C49" i="6"/>
  <c r="F47"/>
  <c r="D13" i="7"/>
  <c r="E13" s="1"/>
  <c r="F13" s="1"/>
  <c r="G13" s="1"/>
  <c r="H13" s="1"/>
  <c r="I13" s="1"/>
  <c r="J13" s="1"/>
  <c r="K13" s="1"/>
  <c r="L13" s="1"/>
  <c r="G75" i="6"/>
  <c r="O49"/>
  <c r="J72"/>
  <c r="D74"/>
  <c r="O46"/>
  <c r="I8" i="7"/>
  <c r="J8" s="1"/>
  <c r="K8" s="1"/>
  <c r="L8" s="1"/>
  <c r="V44" i="6"/>
  <c r="S43"/>
  <c r="F11" i="7"/>
  <c r="G11" s="1"/>
  <c r="H11" s="1"/>
  <c r="I11" s="1"/>
  <c r="J11" s="1"/>
  <c r="K11" s="1"/>
  <c r="L11" s="1"/>
  <c r="I12"/>
  <c r="J12" s="1"/>
  <c r="K12" s="1"/>
  <c r="L12" s="1"/>
  <c r="J7"/>
  <c r="H44" i="9" l="1"/>
  <c r="I43"/>
  <c r="J43"/>
  <c r="H42"/>
  <c r="I42"/>
  <c r="K26"/>
  <c r="I44"/>
  <c r="AD30" i="6"/>
  <c r="AD32" s="1"/>
  <c r="D77"/>
  <c r="H71"/>
  <c r="J71"/>
  <c r="C78"/>
  <c r="R48"/>
  <c r="C71"/>
  <c r="Q49"/>
  <c r="O51"/>
  <c r="C77"/>
  <c r="T43"/>
  <c r="R47"/>
  <c r="W43"/>
  <c r="AH43" s="1"/>
  <c r="AH47" s="1"/>
  <c r="U44"/>
  <c r="E76"/>
  <c r="P48"/>
  <c r="S46"/>
  <c r="H74"/>
  <c r="S47"/>
  <c r="C49" i="7"/>
  <c r="E71" i="6"/>
  <c r="P43"/>
  <c r="S45"/>
  <c r="H73"/>
  <c r="D71"/>
  <c r="O43"/>
  <c r="Z43" s="1"/>
  <c r="AA30"/>
  <c r="K71"/>
  <c r="E44" i="7"/>
  <c r="AA20" i="6"/>
  <c r="AA21"/>
  <c r="AA19"/>
  <c r="D75"/>
  <c r="O47"/>
  <c r="C75"/>
  <c r="AG34"/>
  <c r="AG33"/>
  <c r="AG32"/>
  <c r="Z30"/>
  <c r="G74"/>
  <c r="I40" i="7"/>
  <c r="J40" s="1"/>
  <c r="D45"/>
  <c r="E45" s="1"/>
  <c r="E49"/>
  <c r="I49"/>
  <c r="F74" i="6"/>
  <c r="R46"/>
  <c r="Q46"/>
  <c r="AB43" s="1"/>
  <c r="D72"/>
  <c r="O44"/>
  <c r="F75"/>
  <c r="Q47"/>
  <c r="E77"/>
  <c r="P49"/>
  <c r="AE33"/>
  <c r="AE32"/>
  <c r="AE34"/>
  <c r="D49" i="7"/>
  <c r="H49"/>
  <c r="H41" s="1"/>
  <c r="I41" s="1"/>
  <c r="J41" s="1"/>
  <c r="K41" s="1"/>
  <c r="L41" s="1"/>
  <c r="N24" s="1"/>
  <c r="O24" s="1"/>
  <c r="K38"/>
  <c r="L38" s="1"/>
  <c r="N21" s="1"/>
  <c r="O21" s="1"/>
  <c r="AB30" i="6"/>
  <c r="H72"/>
  <c r="AF30"/>
  <c r="K22" i="7"/>
  <c r="L22" s="1"/>
  <c r="L30" s="1"/>
  <c r="E75" i="6"/>
  <c r="P47"/>
  <c r="Q48"/>
  <c r="F76"/>
  <c r="T46"/>
  <c r="AE43" s="1"/>
  <c r="F49" i="7"/>
  <c r="F43" s="1"/>
  <c r="G43" s="1"/>
  <c r="H43" s="1"/>
  <c r="I43" s="1"/>
  <c r="J43" s="1"/>
  <c r="K43" s="1"/>
  <c r="L43" s="1"/>
  <c r="N26" s="1"/>
  <c r="O26" s="1"/>
  <c r="C72" i="6"/>
  <c r="J39" i="7"/>
  <c r="AH34" i="6"/>
  <c r="AH32"/>
  <c r="AH33"/>
  <c r="Q44"/>
  <c r="R44"/>
  <c r="F72"/>
  <c r="G73"/>
  <c r="R45"/>
  <c r="AG21"/>
  <c r="AG20"/>
  <c r="AG19"/>
  <c r="U43"/>
  <c r="AC30"/>
  <c r="E72"/>
  <c r="P44"/>
  <c r="F73"/>
  <c r="Q45"/>
  <c r="D76"/>
  <c r="O48"/>
  <c r="R43"/>
  <c r="G71"/>
  <c r="L37" i="7"/>
  <c r="K49"/>
  <c r="T45" i="6"/>
  <c r="I73"/>
  <c r="C46" i="7"/>
  <c r="D46" s="1"/>
  <c r="E46" s="1"/>
  <c r="I72" i="6"/>
  <c r="G49" i="7"/>
  <c r="G42" s="1"/>
  <c r="AG47" i="6"/>
  <c r="AG46"/>
  <c r="AG45"/>
  <c r="AH45"/>
  <c r="K7" i="7"/>
  <c r="H46" i="9" l="1"/>
  <c r="F55" s="1"/>
  <c r="G55" s="1"/>
  <c r="I46"/>
  <c r="F56" s="1"/>
  <c r="G56" s="1"/>
  <c r="J46"/>
  <c r="F57" s="1"/>
  <c r="G57" s="1"/>
  <c r="K44"/>
  <c r="K46" s="1"/>
  <c r="AB45" i="6"/>
  <c r="AB47"/>
  <c r="AF43"/>
  <c r="AF46" s="1"/>
  <c r="AD33"/>
  <c r="AH46"/>
  <c r="AD34"/>
  <c r="AD43"/>
  <c r="H42" i="7"/>
  <c r="I42" s="1"/>
  <c r="J42" s="1"/>
  <c r="K42" s="1"/>
  <c r="L42" s="1"/>
  <c r="N25" s="1"/>
  <c r="O25" s="1"/>
  <c r="AC43" i="6"/>
  <c r="AC46" s="1"/>
  <c r="Z46"/>
  <c r="Z45"/>
  <c r="Z47"/>
  <c r="AD45"/>
  <c r="AD46"/>
  <c r="AD47"/>
  <c r="AE47"/>
  <c r="AE45"/>
  <c r="AE46"/>
  <c r="AA33"/>
  <c r="AA34"/>
  <c r="AA32"/>
  <c r="AC34"/>
  <c r="AC33"/>
  <c r="AC32"/>
  <c r="AB46"/>
  <c r="K40" i="7"/>
  <c r="L40" s="1"/>
  <c r="N23" s="1"/>
  <c r="O23" s="1"/>
  <c r="N20"/>
  <c r="K39"/>
  <c r="L39" s="1"/>
  <c r="N22" s="1"/>
  <c r="O22" s="1"/>
  <c r="Z34" i="6"/>
  <c r="Z32"/>
  <c r="Z33"/>
  <c r="AC45"/>
  <c r="AC47"/>
  <c r="F44" i="7"/>
  <c r="G44" s="1"/>
  <c r="H44" s="1"/>
  <c r="I44" s="1"/>
  <c r="J44" s="1"/>
  <c r="K44" s="1"/>
  <c r="L44" s="1"/>
  <c r="N27" s="1"/>
  <c r="O27" s="1"/>
  <c r="F45"/>
  <c r="G45" s="1"/>
  <c r="H45" s="1"/>
  <c r="I45" s="1"/>
  <c r="J45" s="1"/>
  <c r="K45" s="1"/>
  <c r="L45" s="1"/>
  <c r="N28" s="1"/>
  <c r="O28" s="1"/>
  <c r="AA43" i="6"/>
  <c r="AB34"/>
  <c r="AB33"/>
  <c r="AB32"/>
  <c r="AF34"/>
  <c r="AF33"/>
  <c r="AF32"/>
  <c r="F46" i="7"/>
  <c r="G46" s="1"/>
  <c r="H46" s="1"/>
  <c r="I46" s="1"/>
  <c r="J46" s="1"/>
  <c r="K46" s="1"/>
  <c r="L46" s="1"/>
  <c r="N29" s="1"/>
  <c r="O29" s="1"/>
  <c r="AF45" i="6"/>
  <c r="L7" i="7"/>
  <c r="L14" s="1"/>
  <c r="AF47" i="6" l="1"/>
  <c r="O20" i="7"/>
  <c r="O30" s="1"/>
  <c r="N30"/>
  <c r="AA46" i="6"/>
  <c r="AA45"/>
  <c r="AA47"/>
  <c r="L47" i="7"/>
</calcChain>
</file>

<file path=xl/sharedStrings.xml><?xml version="1.0" encoding="utf-8"?>
<sst xmlns="http://schemas.openxmlformats.org/spreadsheetml/2006/main" count="166" uniqueCount="43">
  <si>
    <t>Triangle des ouvertures</t>
  </si>
  <si>
    <t>NB</t>
  </si>
  <si>
    <t>Triangle des règlements</t>
  </si>
  <si>
    <t>REG</t>
  </si>
  <si>
    <t>Triangle des provisions SAP</t>
  </si>
  <si>
    <t>SAP</t>
  </si>
  <si>
    <t>Triangle des charges</t>
  </si>
  <si>
    <t>Triangle des couts moyens</t>
  </si>
  <si>
    <t>Règlements/Charge</t>
  </si>
  <si>
    <t>Triangle des cadences</t>
  </si>
  <si>
    <t>Analyse des cadences</t>
  </si>
  <si>
    <t>Facteur</t>
  </si>
  <si>
    <t>Moyenne</t>
  </si>
  <si>
    <t>Ecartype</t>
  </si>
  <si>
    <t>Coef Variation</t>
  </si>
  <si>
    <t>Min</t>
  </si>
  <si>
    <t>Max</t>
  </si>
  <si>
    <t>NB Tardifs</t>
  </si>
  <si>
    <t>PSAP_REG</t>
  </si>
  <si>
    <t>PSAP_GEST</t>
  </si>
  <si>
    <t>BONI_MALI</t>
  </si>
  <si>
    <t>PSAP_CHARG</t>
  </si>
  <si>
    <t>PSAP</t>
  </si>
  <si>
    <t>pc</t>
  </si>
  <si>
    <t>1-pc</t>
  </si>
  <si>
    <t>Prime acquises</t>
  </si>
  <si>
    <t>Loss Ratio Estimé</t>
  </si>
  <si>
    <t>S/P</t>
  </si>
  <si>
    <t>Charge Ultime</t>
  </si>
  <si>
    <t>cadence moyenne</t>
  </si>
  <si>
    <t>cadence incrémentale</t>
  </si>
  <si>
    <t>Reste à payer</t>
  </si>
  <si>
    <t>Total</t>
  </si>
  <si>
    <t>Année de projection</t>
  </si>
  <si>
    <t>Taux d'actualisation</t>
  </si>
  <si>
    <t>Taux Forward</t>
  </si>
  <si>
    <t>Prix ZC</t>
  </si>
  <si>
    <t>Facteur d'actualisation</t>
  </si>
  <si>
    <t>Flux non Actualisé</t>
  </si>
  <si>
    <t>Flux actualisé</t>
  </si>
  <si>
    <t>Triangle Boni/Mali</t>
  </si>
  <si>
    <t>→→→→→</t>
  </si>
  <si>
    <t>↓↓↓↓↓</t>
  </si>
</sst>
</file>

<file path=xl/styles.xml><?xml version="1.0" encoding="utf-8"?>
<styleSheet xmlns="http://schemas.openxmlformats.org/spreadsheetml/2006/main">
  <numFmts count="6">
    <numFmt numFmtId="43" formatCode="_-* #,##0.00\ _€_-;\-* #,##0.00\ _€_-;_-* &quot;-&quot;??\ _€_-;_-@_-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_-* #,##0.0_-;\-* #,##0.0_-;_-* &quot;-&quot;??_-;_-@_-"/>
    <numFmt numFmtId="168" formatCode="_-* #,##0.000_-;\-* #,##0.000_-;_-* &quot;-&quot;??_-;_-@_-"/>
  </numFmts>
  <fonts count="12">
    <font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rial Narrow"/>
      <family val="2"/>
    </font>
    <font>
      <sz val="9"/>
      <color theme="1"/>
      <name val="Calibri"/>
      <family val="2"/>
      <scheme val="minor"/>
    </font>
    <font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9"/>
      <color rgb="FFFF0000"/>
      <name val="Arial Narrow"/>
      <family val="2"/>
    </font>
    <font>
      <b/>
      <sz val="9"/>
      <name val="Arial Narrow"/>
      <family val="2"/>
    </font>
    <font>
      <sz val="9"/>
      <color rgb="FFFF0000"/>
      <name val="Arial Narrow"/>
      <family val="2"/>
    </font>
    <font>
      <b/>
      <sz val="9"/>
      <color theme="9"/>
      <name val="Arial Narrow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3" borderId="0" xfId="0" applyFont="1" applyFill="1"/>
    <xf numFmtId="0" fontId="4" fillId="0" borderId="0" xfId="0" applyFont="1"/>
    <xf numFmtId="0" fontId="5" fillId="4" borderId="0" xfId="0" applyFont="1" applyFill="1"/>
    <xf numFmtId="3" fontId="5" fillId="0" borderId="0" xfId="0" applyNumberFormat="1" applyFont="1"/>
    <xf numFmtId="3" fontId="5" fillId="4" borderId="0" xfId="0" applyNumberFormat="1" applyFont="1" applyFill="1"/>
    <xf numFmtId="0" fontId="5" fillId="0" borderId="0" xfId="0" applyFont="1"/>
    <xf numFmtId="0" fontId="3" fillId="3" borderId="1" xfId="0" applyFont="1" applyFill="1" applyBorder="1"/>
    <xf numFmtId="0" fontId="5" fillId="4" borderId="1" xfId="0" applyFont="1" applyFill="1" applyBorder="1"/>
    <xf numFmtId="3" fontId="5" fillId="4" borderId="1" xfId="0" applyNumberFormat="1" applyFont="1" applyFill="1" applyBorder="1"/>
    <xf numFmtId="9" fontId="5" fillId="4" borderId="1" xfId="1" applyFont="1" applyFill="1" applyBorder="1"/>
    <xf numFmtId="10" fontId="5" fillId="4" borderId="1" xfId="1" applyNumberFormat="1" applyFont="1" applyFill="1" applyBorder="1"/>
    <xf numFmtId="10" fontId="5" fillId="4" borderId="1" xfId="0" applyNumberFormat="1" applyFont="1" applyFill="1" applyBorder="1"/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3" fontId="5" fillId="5" borderId="1" xfId="0" applyNumberFormat="1" applyFont="1" applyFill="1" applyBorder="1"/>
    <xf numFmtId="3" fontId="7" fillId="6" borderId="1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3" fontId="5" fillId="4" borderId="2" xfId="0" applyNumberFormat="1" applyFont="1" applyFill="1" applyBorder="1"/>
    <xf numFmtId="0" fontId="5" fillId="5" borderId="1" xfId="0" applyFont="1" applyFill="1" applyBorder="1"/>
    <xf numFmtId="1" fontId="5" fillId="5" borderId="1" xfId="0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3" fontId="8" fillId="5" borderId="1" xfId="0" applyNumberFormat="1" applyFont="1" applyFill="1" applyBorder="1"/>
    <xf numFmtId="3" fontId="5" fillId="2" borderId="3" xfId="0" applyNumberFormat="1" applyFont="1" applyFill="1" applyBorder="1"/>
    <xf numFmtId="0" fontId="3" fillId="3" borderId="1" xfId="0" applyFont="1" applyFill="1" applyBorder="1" applyAlignment="1">
      <alignment vertical="center" wrapText="1"/>
    </xf>
    <xf numFmtId="165" fontId="5" fillId="4" borderId="1" xfId="2" applyNumberFormat="1" applyFont="1" applyFill="1" applyBorder="1"/>
    <xf numFmtId="10" fontId="9" fillId="4" borderId="1" xfId="1" applyNumberFormat="1" applyFont="1" applyFill="1" applyBorder="1"/>
    <xf numFmtId="10" fontId="5" fillId="5" borderId="1" xfId="1" applyNumberFormat="1" applyFont="1" applyFill="1" applyBorder="1"/>
    <xf numFmtId="166" fontId="5" fillId="4" borderId="1" xfId="1" applyNumberFormat="1" applyFont="1" applyFill="1" applyBorder="1"/>
    <xf numFmtId="43" fontId="5" fillId="7" borderId="1" xfId="2" applyFont="1" applyFill="1" applyBorder="1"/>
    <xf numFmtId="164" fontId="5" fillId="7" borderId="1" xfId="2" applyNumberFormat="1" applyFont="1" applyFill="1" applyBorder="1"/>
    <xf numFmtId="167" fontId="5" fillId="7" borderId="1" xfId="2" applyNumberFormat="1" applyFont="1" applyFill="1" applyBorder="1"/>
    <xf numFmtId="168" fontId="5" fillId="4" borderId="1" xfId="2" applyNumberFormat="1" applyFont="1" applyFill="1" applyBorder="1"/>
    <xf numFmtId="9" fontId="5" fillId="4" borderId="1" xfId="1" applyNumberFormat="1" applyFont="1" applyFill="1" applyBorder="1"/>
    <xf numFmtId="0" fontId="5" fillId="5" borderId="0" xfId="0" applyFont="1" applyFill="1"/>
    <xf numFmtId="3" fontId="5" fillId="5" borderId="0" xfId="0" applyNumberFormat="1" applyFont="1" applyFill="1"/>
    <xf numFmtId="3" fontId="5" fillId="4" borderId="1" xfId="0" quotePrefix="1" applyNumberFormat="1" applyFont="1" applyFill="1" applyBorder="1"/>
    <xf numFmtId="3" fontId="5" fillId="5" borderId="1" xfId="0" quotePrefix="1" applyNumberFormat="1" applyFont="1" applyFill="1" applyBorder="1"/>
    <xf numFmtId="3" fontId="5" fillId="8" borderId="1" xfId="0" applyNumberFormat="1" applyFont="1" applyFill="1" applyBorder="1"/>
    <xf numFmtId="0" fontId="10" fillId="3" borderId="3" xfId="0" applyFont="1" applyFill="1" applyBorder="1"/>
    <xf numFmtId="0" fontId="10" fillId="3" borderId="1" xfId="0" applyFont="1" applyFill="1" applyBorder="1"/>
    <xf numFmtId="0" fontId="0" fillId="0" borderId="0" xfId="0"/>
    <xf numFmtId="0" fontId="3" fillId="10" borderId="1" xfId="0" applyFont="1" applyFill="1" applyBorder="1"/>
    <xf numFmtId="10" fontId="5" fillId="12" borderId="1" xfId="1" applyNumberFormat="1" applyFont="1" applyFill="1" applyBorder="1"/>
    <xf numFmtId="10" fontId="5" fillId="12" borderId="1" xfId="0" applyNumberFormat="1" applyFont="1" applyFill="1" applyBorder="1"/>
    <xf numFmtId="0" fontId="11" fillId="13" borderId="0" xfId="0" applyFont="1" applyFill="1"/>
    <xf numFmtId="0" fontId="1" fillId="2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2005</c:v>
          </c:tx>
          <c:marker>
            <c:symbol val="none"/>
          </c:marker>
          <c:val>
            <c:numRef>
              <c:f>Triangles!$B$3:$K$3</c:f>
              <c:numCache>
                <c:formatCode>General</c:formatCode>
                <c:ptCount val="10"/>
                <c:pt idx="0">
                  <c:v>1330</c:v>
                </c:pt>
                <c:pt idx="1">
                  <c:v>854</c:v>
                </c:pt>
                <c:pt idx="2">
                  <c:v>82</c:v>
                </c:pt>
                <c:pt idx="3">
                  <c:v>24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2006</c:v>
          </c:tx>
          <c:marker>
            <c:symbol val="none"/>
          </c:marker>
          <c:val>
            <c:numRef>
              <c:f>Triangles!$B$4:$K$4</c:f>
              <c:numCache>
                <c:formatCode>General</c:formatCode>
                <c:ptCount val="10"/>
                <c:pt idx="0">
                  <c:v>1330</c:v>
                </c:pt>
                <c:pt idx="1">
                  <c:v>874</c:v>
                </c:pt>
                <c:pt idx="2">
                  <c:v>70</c:v>
                </c:pt>
                <c:pt idx="3">
                  <c:v>26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v>2007</c:v>
          </c:tx>
          <c:marker>
            <c:symbol val="none"/>
          </c:marker>
          <c:val>
            <c:numRef>
              <c:f>Triangles!$B$5:$K$5</c:f>
              <c:numCache>
                <c:formatCode>General</c:formatCode>
                <c:ptCount val="10"/>
                <c:pt idx="0">
                  <c:v>1786</c:v>
                </c:pt>
                <c:pt idx="1">
                  <c:v>1410</c:v>
                </c:pt>
                <c:pt idx="2">
                  <c:v>162</c:v>
                </c:pt>
                <c:pt idx="3">
                  <c:v>62</c:v>
                </c:pt>
                <c:pt idx="4">
                  <c:v>20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tx>
            <c:v>2008</c:v>
          </c:tx>
          <c:marker>
            <c:symbol val="none"/>
          </c:marker>
          <c:val>
            <c:numRef>
              <c:f>Triangles!$B$6:$K$6</c:f>
              <c:numCache>
                <c:formatCode>General</c:formatCode>
                <c:ptCount val="10"/>
                <c:pt idx="0">
                  <c:v>2278</c:v>
                </c:pt>
                <c:pt idx="1">
                  <c:v>1556</c:v>
                </c:pt>
                <c:pt idx="2">
                  <c:v>168</c:v>
                </c:pt>
                <c:pt idx="3">
                  <c:v>46</c:v>
                </c:pt>
                <c:pt idx="4">
                  <c:v>8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</c:ser>
        <c:ser>
          <c:idx val="4"/>
          <c:order val="4"/>
          <c:tx>
            <c:v>2009</c:v>
          </c:tx>
          <c:marker>
            <c:symbol val="none"/>
          </c:marker>
          <c:val>
            <c:numRef>
              <c:f>Triangles!$B$7:$K$7</c:f>
              <c:numCache>
                <c:formatCode>General</c:formatCode>
                <c:ptCount val="10"/>
                <c:pt idx="0">
                  <c:v>2568</c:v>
                </c:pt>
                <c:pt idx="1">
                  <c:v>1582</c:v>
                </c:pt>
                <c:pt idx="2">
                  <c:v>178</c:v>
                </c:pt>
                <c:pt idx="3">
                  <c:v>54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</c:ser>
        <c:ser>
          <c:idx val="5"/>
          <c:order val="5"/>
          <c:tx>
            <c:v>2010</c:v>
          </c:tx>
          <c:marker>
            <c:symbol val="none"/>
          </c:marker>
          <c:val>
            <c:numRef>
              <c:f>Triangles!$B$8:$K$8</c:f>
              <c:numCache>
                <c:formatCode>General</c:formatCode>
                <c:ptCount val="10"/>
                <c:pt idx="0">
                  <c:v>2380</c:v>
                </c:pt>
                <c:pt idx="1">
                  <c:v>1484</c:v>
                </c:pt>
                <c:pt idx="2">
                  <c:v>124</c:v>
                </c:pt>
                <c:pt idx="3">
                  <c:v>36</c:v>
                </c:pt>
                <c:pt idx="4">
                  <c:v>8</c:v>
                </c:pt>
              </c:numCache>
            </c:numRef>
          </c:val>
        </c:ser>
        <c:ser>
          <c:idx val="6"/>
          <c:order val="6"/>
          <c:tx>
            <c:v>2011</c:v>
          </c:tx>
          <c:marker>
            <c:symbol val="none"/>
          </c:marker>
          <c:val>
            <c:numRef>
              <c:f>Triangles!$B$9:$K$9</c:f>
              <c:numCache>
                <c:formatCode>General</c:formatCode>
                <c:ptCount val="10"/>
                <c:pt idx="0">
                  <c:v>2424</c:v>
                </c:pt>
                <c:pt idx="1">
                  <c:v>1362</c:v>
                </c:pt>
                <c:pt idx="2">
                  <c:v>184</c:v>
                </c:pt>
                <c:pt idx="3">
                  <c:v>56</c:v>
                </c:pt>
              </c:numCache>
            </c:numRef>
          </c:val>
        </c:ser>
        <c:ser>
          <c:idx val="7"/>
          <c:order val="7"/>
          <c:tx>
            <c:v>2012</c:v>
          </c:tx>
          <c:marker>
            <c:symbol val="none"/>
          </c:marker>
          <c:val>
            <c:numRef>
              <c:f>Triangles!$B$10:$K$10</c:f>
              <c:numCache>
                <c:formatCode>General</c:formatCode>
                <c:ptCount val="10"/>
                <c:pt idx="0">
                  <c:v>2348</c:v>
                </c:pt>
                <c:pt idx="1">
                  <c:v>1606</c:v>
                </c:pt>
                <c:pt idx="2">
                  <c:v>228</c:v>
                </c:pt>
              </c:numCache>
            </c:numRef>
          </c:val>
        </c:ser>
        <c:ser>
          <c:idx val="8"/>
          <c:order val="8"/>
          <c:tx>
            <c:v>2013</c:v>
          </c:tx>
          <c:marker>
            <c:symbol val="none"/>
          </c:marker>
          <c:val>
            <c:numRef>
              <c:f>Triangles!$B$11:$K$11</c:f>
              <c:numCache>
                <c:formatCode>General</c:formatCode>
                <c:ptCount val="10"/>
                <c:pt idx="0">
                  <c:v>2464</c:v>
                </c:pt>
                <c:pt idx="1">
                  <c:v>1454</c:v>
                </c:pt>
              </c:numCache>
            </c:numRef>
          </c:val>
        </c:ser>
        <c:ser>
          <c:idx val="9"/>
          <c:order val="9"/>
          <c:tx>
            <c:v>2014</c:v>
          </c:tx>
          <c:marker>
            <c:symbol val="none"/>
          </c:marker>
          <c:val>
            <c:numRef>
              <c:f>Triangles!$B$12:$K$12</c:f>
              <c:numCache>
                <c:formatCode>General</c:formatCode>
                <c:ptCount val="10"/>
                <c:pt idx="0">
                  <c:v>1984</c:v>
                </c:pt>
              </c:numCache>
            </c:numRef>
          </c:val>
        </c:ser>
        <c:marker val="1"/>
        <c:axId val="145126912"/>
        <c:axId val="145128448"/>
      </c:lineChart>
      <c:catAx>
        <c:axId val="145126912"/>
        <c:scaling>
          <c:orientation val="minMax"/>
        </c:scaling>
        <c:axPos val="b"/>
        <c:tickLblPos val="nextTo"/>
        <c:crossAx val="145128448"/>
        <c:crosses val="autoZero"/>
        <c:auto val="1"/>
        <c:lblAlgn val="ctr"/>
        <c:lblOffset val="100"/>
      </c:catAx>
      <c:valAx>
        <c:axId val="145128448"/>
        <c:scaling>
          <c:orientation val="minMax"/>
        </c:scaling>
        <c:axPos val="l"/>
        <c:majorGridlines/>
        <c:numFmt formatCode="General" sourceLinked="1"/>
        <c:tickLblPos val="nextTo"/>
        <c:crossAx val="145126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2005</c:v>
          </c:tx>
          <c:marker>
            <c:symbol val="none"/>
          </c:marker>
          <c:val>
            <c:numRef>
              <c:f>Triangles!$B$16:$K$16</c:f>
              <c:numCache>
                <c:formatCode>#,##0</c:formatCode>
                <c:ptCount val="10"/>
                <c:pt idx="0">
                  <c:v>1171960.0660000001</c:v>
                </c:pt>
                <c:pt idx="1">
                  <c:v>6604453.5460000001</c:v>
                </c:pt>
                <c:pt idx="2">
                  <c:v>7247851.1560000004</c:v>
                </c:pt>
                <c:pt idx="3">
                  <c:v>4476006.5120000001</c:v>
                </c:pt>
                <c:pt idx="4">
                  <c:v>2140353.8319999999</c:v>
                </c:pt>
                <c:pt idx="5">
                  <c:v>1315500.9739999999</c:v>
                </c:pt>
                <c:pt idx="6">
                  <c:v>1500734.7279999999</c:v>
                </c:pt>
                <c:pt idx="7">
                  <c:v>495272.21799999999</c:v>
                </c:pt>
                <c:pt idx="8">
                  <c:v>264542.23</c:v>
                </c:pt>
                <c:pt idx="9">
                  <c:v>91392.426000000007</c:v>
                </c:pt>
              </c:numCache>
            </c:numRef>
          </c:val>
        </c:ser>
        <c:ser>
          <c:idx val="1"/>
          <c:order val="1"/>
          <c:tx>
            <c:v>2006</c:v>
          </c:tx>
          <c:marker>
            <c:symbol val="none"/>
          </c:marker>
          <c:val>
            <c:numRef>
              <c:f>Triangles!$B$17:$K$17</c:f>
              <c:numCache>
                <c:formatCode>#,##0</c:formatCode>
                <c:ptCount val="10"/>
                <c:pt idx="0">
                  <c:v>803251.19200000004</c:v>
                </c:pt>
                <c:pt idx="1">
                  <c:v>3936933.3739999998</c:v>
                </c:pt>
                <c:pt idx="2">
                  <c:v>7216461.6979999999</c:v>
                </c:pt>
                <c:pt idx="3">
                  <c:v>5498608.4539999999</c:v>
                </c:pt>
                <c:pt idx="4">
                  <c:v>2076533.2220000001</c:v>
                </c:pt>
                <c:pt idx="5">
                  <c:v>2775362.5720000002</c:v>
                </c:pt>
                <c:pt idx="6">
                  <c:v>749770.31400000001</c:v>
                </c:pt>
                <c:pt idx="7">
                  <c:v>348476.63</c:v>
                </c:pt>
                <c:pt idx="8">
                  <c:v>327901.59999999998</c:v>
                </c:pt>
              </c:numCache>
            </c:numRef>
          </c:val>
        </c:ser>
        <c:ser>
          <c:idx val="2"/>
          <c:order val="2"/>
          <c:tx>
            <c:v>2007</c:v>
          </c:tx>
          <c:marker>
            <c:symbol val="none"/>
          </c:marker>
          <c:val>
            <c:numRef>
              <c:f>Triangles!$B$18:$K$18</c:f>
              <c:numCache>
                <c:formatCode>#,##0</c:formatCode>
                <c:ptCount val="10"/>
                <c:pt idx="0">
                  <c:v>360204.7</c:v>
                </c:pt>
                <c:pt idx="1">
                  <c:v>3305001.6179999998</c:v>
                </c:pt>
                <c:pt idx="2">
                  <c:v>7954924.5539999995</c:v>
                </c:pt>
                <c:pt idx="3">
                  <c:v>5121387.1940000001</c:v>
                </c:pt>
                <c:pt idx="4">
                  <c:v>3134808.034</c:v>
                </c:pt>
                <c:pt idx="5">
                  <c:v>1652229.36</c:v>
                </c:pt>
                <c:pt idx="6">
                  <c:v>1525123.7620000001</c:v>
                </c:pt>
                <c:pt idx="7">
                  <c:v>688868.58200000005</c:v>
                </c:pt>
              </c:numCache>
            </c:numRef>
          </c:val>
        </c:ser>
        <c:ser>
          <c:idx val="3"/>
          <c:order val="3"/>
          <c:tx>
            <c:v>2008</c:v>
          </c:tx>
          <c:marker>
            <c:symbol val="none"/>
          </c:marker>
          <c:val>
            <c:numRef>
              <c:f>Triangles!$B$19:$K$19</c:f>
              <c:numCache>
                <c:formatCode>#,##0</c:formatCode>
                <c:ptCount val="10"/>
                <c:pt idx="0">
                  <c:v>639280.69799999997</c:v>
                </c:pt>
                <c:pt idx="1">
                  <c:v>5118946.3959999997</c:v>
                </c:pt>
                <c:pt idx="2">
                  <c:v>8945907.0840000007</c:v>
                </c:pt>
                <c:pt idx="3">
                  <c:v>8464975.852</c:v>
                </c:pt>
                <c:pt idx="4">
                  <c:v>4141025.5860000001</c:v>
                </c:pt>
                <c:pt idx="5">
                  <c:v>1430472.5120000001</c:v>
                </c:pt>
                <c:pt idx="6">
                  <c:v>695915.88600000006</c:v>
                </c:pt>
              </c:numCache>
            </c:numRef>
          </c:val>
        </c:ser>
        <c:ser>
          <c:idx val="4"/>
          <c:order val="4"/>
          <c:tx>
            <c:v>2009</c:v>
          </c:tx>
          <c:marker>
            <c:symbol val="none"/>
          </c:marker>
          <c:val>
            <c:numRef>
              <c:f>Triangles!$B$20:$K$20</c:f>
              <c:numCache>
                <c:formatCode>#,##0</c:formatCode>
                <c:ptCount val="10"/>
                <c:pt idx="0">
                  <c:v>1345321.16</c:v>
                </c:pt>
                <c:pt idx="1">
                  <c:v>7380488.5379999997</c:v>
                </c:pt>
                <c:pt idx="2">
                  <c:v>13706351.242000001</c:v>
                </c:pt>
                <c:pt idx="3">
                  <c:v>8043919.8020000001</c:v>
                </c:pt>
                <c:pt idx="4">
                  <c:v>3263113.0079999999</c:v>
                </c:pt>
                <c:pt idx="5">
                  <c:v>1278109.216</c:v>
                </c:pt>
              </c:numCache>
            </c:numRef>
          </c:val>
        </c:ser>
        <c:ser>
          <c:idx val="5"/>
          <c:order val="5"/>
          <c:tx>
            <c:v>2010</c:v>
          </c:tx>
          <c:marker>
            <c:symbol val="none"/>
          </c:marker>
          <c:val>
            <c:numRef>
              <c:f>Triangles!$B$21:$K$21</c:f>
              <c:numCache>
                <c:formatCode>#,##0</c:formatCode>
                <c:ptCount val="10"/>
                <c:pt idx="0">
                  <c:v>1613626.6580000001</c:v>
                </c:pt>
                <c:pt idx="1">
                  <c:v>10069551.254000001</c:v>
                </c:pt>
                <c:pt idx="2">
                  <c:v>13520486.136</c:v>
                </c:pt>
                <c:pt idx="3">
                  <c:v>6380115.5439999998</c:v>
                </c:pt>
                <c:pt idx="4">
                  <c:v>3886241.1940000001</c:v>
                </c:pt>
              </c:numCache>
            </c:numRef>
          </c:val>
        </c:ser>
        <c:ser>
          <c:idx val="6"/>
          <c:order val="6"/>
          <c:tx>
            <c:v>2011</c:v>
          </c:tx>
          <c:marker>
            <c:symbol val="none"/>
          </c:marker>
          <c:val>
            <c:numRef>
              <c:f>Triangles!$B$22:$K$22</c:f>
              <c:numCache>
                <c:formatCode>#,##0</c:formatCode>
                <c:ptCount val="10"/>
                <c:pt idx="0">
                  <c:v>1484186.6</c:v>
                </c:pt>
                <c:pt idx="1">
                  <c:v>9634063.4000000004</c:v>
                </c:pt>
                <c:pt idx="2">
                  <c:v>10671624.210000001</c:v>
                </c:pt>
                <c:pt idx="3">
                  <c:v>5886916.426</c:v>
                </c:pt>
              </c:numCache>
            </c:numRef>
          </c:val>
        </c:ser>
        <c:ser>
          <c:idx val="7"/>
          <c:order val="7"/>
          <c:tx>
            <c:v>2012</c:v>
          </c:tx>
          <c:marker>
            <c:symbol val="none"/>
          </c:marker>
          <c:val>
            <c:numRef>
              <c:f>Triangles!$B$23:$K$23</c:f>
              <c:numCache>
                <c:formatCode>#,##0</c:formatCode>
                <c:ptCount val="10"/>
                <c:pt idx="0">
                  <c:v>2907654.7859999998</c:v>
                </c:pt>
                <c:pt idx="1">
                  <c:v>10322392.721999999</c:v>
                </c:pt>
                <c:pt idx="2">
                  <c:v>8763517.6879999992</c:v>
                </c:pt>
              </c:numCache>
            </c:numRef>
          </c:val>
        </c:ser>
        <c:ser>
          <c:idx val="8"/>
          <c:order val="8"/>
          <c:tx>
            <c:v>2013</c:v>
          </c:tx>
          <c:marker>
            <c:symbol val="none"/>
          </c:marker>
          <c:val>
            <c:numRef>
              <c:f>Triangles!$B$24:$K$24</c:f>
              <c:numCache>
                <c:formatCode>#,##0</c:formatCode>
                <c:ptCount val="10"/>
                <c:pt idx="0">
                  <c:v>3465668.6779999998</c:v>
                </c:pt>
                <c:pt idx="1">
                  <c:v>9640430.5280000009</c:v>
                </c:pt>
              </c:numCache>
            </c:numRef>
          </c:val>
        </c:ser>
        <c:ser>
          <c:idx val="9"/>
          <c:order val="9"/>
          <c:tx>
            <c:v>2014</c:v>
          </c:tx>
          <c:marker>
            <c:symbol val="none"/>
          </c:marker>
          <c:val>
            <c:numRef>
              <c:f>Triangles!$B$25:$K$25</c:f>
              <c:numCache>
                <c:formatCode>#,##0</c:formatCode>
                <c:ptCount val="10"/>
                <c:pt idx="0">
                  <c:v>3619805.284</c:v>
                </c:pt>
              </c:numCache>
            </c:numRef>
          </c:val>
        </c:ser>
        <c:marker val="1"/>
        <c:axId val="145913344"/>
        <c:axId val="145914880"/>
      </c:lineChart>
      <c:catAx>
        <c:axId val="145913344"/>
        <c:scaling>
          <c:orientation val="minMax"/>
        </c:scaling>
        <c:axPos val="b"/>
        <c:tickLblPos val="nextTo"/>
        <c:crossAx val="145914880"/>
        <c:crosses val="autoZero"/>
        <c:auto val="1"/>
        <c:lblAlgn val="ctr"/>
        <c:lblOffset val="100"/>
      </c:catAx>
      <c:valAx>
        <c:axId val="145914880"/>
        <c:scaling>
          <c:orientation val="minMax"/>
        </c:scaling>
        <c:axPos val="l"/>
        <c:majorGridlines/>
        <c:numFmt formatCode="#,##0" sourceLinked="1"/>
        <c:tickLblPos val="nextTo"/>
        <c:crossAx val="145913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2005</c:v>
          </c:tx>
          <c:marker>
            <c:symbol val="none"/>
          </c:marker>
          <c:val>
            <c:numRef>
              <c:f>Triangles!$B$29:$K$29</c:f>
              <c:numCache>
                <c:formatCode>#,##0</c:formatCode>
                <c:ptCount val="10"/>
                <c:pt idx="0">
                  <c:v>23874002</c:v>
                </c:pt>
                <c:pt idx="1">
                  <c:v>23178206</c:v>
                </c:pt>
                <c:pt idx="2">
                  <c:v>18026468</c:v>
                </c:pt>
                <c:pt idx="3">
                  <c:v>11849698</c:v>
                </c:pt>
                <c:pt idx="4">
                  <c:v>9111046</c:v>
                </c:pt>
                <c:pt idx="5">
                  <c:v>6843142</c:v>
                </c:pt>
                <c:pt idx="6">
                  <c:v>4701790</c:v>
                </c:pt>
                <c:pt idx="7">
                  <c:v>3444456</c:v>
                </c:pt>
                <c:pt idx="8">
                  <c:v>2515838</c:v>
                </c:pt>
                <c:pt idx="9">
                  <c:v>2444540</c:v>
                </c:pt>
              </c:numCache>
            </c:numRef>
          </c:val>
        </c:ser>
        <c:ser>
          <c:idx val="1"/>
          <c:order val="1"/>
          <c:tx>
            <c:v>2006</c:v>
          </c:tx>
          <c:marker>
            <c:symbol val="none"/>
          </c:marker>
          <c:val>
            <c:numRef>
              <c:f>Triangles!$B$30:$K$30</c:f>
              <c:numCache>
                <c:formatCode>#,##0</c:formatCode>
                <c:ptCount val="10"/>
                <c:pt idx="0">
                  <c:v>22085614</c:v>
                </c:pt>
                <c:pt idx="1">
                  <c:v>28058028</c:v>
                </c:pt>
                <c:pt idx="2">
                  <c:v>20672062</c:v>
                </c:pt>
                <c:pt idx="3">
                  <c:v>14678202</c:v>
                </c:pt>
                <c:pt idx="4">
                  <c:v>11230620</c:v>
                </c:pt>
                <c:pt idx="5">
                  <c:v>6517368</c:v>
                </c:pt>
                <c:pt idx="6">
                  <c:v>5117986</c:v>
                </c:pt>
                <c:pt idx="7">
                  <c:v>3935008</c:v>
                </c:pt>
                <c:pt idx="8">
                  <c:v>3139640</c:v>
                </c:pt>
              </c:numCache>
            </c:numRef>
          </c:val>
        </c:ser>
        <c:ser>
          <c:idx val="2"/>
          <c:order val="2"/>
          <c:tx>
            <c:v>2007</c:v>
          </c:tx>
          <c:marker>
            <c:symbol val="none"/>
          </c:marker>
          <c:val>
            <c:numRef>
              <c:f>Triangles!$B$31:$K$31</c:f>
              <c:numCache>
                <c:formatCode>#,##0</c:formatCode>
                <c:ptCount val="10"/>
                <c:pt idx="0">
                  <c:v>23118624</c:v>
                </c:pt>
                <c:pt idx="1">
                  <c:v>31740206</c:v>
                </c:pt>
                <c:pt idx="2">
                  <c:v>25609466</c:v>
                </c:pt>
                <c:pt idx="3">
                  <c:v>19754562</c:v>
                </c:pt>
                <c:pt idx="4">
                  <c:v>14177400</c:v>
                </c:pt>
                <c:pt idx="5">
                  <c:v>9873226</c:v>
                </c:pt>
                <c:pt idx="6">
                  <c:v>7208260</c:v>
                </c:pt>
                <c:pt idx="7">
                  <c:v>6141802</c:v>
                </c:pt>
              </c:numCache>
            </c:numRef>
          </c:val>
        </c:ser>
        <c:ser>
          <c:idx val="3"/>
          <c:order val="3"/>
          <c:tx>
            <c:v>2008</c:v>
          </c:tx>
          <c:marker>
            <c:symbol val="none"/>
          </c:marker>
          <c:val>
            <c:numRef>
              <c:f>Triangles!$B$32:$K$32</c:f>
              <c:numCache>
                <c:formatCode>#,##0</c:formatCode>
                <c:ptCount val="10"/>
                <c:pt idx="0">
                  <c:v>28120022</c:v>
                </c:pt>
                <c:pt idx="1">
                  <c:v>36959930</c:v>
                </c:pt>
                <c:pt idx="2">
                  <c:v>29915414</c:v>
                </c:pt>
                <c:pt idx="3">
                  <c:v>20552368</c:v>
                </c:pt>
                <c:pt idx="4">
                  <c:v>13302814</c:v>
                </c:pt>
                <c:pt idx="5">
                  <c:v>10257336</c:v>
                </c:pt>
                <c:pt idx="6">
                  <c:v>8593504</c:v>
                </c:pt>
              </c:numCache>
            </c:numRef>
          </c:val>
        </c:ser>
        <c:ser>
          <c:idx val="4"/>
          <c:order val="4"/>
          <c:tx>
            <c:v>2009</c:v>
          </c:tx>
          <c:marker>
            <c:symbol val="none"/>
          </c:marker>
          <c:val>
            <c:numRef>
              <c:f>Triangles!$B$33:$K$33</c:f>
              <c:numCache>
                <c:formatCode>#,##0</c:formatCode>
                <c:ptCount val="10"/>
                <c:pt idx="0">
                  <c:v>32313102</c:v>
                </c:pt>
                <c:pt idx="1">
                  <c:v>47994544</c:v>
                </c:pt>
                <c:pt idx="2">
                  <c:v>35683828</c:v>
                </c:pt>
                <c:pt idx="3">
                  <c:v>25996196</c:v>
                </c:pt>
                <c:pt idx="4">
                  <c:v>18725502</c:v>
                </c:pt>
                <c:pt idx="5">
                  <c:v>15631064</c:v>
                </c:pt>
              </c:numCache>
            </c:numRef>
          </c:val>
        </c:ser>
        <c:ser>
          <c:idx val="5"/>
          <c:order val="5"/>
          <c:tx>
            <c:v>2010</c:v>
          </c:tx>
          <c:marker>
            <c:symbol val="none"/>
          </c:marker>
          <c:val>
            <c:numRef>
              <c:f>Triangles!$B$34:$K$34</c:f>
              <c:numCache>
                <c:formatCode>#,##0</c:formatCode>
                <c:ptCount val="10"/>
                <c:pt idx="0">
                  <c:v>38381884</c:v>
                </c:pt>
                <c:pt idx="1">
                  <c:v>44601906</c:v>
                </c:pt>
                <c:pt idx="2">
                  <c:v>30802126</c:v>
                </c:pt>
                <c:pt idx="3">
                  <c:v>21398782</c:v>
                </c:pt>
                <c:pt idx="4">
                  <c:v>15144404</c:v>
                </c:pt>
              </c:numCache>
            </c:numRef>
          </c:val>
        </c:ser>
        <c:ser>
          <c:idx val="6"/>
          <c:order val="6"/>
          <c:tx>
            <c:v>2011</c:v>
          </c:tx>
          <c:marker>
            <c:symbol val="none"/>
          </c:marker>
          <c:val>
            <c:numRef>
              <c:f>Triangles!$B$35:$K$35</c:f>
              <c:numCache>
                <c:formatCode>#,##0</c:formatCode>
                <c:ptCount val="10"/>
                <c:pt idx="0">
                  <c:v>37425888</c:v>
                </c:pt>
                <c:pt idx="1">
                  <c:v>44453312</c:v>
                </c:pt>
                <c:pt idx="2">
                  <c:v>31268938</c:v>
                </c:pt>
                <c:pt idx="3">
                  <c:v>22448622</c:v>
                </c:pt>
              </c:numCache>
            </c:numRef>
          </c:val>
        </c:ser>
        <c:ser>
          <c:idx val="7"/>
          <c:order val="7"/>
          <c:tx>
            <c:v>2012</c:v>
          </c:tx>
          <c:marker>
            <c:symbol val="none"/>
          </c:marker>
          <c:val>
            <c:numRef>
              <c:f>Triangles!$B$36:$K$36</c:f>
              <c:numCache>
                <c:formatCode>#,##0</c:formatCode>
                <c:ptCount val="10"/>
                <c:pt idx="0">
                  <c:v>48681726</c:v>
                </c:pt>
                <c:pt idx="1">
                  <c:v>51996108</c:v>
                </c:pt>
                <c:pt idx="2">
                  <c:v>43854842</c:v>
                </c:pt>
              </c:numCache>
            </c:numRef>
          </c:val>
        </c:ser>
        <c:ser>
          <c:idx val="8"/>
          <c:order val="8"/>
          <c:tx>
            <c:v>2013</c:v>
          </c:tx>
          <c:marker>
            <c:symbol val="none"/>
          </c:marker>
          <c:val>
            <c:numRef>
              <c:f>Triangles!$B$37:$K$37</c:f>
              <c:numCache>
                <c:formatCode>#,##0</c:formatCode>
                <c:ptCount val="10"/>
                <c:pt idx="0">
                  <c:v>44363544</c:v>
                </c:pt>
                <c:pt idx="1">
                  <c:v>51431152</c:v>
                </c:pt>
              </c:numCache>
            </c:numRef>
          </c:val>
        </c:ser>
        <c:ser>
          <c:idx val="9"/>
          <c:order val="9"/>
          <c:tx>
            <c:v>2014</c:v>
          </c:tx>
          <c:marker>
            <c:symbol val="none"/>
          </c:marker>
          <c:val>
            <c:numRef>
              <c:f>Triangles!$B$38:$K$38</c:f>
              <c:numCache>
                <c:formatCode>#,##0</c:formatCode>
                <c:ptCount val="10"/>
                <c:pt idx="0">
                  <c:v>39611624</c:v>
                </c:pt>
              </c:numCache>
            </c:numRef>
          </c:val>
        </c:ser>
        <c:marker val="1"/>
        <c:axId val="146004992"/>
        <c:axId val="146019072"/>
      </c:lineChart>
      <c:catAx>
        <c:axId val="146004992"/>
        <c:scaling>
          <c:orientation val="minMax"/>
        </c:scaling>
        <c:axPos val="b"/>
        <c:tickLblPos val="nextTo"/>
        <c:crossAx val="146019072"/>
        <c:crosses val="autoZero"/>
        <c:auto val="1"/>
        <c:lblAlgn val="ctr"/>
        <c:lblOffset val="100"/>
      </c:catAx>
      <c:valAx>
        <c:axId val="146019072"/>
        <c:scaling>
          <c:orientation val="minMax"/>
        </c:scaling>
        <c:axPos val="l"/>
        <c:majorGridlines/>
        <c:numFmt formatCode="#,##0" sourceLinked="1"/>
        <c:tickLblPos val="nextTo"/>
        <c:crossAx val="1460049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2005</c:v>
          </c:tx>
          <c:marker>
            <c:symbol val="none"/>
          </c:marker>
          <c:val>
            <c:numRef>
              <c:f>'Triangles Analyse'!$B$4:$K$4</c:f>
              <c:numCache>
                <c:formatCode>General</c:formatCode>
                <c:ptCount val="10"/>
                <c:pt idx="0">
                  <c:v>1330</c:v>
                </c:pt>
                <c:pt idx="1">
                  <c:v>2184</c:v>
                </c:pt>
                <c:pt idx="2">
                  <c:v>2266</c:v>
                </c:pt>
                <c:pt idx="3">
                  <c:v>2290</c:v>
                </c:pt>
                <c:pt idx="4">
                  <c:v>2294</c:v>
                </c:pt>
                <c:pt idx="5">
                  <c:v>2294</c:v>
                </c:pt>
                <c:pt idx="6">
                  <c:v>2298</c:v>
                </c:pt>
                <c:pt idx="7">
                  <c:v>2298</c:v>
                </c:pt>
                <c:pt idx="8">
                  <c:v>2298</c:v>
                </c:pt>
                <c:pt idx="9">
                  <c:v>2298</c:v>
                </c:pt>
              </c:numCache>
            </c:numRef>
          </c:val>
        </c:ser>
        <c:ser>
          <c:idx val="1"/>
          <c:order val="1"/>
          <c:tx>
            <c:v>2006</c:v>
          </c:tx>
          <c:marker>
            <c:symbol val="none"/>
          </c:marker>
          <c:val>
            <c:numRef>
              <c:f>'Triangles Analyse'!$B$5:$K$5</c:f>
              <c:numCache>
                <c:formatCode>General</c:formatCode>
                <c:ptCount val="10"/>
                <c:pt idx="0">
                  <c:v>1330</c:v>
                </c:pt>
                <c:pt idx="1">
                  <c:v>2204</c:v>
                </c:pt>
                <c:pt idx="2">
                  <c:v>2274</c:v>
                </c:pt>
                <c:pt idx="3">
                  <c:v>2300</c:v>
                </c:pt>
                <c:pt idx="4">
                  <c:v>2312</c:v>
                </c:pt>
                <c:pt idx="5">
                  <c:v>2312</c:v>
                </c:pt>
                <c:pt idx="6">
                  <c:v>2312</c:v>
                </c:pt>
                <c:pt idx="7">
                  <c:v>2312</c:v>
                </c:pt>
                <c:pt idx="8">
                  <c:v>2312</c:v>
                </c:pt>
              </c:numCache>
            </c:numRef>
          </c:val>
        </c:ser>
        <c:ser>
          <c:idx val="2"/>
          <c:order val="2"/>
          <c:tx>
            <c:v>2007</c:v>
          </c:tx>
          <c:marker>
            <c:symbol val="none"/>
          </c:marker>
          <c:val>
            <c:numRef>
              <c:f>'Triangles Analyse'!$B$6:$K$6</c:f>
              <c:numCache>
                <c:formatCode>General</c:formatCode>
                <c:ptCount val="10"/>
                <c:pt idx="0">
                  <c:v>1786</c:v>
                </c:pt>
                <c:pt idx="1">
                  <c:v>3196</c:v>
                </c:pt>
                <c:pt idx="2">
                  <c:v>3358</c:v>
                </c:pt>
                <c:pt idx="3">
                  <c:v>3420</c:v>
                </c:pt>
                <c:pt idx="4">
                  <c:v>3440</c:v>
                </c:pt>
                <c:pt idx="5">
                  <c:v>3442</c:v>
                </c:pt>
                <c:pt idx="6">
                  <c:v>3444</c:v>
                </c:pt>
                <c:pt idx="7">
                  <c:v>3446</c:v>
                </c:pt>
              </c:numCache>
            </c:numRef>
          </c:val>
        </c:ser>
        <c:ser>
          <c:idx val="3"/>
          <c:order val="3"/>
          <c:tx>
            <c:v>2008</c:v>
          </c:tx>
          <c:marker>
            <c:symbol val="none"/>
          </c:marker>
          <c:val>
            <c:numRef>
              <c:f>'Triangles Analyse'!$B$7:$K$7</c:f>
              <c:numCache>
                <c:formatCode>General</c:formatCode>
                <c:ptCount val="10"/>
                <c:pt idx="0">
                  <c:v>2278</c:v>
                </c:pt>
                <c:pt idx="1">
                  <c:v>3834</c:v>
                </c:pt>
                <c:pt idx="2">
                  <c:v>4002</c:v>
                </c:pt>
                <c:pt idx="3">
                  <c:v>4048</c:v>
                </c:pt>
                <c:pt idx="4">
                  <c:v>4056</c:v>
                </c:pt>
                <c:pt idx="5">
                  <c:v>4058</c:v>
                </c:pt>
                <c:pt idx="6">
                  <c:v>4062</c:v>
                </c:pt>
              </c:numCache>
            </c:numRef>
          </c:val>
        </c:ser>
        <c:ser>
          <c:idx val="4"/>
          <c:order val="4"/>
          <c:tx>
            <c:v>2009</c:v>
          </c:tx>
          <c:marker>
            <c:symbol val="none"/>
          </c:marker>
          <c:val>
            <c:numRef>
              <c:f>'Triangles Analyse'!$B$8:$K$8</c:f>
              <c:numCache>
                <c:formatCode>General</c:formatCode>
                <c:ptCount val="10"/>
                <c:pt idx="0">
                  <c:v>2568</c:v>
                </c:pt>
                <c:pt idx="1">
                  <c:v>4150</c:v>
                </c:pt>
                <c:pt idx="2">
                  <c:v>4328</c:v>
                </c:pt>
                <c:pt idx="3">
                  <c:v>4382</c:v>
                </c:pt>
                <c:pt idx="4">
                  <c:v>4390</c:v>
                </c:pt>
                <c:pt idx="5">
                  <c:v>4392</c:v>
                </c:pt>
              </c:numCache>
            </c:numRef>
          </c:val>
        </c:ser>
        <c:ser>
          <c:idx val="5"/>
          <c:order val="5"/>
          <c:tx>
            <c:v>2010</c:v>
          </c:tx>
          <c:marker>
            <c:symbol val="none"/>
          </c:marker>
          <c:val>
            <c:numRef>
              <c:f>'Triangles Analyse'!$B$9:$K$9</c:f>
              <c:numCache>
                <c:formatCode>General</c:formatCode>
                <c:ptCount val="10"/>
                <c:pt idx="0">
                  <c:v>2380</c:v>
                </c:pt>
                <c:pt idx="1">
                  <c:v>3864</c:v>
                </c:pt>
                <c:pt idx="2">
                  <c:v>3988</c:v>
                </c:pt>
                <c:pt idx="3">
                  <c:v>4024</c:v>
                </c:pt>
                <c:pt idx="4">
                  <c:v>4032</c:v>
                </c:pt>
              </c:numCache>
            </c:numRef>
          </c:val>
        </c:ser>
        <c:ser>
          <c:idx val="6"/>
          <c:order val="6"/>
          <c:tx>
            <c:v>2011</c:v>
          </c:tx>
          <c:marker>
            <c:symbol val="none"/>
          </c:marker>
          <c:val>
            <c:numRef>
              <c:f>'Triangles Analyse'!$B$10:$K$10</c:f>
              <c:numCache>
                <c:formatCode>General</c:formatCode>
                <c:ptCount val="10"/>
                <c:pt idx="0">
                  <c:v>2424</c:v>
                </c:pt>
                <c:pt idx="1">
                  <c:v>3786</c:v>
                </c:pt>
                <c:pt idx="2">
                  <c:v>3970</c:v>
                </c:pt>
                <c:pt idx="3">
                  <c:v>4026</c:v>
                </c:pt>
              </c:numCache>
            </c:numRef>
          </c:val>
        </c:ser>
        <c:ser>
          <c:idx val="7"/>
          <c:order val="7"/>
          <c:tx>
            <c:v>2012</c:v>
          </c:tx>
          <c:marker>
            <c:symbol val="none"/>
          </c:marker>
          <c:val>
            <c:numRef>
              <c:f>'Triangles Analyse'!$B$11:$K$11</c:f>
              <c:numCache>
                <c:formatCode>General</c:formatCode>
                <c:ptCount val="10"/>
                <c:pt idx="0">
                  <c:v>2348</c:v>
                </c:pt>
                <c:pt idx="1">
                  <c:v>3954</c:v>
                </c:pt>
                <c:pt idx="2">
                  <c:v>4182</c:v>
                </c:pt>
              </c:numCache>
            </c:numRef>
          </c:val>
        </c:ser>
        <c:ser>
          <c:idx val="8"/>
          <c:order val="8"/>
          <c:tx>
            <c:v>2013</c:v>
          </c:tx>
          <c:marker>
            <c:symbol val="none"/>
          </c:marker>
          <c:val>
            <c:numRef>
              <c:f>'Triangles Analyse'!$B$12:$K$12</c:f>
              <c:numCache>
                <c:formatCode>General</c:formatCode>
                <c:ptCount val="10"/>
                <c:pt idx="0">
                  <c:v>2464</c:v>
                </c:pt>
                <c:pt idx="1">
                  <c:v>3918</c:v>
                </c:pt>
              </c:numCache>
            </c:numRef>
          </c:val>
        </c:ser>
        <c:ser>
          <c:idx val="9"/>
          <c:order val="9"/>
          <c:tx>
            <c:v>2014</c:v>
          </c:tx>
          <c:marker>
            <c:symbol val="none"/>
          </c:marker>
          <c:val>
            <c:numRef>
              <c:f>'Triangles Analyse'!$B$13:$K$13</c:f>
              <c:numCache>
                <c:formatCode>General</c:formatCode>
                <c:ptCount val="10"/>
                <c:pt idx="0">
                  <c:v>1984</c:v>
                </c:pt>
              </c:numCache>
            </c:numRef>
          </c:val>
        </c:ser>
        <c:marker val="1"/>
        <c:axId val="146438784"/>
        <c:axId val="146465152"/>
      </c:lineChart>
      <c:catAx>
        <c:axId val="146438784"/>
        <c:scaling>
          <c:orientation val="minMax"/>
        </c:scaling>
        <c:axPos val="b"/>
        <c:tickLblPos val="nextTo"/>
        <c:crossAx val="146465152"/>
        <c:crosses val="autoZero"/>
        <c:auto val="1"/>
        <c:lblAlgn val="ctr"/>
        <c:lblOffset val="100"/>
      </c:catAx>
      <c:valAx>
        <c:axId val="146465152"/>
        <c:scaling>
          <c:orientation val="minMax"/>
        </c:scaling>
        <c:axPos val="l"/>
        <c:majorGridlines/>
        <c:numFmt formatCode="General" sourceLinked="1"/>
        <c:tickLblPos val="nextTo"/>
        <c:crossAx val="146438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2005</c:v>
          </c:tx>
          <c:marker>
            <c:symbol val="none"/>
          </c:marker>
          <c:val>
            <c:numRef>
              <c:f>'Triangles Analyse'!$B$17:$K$17</c:f>
              <c:numCache>
                <c:formatCode>#,##0</c:formatCode>
                <c:ptCount val="10"/>
                <c:pt idx="0">
                  <c:v>1171960.0660000001</c:v>
                </c:pt>
                <c:pt idx="1">
                  <c:v>7776413.6119999997</c:v>
                </c:pt>
                <c:pt idx="2">
                  <c:v>15024264.767999999</c:v>
                </c:pt>
                <c:pt idx="3">
                  <c:v>19500271.280000001</c:v>
                </c:pt>
                <c:pt idx="4">
                  <c:v>21640625.112</c:v>
                </c:pt>
                <c:pt idx="5">
                  <c:v>22956126.085999999</c:v>
                </c:pt>
                <c:pt idx="6">
                  <c:v>24456860.813999999</c:v>
                </c:pt>
                <c:pt idx="7">
                  <c:v>24952133.031999998</c:v>
                </c:pt>
                <c:pt idx="8">
                  <c:v>25216675.261999998</c:v>
                </c:pt>
                <c:pt idx="9">
                  <c:v>25308067.687999997</c:v>
                </c:pt>
              </c:numCache>
            </c:numRef>
          </c:val>
        </c:ser>
        <c:ser>
          <c:idx val="1"/>
          <c:order val="1"/>
          <c:tx>
            <c:v>2006</c:v>
          </c:tx>
          <c:marker>
            <c:symbol val="none"/>
          </c:marker>
          <c:val>
            <c:numRef>
              <c:f>'Triangles Analyse'!$B$18:$K$18</c:f>
              <c:numCache>
                <c:formatCode>#,##0</c:formatCode>
                <c:ptCount val="10"/>
                <c:pt idx="0">
                  <c:v>803251.19200000004</c:v>
                </c:pt>
                <c:pt idx="1">
                  <c:v>4740184.5659999996</c:v>
                </c:pt>
                <c:pt idx="2">
                  <c:v>11956646.263999999</c:v>
                </c:pt>
                <c:pt idx="3">
                  <c:v>17455254.717999998</c:v>
                </c:pt>
                <c:pt idx="4">
                  <c:v>19531787.939999998</c:v>
                </c:pt>
                <c:pt idx="5">
                  <c:v>22307150.511999998</c:v>
                </c:pt>
                <c:pt idx="6">
                  <c:v>23056920.825999998</c:v>
                </c:pt>
                <c:pt idx="7">
                  <c:v>23405397.455999997</c:v>
                </c:pt>
                <c:pt idx="8">
                  <c:v>23733299.055999998</c:v>
                </c:pt>
              </c:numCache>
            </c:numRef>
          </c:val>
        </c:ser>
        <c:ser>
          <c:idx val="2"/>
          <c:order val="2"/>
          <c:tx>
            <c:v>2007</c:v>
          </c:tx>
          <c:marker>
            <c:symbol val="none"/>
          </c:marker>
          <c:val>
            <c:numRef>
              <c:f>'Triangles Analyse'!$B$19:$K$19</c:f>
              <c:numCache>
                <c:formatCode>#,##0</c:formatCode>
                <c:ptCount val="10"/>
                <c:pt idx="0">
                  <c:v>360204.7</c:v>
                </c:pt>
                <c:pt idx="1">
                  <c:v>3665206.318</c:v>
                </c:pt>
                <c:pt idx="2">
                  <c:v>11620130.872</c:v>
                </c:pt>
                <c:pt idx="3">
                  <c:v>16741518.066</c:v>
                </c:pt>
                <c:pt idx="4">
                  <c:v>19876326.100000001</c:v>
                </c:pt>
                <c:pt idx="5">
                  <c:v>21528555.460000001</c:v>
                </c:pt>
                <c:pt idx="6">
                  <c:v>23053679.222000003</c:v>
                </c:pt>
                <c:pt idx="7">
                  <c:v>23742547.804000001</c:v>
                </c:pt>
              </c:numCache>
            </c:numRef>
          </c:val>
        </c:ser>
        <c:ser>
          <c:idx val="3"/>
          <c:order val="3"/>
          <c:tx>
            <c:v>2008</c:v>
          </c:tx>
          <c:marker>
            <c:symbol val="none"/>
          </c:marker>
          <c:val>
            <c:numRef>
              <c:f>'Triangles Analyse'!$B$20:$K$20</c:f>
              <c:numCache>
                <c:formatCode>#,##0</c:formatCode>
                <c:ptCount val="10"/>
                <c:pt idx="0">
                  <c:v>639280.69799999997</c:v>
                </c:pt>
                <c:pt idx="1">
                  <c:v>5758227.0939999996</c:v>
                </c:pt>
                <c:pt idx="2">
                  <c:v>14704134.177999999</c:v>
                </c:pt>
                <c:pt idx="3">
                  <c:v>23169110.030000001</c:v>
                </c:pt>
                <c:pt idx="4">
                  <c:v>27310135.616</c:v>
                </c:pt>
                <c:pt idx="5">
                  <c:v>28740608.127999999</c:v>
                </c:pt>
                <c:pt idx="6">
                  <c:v>29436524.013999999</c:v>
                </c:pt>
              </c:numCache>
            </c:numRef>
          </c:val>
        </c:ser>
        <c:ser>
          <c:idx val="4"/>
          <c:order val="4"/>
          <c:tx>
            <c:v>2009</c:v>
          </c:tx>
          <c:marker>
            <c:symbol val="none"/>
          </c:marker>
          <c:val>
            <c:numRef>
              <c:f>'Triangles Analyse'!$B$21:$K$21</c:f>
              <c:numCache>
                <c:formatCode>#,##0</c:formatCode>
                <c:ptCount val="10"/>
                <c:pt idx="0">
                  <c:v>1345321.16</c:v>
                </c:pt>
                <c:pt idx="1">
                  <c:v>8725809.6979999989</c:v>
                </c:pt>
                <c:pt idx="2">
                  <c:v>22432160.939999998</c:v>
                </c:pt>
                <c:pt idx="3">
                  <c:v>30476080.741999999</c:v>
                </c:pt>
                <c:pt idx="4">
                  <c:v>33739193.75</c:v>
                </c:pt>
                <c:pt idx="5">
                  <c:v>35017302.965999998</c:v>
                </c:pt>
              </c:numCache>
            </c:numRef>
          </c:val>
        </c:ser>
        <c:ser>
          <c:idx val="5"/>
          <c:order val="5"/>
          <c:tx>
            <c:v>2010</c:v>
          </c:tx>
          <c:marker>
            <c:symbol val="none"/>
          </c:marker>
          <c:val>
            <c:numRef>
              <c:f>'Triangles Analyse'!$B$22:$K$22</c:f>
              <c:numCache>
                <c:formatCode>#,##0</c:formatCode>
                <c:ptCount val="10"/>
                <c:pt idx="0">
                  <c:v>1613626.6580000001</c:v>
                </c:pt>
                <c:pt idx="1">
                  <c:v>11683177.912</c:v>
                </c:pt>
                <c:pt idx="2">
                  <c:v>25203664.048</c:v>
                </c:pt>
                <c:pt idx="3">
                  <c:v>31583779.592</c:v>
                </c:pt>
                <c:pt idx="4">
                  <c:v>35470020.785999998</c:v>
                </c:pt>
              </c:numCache>
            </c:numRef>
          </c:val>
        </c:ser>
        <c:ser>
          <c:idx val="6"/>
          <c:order val="6"/>
          <c:tx>
            <c:v>2011</c:v>
          </c:tx>
          <c:marker>
            <c:symbol val="none"/>
          </c:marker>
          <c:val>
            <c:numRef>
              <c:f>'Triangles Analyse'!$B$23:$K$23</c:f>
              <c:numCache>
                <c:formatCode>#,##0</c:formatCode>
                <c:ptCount val="10"/>
                <c:pt idx="0">
                  <c:v>1484186.6</c:v>
                </c:pt>
                <c:pt idx="1">
                  <c:v>11118250</c:v>
                </c:pt>
                <c:pt idx="2">
                  <c:v>21789874.210000001</c:v>
                </c:pt>
                <c:pt idx="3">
                  <c:v>27676790.636</c:v>
                </c:pt>
              </c:numCache>
            </c:numRef>
          </c:val>
        </c:ser>
        <c:ser>
          <c:idx val="7"/>
          <c:order val="7"/>
          <c:tx>
            <c:v>2012</c:v>
          </c:tx>
          <c:marker>
            <c:symbol val="none"/>
          </c:marker>
          <c:val>
            <c:numRef>
              <c:f>'Triangles Analyse'!$B$24:$K$24</c:f>
              <c:numCache>
                <c:formatCode>#,##0</c:formatCode>
                <c:ptCount val="10"/>
                <c:pt idx="0">
                  <c:v>2907654.7859999998</c:v>
                </c:pt>
                <c:pt idx="1">
                  <c:v>13230047.507999999</c:v>
                </c:pt>
                <c:pt idx="2">
                  <c:v>21993565.195999999</c:v>
                </c:pt>
              </c:numCache>
            </c:numRef>
          </c:val>
        </c:ser>
        <c:ser>
          <c:idx val="8"/>
          <c:order val="8"/>
          <c:tx>
            <c:v>2013</c:v>
          </c:tx>
          <c:marker>
            <c:symbol val="none"/>
          </c:marker>
          <c:val>
            <c:numRef>
              <c:f>'Triangles Analyse'!$B$25:$K$25</c:f>
              <c:numCache>
                <c:formatCode>#,##0</c:formatCode>
                <c:ptCount val="10"/>
                <c:pt idx="0">
                  <c:v>3465668.6779999998</c:v>
                </c:pt>
                <c:pt idx="1">
                  <c:v>13106099.206</c:v>
                </c:pt>
              </c:numCache>
            </c:numRef>
          </c:val>
        </c:ser>
        <c:ser>
          <c:idx val="9"/>
          <c:order val="9"/>
          <c:tx>
            <c:v>2014</c:v>
          </c:tx>
          <c:marker>
            <c:symbol val="none"/>
          </c:marker>
          <c:val>
            <c:numRef>
              <c:f>'Triangles Analyse'!$B$26:$K$26</c:f>
              <c:numCache>
                <c:formatCode>#,##0</c:formatCode>
                <c:ptCount val="10"/>
                <c:pt idx="0">
                  <c:v>3619805.284</c:v>
                </c:pt>
              </c:numCache>
            </c:numRef>
          </c:val>
        </c:ser>
        <c:marker val="1"/>
        <c:axId val="146381440"/>
        <c:axId val="146395520"/>
      </c:lineChart>
      <c:catAx>
        <c:axId val="146381440"/>
        <c:scaling>
          <c:orientation val="minMax"/>
        </c:scaling>
        <c:axPos val="b"/>
        <c:tickLblPos val="nextTo"/>
        <c:crossAx val="146395520"/>
        <c:crosses val="autoZero"/>
        <c:auto val="1"/>
        <c:lblAlgn val="ctr"/>
        <c:lblOffset val="100"/>
      </c:catAx>
      <c:valAx>
        <c:axId val="146395520"/>
        <c:scaling>
          <c:orientation val="minMax"/>
        </c:scaling>
        <c:axPos val="l"/>
        <c:majorGridlines/>
        <c:numFmt formatCode="#,##0" sourceLinked="1"/>
        <c:tickLblPos val="nextTo"/>
        <c:crossAx val="146381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'Triangles Analyse'!$B$30:$K$30</c:f>
              <c:numCache>
                <c:formatCode>#,##0</c:formatCode>
                <c:ptCount val="10"/>
                <c:pt idx="0">
                  <c:v>25045962.066</c:v>
                </c:pt>
                <c:pt idx="1">
                  <c:v>30954619.612</c:v>
                </c:pt>
                <c:pt idx="2">
                  <c:v>33050732.767999999</c:v>
                </c:pt>
                <c:pt idx="3">
                  <c:v>31349969.280000001</c:v>
                </c:pt>
                <c:pt idx="4">
                  <c:v>30751671.112</c:v>
                </c:pt>
                <c:pt idx="5">
                  <c:v>29799268.085999999</c:v>
                </c:pt>
                <c:pt idx="6">
                  <c:v>29158650.813999999</c:v>
                </c:pt>
                <c:pt idx="7">
                  <c:v>28396589.031999998</c:v>
                </c:pt>
                <c:pt idx="8">
                  <c:v>27732513.261999998</c:v>
                </c:pt>
                <c:pt idx="9">
                  <c:v>27752607.687999997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'Triangles Analyse'!$B$31:$K$31</c:f>
              <c:numCache>
                <c:formatCode>#,##0</c:formatCode>
                <c:ptCount val="10"/>
                <c:pt idx="0">
                  <c:v>22888865.192000002</c:v>
                </c:pt>
                <c:pt idx="1">
                  <c:v>32798212.566</c:v>
                </c:pt>
                <c:pt idx="2">
                  <c:v>32628708.263999999</c:v>
                </c:pt>
                <c:pt idx="3">
                  <c:v>32133456.717999998</c:v>
                </c:pt>
                <c:pt idx="4">
                  <c:v>30762407.939999998</c:v>
                </c:pt>
                <c:pt idx="5">
                  <c:v>28824518.511999998</c:v>
                </c:pt>
                <c:pt idx="6">
                  <c:v>28174906.825999998</c:v>
                </c:pt>
                <c:pt idx="7">
                  <c:v>27340405.455999997</c:v>
                </c:pt>
                <c:pt idx="8">
                  <c:v>26872939.055999998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'Triangles Analyse'!$B$32:$K$32</c:f>
              <c:numCache>
                <c:formatCode>#,##0</c:formatCode>
                <c:ptCount val="10"/>
                <c:pt idx="0">
                  <c:v>23478828.699999999</c:v>
                </c:pt>
                <c:pt idx="1">
                  <c:v>35405412.318000004</c:v>
                </c:pt>
                <c:pt idx="2">
                  <c:v>37229596.872000001</c:v>
                </c:pt>
                <c:pt idx="3">
                  <c:v>36496080.066</c:v>
                </c:pt>
                <c:pt idx="4">
                  <c:v>34053726.100000001</c:v>
                </c:pt>
                <c:pt idx="5">
                  <c:v>31401781.460000001</c:v>
                </c:pt>
                <c:pt idx="6">
                  <c:v>30261939.222000003</c:v>
                </c:pt>
                <c:pt idx="7">
                  <c:v>29884349.804000001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'Triangles Analyse'!$B$33:$K$33</c:f>
              <c:numCache>
                <c:formatCode>#,##0</c:formatCode>
                <c:ptCount val="10"/>
                <c:pt idx="0">
                  <c:v>28759302.697999999</c:v>
                </c:pt>
                <c:pt idx="1">
                  <c:v>42718157.093999997</c:v>
                </c:pt>
                <c:pt idx="2">
                  <c:v>44619548.178000003</c:v>
                </c:pt>
                <c:pt idx="3">
                  <c:v>43721478.030000001</c:v>
                </c:pt>
                <c:pt idx="4">
                  <c:v>40612949.615999997</c:v>
                </c:pt>
                <c:pt idx="5">
                  <c:v>38997944.127999999</c:v>
                </c:pt>
                <c:pt idx="6">
                  <c:v>38030028.013999999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'Triangles Analyse'!$B$34:$K$34</c:f>
              <c:numCache>
                <c:formatCode>#,##0</c:formatCode>
                <c:ptCount val="10"/>
                <c:pt idx="0">
                  <c:v>33658423.159999996</c:v>
                </c:pt>
                <c:pt idx="1">
                  <c:v>56720353.697999999</c:v>
                </c:pt>
                <c:pt idx="2">
                  <c:v>58115988.939999998</c:v>
                </c:pt>
                <c:pt idx="3">
                  <c:v>56472276.741999999</c:v>
                </c:pt>
                <c:pt idx="4">
                  <c:v>52464695.75</c:v>
                </c:pt>
                <c:pt idx="5">
                  <c:v>50648366.965999998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'Triangles Analyse'!$B$35:$K$35</c:f>
              <c:numCache>
                <c:formatCode>#,##0</c:formatCode>
                <c:ptCount val="10"/>
                <c:pt idx="0">
                  <c:v>39995510.658</c:v>
                </c:pt>
                <c:pt idx="1">
                  <c:v>56285083.912</c:v>
                </c:pt>
                <c:pt idx="2">
                  <c:v>56005790.048</c:v>
                </c:pt>
                <c:pt idx="3">
                  <c:v>52982561.592</c:v>
                </c:pt>
                <c:pt idx="4">
                  <c:v>50614424.785999998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'Triangles Analyse'!$B$36:$K$36</c:f>
              <c:numCache>
                <c:formatCode>#,##0</c:formatCode>
                <c:ptCount val="10"/>
                <c:pt idx="0">
                  <c:v>38910074.600000001</c:v>
                </c:pt>
                <c:pt idx="1">
                  <c:v>55571562</c:v>
                </c:pt>
                <c:pt idx="2">
                  <c:v>53058812.210000001</c:v>
                </c:pt>
                <c:pt idx="3">
                  <c:v>50125412.636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'Triangles Analyse'!$B$37:$K$37</c:f>
              <c:numCache>
                <c:formatCode>#,##0</c:formatCode>
                <c:ptCount val="10"/>
                <c:pt idx="0">
                  <c:v>51589380.785999998</c:v>
                </c:pt>
                <c:pt idx="1">
                  <c:v>65226155.508000001</c:v>
                </c:pt>
                <c:pt idx="2">
                  <c:v>65848407.195999995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'Triangles Analyse'!$B$38:$K$38</c:f>
              <c:numCache>
                <c:formatCode>#,##0</c:formatCode>
                <c:ptCount val="10"/>
                <c:pt idx="0">
                  <c:v>47829212.678000003</c:v>
                </c:pt>
                <c:pt idx="1">
                  <c:v>64537251.206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'Triangles Analyse'!$B$39:$K$39</c:f>
              <c:numCache>
                <c:formatCode>#,##0</c:formatCode>
                <c:ptCount val="10"/>
                <c:pt idx="0">
                  <c:v>43231429.284000002</c:v>
                </c:pt>
              </c:numCache>
            </c:numRef>
          </c:val>
        </c:ser>
        <c:marker val="1"/>
        <c:axId val="146590336"/>
        <c:axId val="146473344"/>
      </c:lineChart>
      <c:catAx>
        <c:axId val="146590336"/>
        <c:scaling>
          <c:orientation val="minMax"/>
        </c:scaling>
        <c:axPos val="b"/>
        <c:tickLblPos val="nextTo"/>
        <c:crossAx val="146473344"/>
        <c:crosses val="autoZero"/>
        <c:auto val="1"/>
        <c:lblAlgn val="ctr"/>
        <c:lblOffset val="100"/>
      </c:catAx>
      <c:valAx>
        <c:axId val="146473344"/>
        <c:scaling>
          <c:orientation val="minMax"/>
        </c:scaling>
        <c:axPos val="l"/>
        <c:majorGridlines/>
        <c:numFmt formatCode="#,##0" sourceLinked="1"/>
        <c:tickLblPos val="nextTo"/>
        <c:crossAx val="146590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17</xdr:col>
      <xdr:colOff>619125</xdr:colOff>
      <xdr:row>17</xdr:row>
      <xdr:rowOff>9525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17</xdr:col>
      <xdr:colOff>619125</xdr:colOff>
      <xdr:row>34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314324</xdr:colOff>
      <xdr:row>2</xdr:row>
      <xdr:rowOff>28575</xdr:rowOff>
    </xdr:from>
    <xdr:ext cx="2790825" cy="280205"/>
    <xdr:sp macro="" textlink="">
      <xdr:nvSpPr>
        <xdr:cNvPr id="5" name="ZoneTexte 4"/>
        <xdr:cNvSpPr txBox="1"/>
      </xdr:nvSpPr>
      <xdr:spPr>
        <a:xfrm>
          <a:off x="8543924" y="371475"/>
          <a:ext cx="279082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fr-FR" sz="1200" b="1" i="1" u="none">
              <a:solidFill>
                <a:schemeClr val="accent5">
                  <a:lumMod val="75000"/>
                </a:schemeClr>
              </a:solidFill>
            </a:rPr>
            <a:t>Triangle</a:t>
          </a:r>
          <a:r>
            <a:rPr lang="fr-FR" sz="1200" b="1" i="1" u="none" baseline="0">
              <a:solidFill>
                <a:schemeClr val="accent5">
                  <a:lumMod val="75000"/>
                </a:schemeClr>
              </a:solidFill>
            </a:rPr>
            <a:t> des ouvertures  </a:t>
          </a:r>
          <a:r>
            <a:rPr lang="fr-FR" sz="1200" b="1" i="1" u="none">
              <a:solidFill>
                <a:schemeClr val="accent5">
                  <a:lumMod val="75000"/>
                </a:schemeClr>
              </a:solidFill>
            </a:rPr>
            <a:t>incrémentale</a:t>
          </a:r>
        </a:p>
      </xdr:txBody>
    </xdr:sp>
    <xdr:clientData/>
  </xdr:oneCellAnchor>
  <xdr:twoCellAnchor>
    <xdr:from>
      <xdr:col>18</xdr:col>
      <xdr:colOff>9525</xdr:colOff>
      <xdr:row>10</xdr:row>
      <xdr:rowOff>9525</xdr:rowOff>
    </xdr:from>
    <xdr:to>
      <xdr:col>23</xdr:col>
      <xdr:colOff>628650</xdr:colOff>
      <xdr:row>26</xdr:row>
      <xdr:rowOff>9525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0.23958</cdr:x>
      <cdr:y>0.04861</cdr:y>
    </cdr:from>
    <cdr:to>
      <cdr:x>0.85</cdr:x>
      <cdr:y>0.15076</cdr:y>
    </cdr:to>
    <cdr:sp macro="" textlink="">
      <cdr:nvSpPr>
        <cdr:cNvPr id="2" name="ZoneTexte 4"/>
        <cdr:cNvSpPr txBox="1"/>
      </cdr:nvSpPr>
      <cdr:spPr>
        <a:xfrm xmlns:a="http://schemas.openxmlformats.org/drawingml/2006/main">
          <a:off x="1095375" y="133350"/>
          <a:ext cx="2790825" cy="2802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fr-FR" sz="1200" b="1" i="1" u="none">
              <a:solidFill>
                <a:srgbClr val="4472C4">
                  <a:lumMod val="75000"/>
                </a:srgbClr>
              </a:solidFill>
            </a:rPr>
            <a:t>Triangle</a:t>
          </a:r>
          <a:r>
            <a:rPr lang="fr-FR" sz="1200" b="1" i="1" u="none" baseline="0">
              <a:solidFill>
                <a:srgbClr val="4472C4">
                  <a:lumMod val="75000"/>
                </a:srgbClr>
              </a:solidFill>
            </a:rPr>
            <a:t> des règlements </a:t>
          </a:r>
          <a:r>
            <a:rPr lang="fr-FR" sz="1200" b="1" i="1" u="none">
              <a:solidFill>
                <a:srgbClr val="4472C4">
                  <a:lumMod val="75000"/>
                </a:srgbClr>
              </a:solidFill>
            </a:rPr>
            <a:t>incrémentale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0.2125</cdr:x>
      <cdr:y>0.07639</cdr:y>
    </cdr:from>
    <cdr:to>
      <cdr:x>0.8625</cdr:x>
      <cdr:y>0.17853</cdr:y>
    </cdr:to>
    <cdr:sp macro="" textlink="">
      <cdr:nvSpPr>
        <cdr:cNvPr id="2" name="ZoneTexte 4"/>
        <cdr:cNvSpPr txBox="1"/>
      </cdr:nvSpPr>
      <cdr:spPr>
        <a:xfrm xmlns:a="http://schemas.openxmlformats.org/drawingml/2006/main">
          <a:off x="971550" y="209550"/>
          <a:ext cx="2971800" cy="2802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fr-FR" sz="1200" b="1" i="1" u="none">
              <a:solidFill>
                <a:srgbClr val="4472C4">
                  <a:lumMod val="75000"/>
                </a:srgbClr>
              </a:solidFill>
            </a:rPr>
            <a:t>Triangle</a:t>
          </a:r>
          <a:r>
            <a:rPr lang="fr-FR" sz="1200" b="1" i="1" u="none" baseline="0">
              <a:solidFill>
                <a:srgbClr val="4472C4">
                  <a:lumMod val="75000"/>
                </a:srgbClr>
              </a:solidFill>
            </a:rPr>
            <a:t> des provosions SAP </a:t>
          </a:r>
          <a:r>
            <a:rPr lang="fr-FR" sz="1200" b="1" i="1" u="none">
              <a:solidFill>
                <a:srgbClr val="4472C4">
                  <a:lumMod val="75000"/>
                </a:srgbClr>
              </a:solidFill>
            </a:rPr>
            <a:t>incrémentale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81</xdr:row>
      <xdr:rowOff>9525</xdr:rowOff>
    </xdr:from>
    <xdr:to>
      <xdr:col>6</xdr:col>
      <xdr:colOff>619125</xdr:colOff>
      <xdr:row>96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81</xdr:row>
      <xdr:rowOff>9525</xdr:rowOff>
    </xdr:from>
    <xdr:to>
      <xdr:col>12</xdr:col>
      <xdr:colOff>619125</xdr:colOff>
      <xdr:row>96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81</xdr:row>
      <xdr:rowOff>9525</xdr:rowOff>
    </xdr:from>
    <xdr:to>
      <xdr:col>19</xdr:col>
      <xdr:colOff>390525</xdr:colOff>
      <xdr:row>96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0.22292</cdr:x>
      <cdr:y>0.02431</cdr:y>
    </cdr:from>
    <cdr:to>
      <cdr:x>0.83333</cdr:x>
      <cdr:y>0.12645</cdr:y>
    </cdr:to>
    <cdr:sp macro="" textlink="">
      <cdr:nvSpPr>
        <cdr:cNvPr id="3" name="ZoneTexte 4"/>
        <cdr:cNvSpPr txBox="1"/>
      </cdr:nvSpPr>
      <cdr:spPr>
        <a:xfrm xmlns:a="http://schemas.openxmlformats.org/drawingml/2006/main">
          <a:off x="1019175" y="66675"/>
          <a:ext cx="2790825" cy="2802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fr-FR" sz="1200" b="1" i="1" u="none">
              <a:solidFill>
                <a:srgbClr val="4472C4">
                  <a:lumMod val="75000"/>
                </a:srgbClr>
              </a:solidFill>
            </a:rPr>
            <a:t>Triangle</a:t>
          </a:r>
          <a:r>
            <a:rPr lang="fr-FR" sz="1200" b="1" i="1" u="none" baseline="0">
              <a:solidFill>
                <a:srgbClr val="4472C4">
                  <a:lumMod val="75000"/>
                </a:srgbClr>
              </a:solidFill>
            </a:rPr>
            <a:t> des règlements </a:t>
          </a:r>
          <a:r>
            <a:rPr lang="fr-FR" sz="1200" b="1" i="1" u="none">
              <a:solidFill>
                <a:srgbClr val="4472C4">
                  <a:lumMod val="75000"/>
                </a:srgbClr>
              </a:solidFill>
            </a:rPr>
            <a:t>cumulative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0.2375</cdr:x>
      <cdr:y>0.04167</cdr:y>
    </cdr:from>
    <cdr:to>
      <cdr:x>0.84792</cdr:x>
      <cdr:y>0.14381</cdr:y>
    </cdr:to>
    <cdr:sp macro="" textlink="">
      <cdr:nvSpPr>
        <cdr:cNvPr id="3" name="ZoneTexte 4"/>
        <cdr:cNvSpPr txBox="1"/>
      </cdr:nvSpPr>
      <cdr:spPr>
        <a:xfrm xmlns:a="http://schemas.openxmlformats.org/drawingml/2006/main">
          <a:off x="1085850" y="114300"/>
          <a:ext cx="2790825" cy="2802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fr-FR" sz="1200" b="1" i="1" u="none">
              <a:solidFill>
                <a:srgbClr val="4472C4">
                  <a:lumMod val="75000"/>
                </a:srgbClr>
              </a:solidFill>
            </a:rPr>
            <a:t>Triangle</a:t>
          </a:r>
          <a:r>
            <a:rPr lang="fr-FR" sz="1200" b="1" i="1" u="none" baseline="0">
              <a:solidFill>
                <a:srgbClr val="4472C4">
                  <a:lumMod val="75000"/>
                </a:srgbClr>
              </a:solidFill>
            </a:rPr>
            <a:t> des règlements cumulative</a:t>
          </a:r>
          <a:endParaRPr lang="fr-FR" sz="1200" b="1" i="1" u="none">
            <a:solidFill>
              <a:srgbClr val="4472C4">
                <a:lumMod val="75000"/>
              </a:srgb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0.43959</cdr:x>
      <cdr:y>0.05556</cdr:y>
    </cdr:from>
    <cdr:to>
      <cdr:x>0.875</cdr:x>
      <cdr:y>0.1577</cdr:y>
    </cdr:to>
    <cdr:sp macro="" textlink="">
      <cdr:nvSpPr>
        <cdr:cNvPr id="2" name="ZoneTexte 4"/>
        <cdr:cNvSpPr txBox="1"/>
      </cdr:nvSpPr>
      <cdr:spPr>
        <a:xfrm xmlns:a="http://schemas.openxmlformats.org/drawingml/2006/main">
          <a:off x="2009791" y="152406"/>
          <a:ext cx="1990710" cy="280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fr-FR" sz="1200" b="1" i="1" u="none">
              <a:solidFill>
                <a:srgbClr val="4472C4">
                  <a:lumMod val="75000"/>
                </a:srgbClr>
              </a:solidFill>
            </a:rPr>
            <a:t>Triangle</a:t>
          </a:r>
          <a:r>
            <a:rPr lang="fr-FR" sz="1200" b="1" i="1" u="none" baseline="0">
              <a:solidFill>
                <a:srgbClr val="4472C4">
                  <a:lumMod val="75000"/>
                </a:srgbClr>
              </a:solidFill>
            </a:rPr>
            <a:t> des charges </a:t>
          </a:r>
          <a:endParaRPr lang="fr-FR" sz="1200" b="1" i="1" u="none">
            <a:solidFill>
              <a:srgbClr val="4472C4">
                <a:lumMod val="75000"/>
              </a:srgb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zoomScale="80" zoomScaleNormal="80" workbookViewId="0">
      <selection activeCell="S33" sqref="S33"/>
    </sheetView>
  </sheetViews>
  <sheetFormatPr baseColWidth="10" defaultColWidth="11.5546875" defaultRowHeight="13.2"/>
  <cols>
    <col min="1" max="1" width="6.5546875" style="7" customWidth="1"/>
    <col min="2" max="2" width="9.109375" style="7" customWidth="1"/>
    <col min="3" max="3" width="9.21875" style="7" customWidth="1"/>
    <col min="4" max="4" width="9.77734375" style="7" customWidth="1"/>
    <col min="5" max="5" width="9.33203125" style="7" customWidth="1"/>
    <col min="6" max="7" width="9.21875" style="7" customWidth="1"/>
    <col min="8" max="8" width="8.88671875" style="7" customWidth="1"/>
    <col min="9" max="9" width="8.5546875" style="7" customWidth="1"/>
    <col min="10" max="10" width="8.21875" style="7" customWidth="1"/>
    <col min="11" max="11" width="9" style="7" customWidth="1"/>
    <col min="12" max="16384" width="11.5546875" style="3"/>
  </cols>
  <sheetData>
    <row r="1" spans="1:11" s="1" customFormat="1" ht="13.8">
      <c r="A1" s="48" t="s">
        <v>0</v>
      </c>
      <c r="B1" s="48"/>
      <c r="C1" s="48"/>
      <c r="D1" s="48"/>
      <c r="E1" s="48"/>
    </row>
    <row r="2" spans="1:11">
      <c r="A2" s="2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1">
      <c r="A3" s="2">
        <v>2005</v>
      </c>
      <c r="B3" s="4">
        <v>1330</v>
      </c>
      <c r="C3" s="4">
        <v>854</v>
      </c>
      <c r="D3" s="4">
        <v>82</v>
      </c>
      <c r="E3" s="4">
        <v>24</v>
      </c>
      <c r="F3" s="4">
        <v>4</v>
      </c>
      <c r="G3" s="4">
        <v>0</v>
      </c>
      <c r="H3" s="4">
        <v>4</v>
      </c>
      <c r="I3" s="4">
        <v>0</v>
      </c>
      <c r="J3" s="4">
        <v>0</v>
      </c>
      <c r="K3" s="4">
        <v>0</v>
      </c>
    </row>
    <row r="4" spans="1:11">
      <c r="A4" s="2">
        <v>2006</v>
      </c>
      <c r="B4" s="4">
        <v>1330</v>
      </c>
      <c r="C4" s="4">
        <v>874</v>
      </c>
      <c r="D4" s="4">
        <v>70</v>
      </c>
      <c r="E4" s="4">
        <v>26</v>
      </c>
      <c r="F4" s="4">
        <v>12</v>
      </c>
      <c r="G4" s="4">
        <v>0</v>
      </c>
      <c r="H4" s="4">
        <v>0</v>
      </c>
      <c r="I4" s="4">
        <v>0</v>
      </c>
      <c r="J4" s="4">
        <v>0</v>
      </c>
      <c r="K4" s="36"/>
    </row>
    <row r="5" spans="1:11">
      <c r="A5" s="2">
        <v>2007</v>
      </c>
      <c r="B5" s="4">
        <v>1786</v>
      </c>
      <c r="C5" s="4">
        <v>1410</v>
      </c>
      <c r="D5" s="4">
        <v>162</v>
      </c>
      <c r="E5" s="4">
        <v>62</v>
      </c>
      <c r="F5" s="4">
        <v>20</v>
      </c>
      <c r="G5" s="4">
        <v>2</v>
      </c>
      <c r="H5" s="4">
        <v>2</v>
      </c>
      <c r="I5" s="4">
        <v>2</v>
      </c>
      <c r="J5" s="36"/>
      <c r="K5" s="36"/>
    </row>
    <row r="6" spans="1:11">
      <c r="A6" s="2">
        <v>2008</v>
      </c>
      <c r="B6" s="4">
        <v>2278</v>
      </c>
      <c r="C6" s="4">
        <v>1556</v>
      </c>
      <c r="D6" s="4">
        <v>168</v>
      </c>
      <c r="E6" s="4">
        <v>46</v>
      </c>
      <c r="F6" s="4">
        <v>8</v>
      </c>
      <c r="G6" s="4">
        <v>2</v>
      </c>
      <c r="H6" s="4">
        <v>4</v>
      </c>
      <c r="I6" s="36"/>
      <c r="J6" s="36"/>
      <c r="K6" s="36"/>
    </row>
    <row r="7" spans="1:11">
      <c r="A7" s="2">
        <v>2009</v>
      </c>
      <c r="B7" s="4">
        <v>2568</v>
      </c>
      <c r="C7" s="4">
        <v>1582</v>
      </c>
      <c r="D7" s="4">
        <v>178</v>
      </c>
      <c r="E7" s="4">
        <v>54</v>
      </c>
      <c r="F7" s="4">
        <v>8</v>
      </c>
      <c r="G7" s="4">
        <v>2</v>
      </c>
      <c r="H7" s="36"/>
      <c r="I7" s="36"/>
      <c r="J7" s="36"/>
      <c r="K7" s="36"/>
    </row>
    <row r="8" spans="1:11">
      <c r="A8" s="2">
        <v>2010</v>
      </c>
      <c r="B8" s="4">
        <v>2380</v>
      </c>
      <c r="C8" s="4">
        <v>1484</v>
      </c>
      <c r="D8" s="4">
        <v>124</v>
      </c>
      <c r="E8" s="4">
        <v>36</v>
      </c>
      <c r="F8" s="4">
        <v>8</v>
      </c>
      <c r="G8" s="36"/>
      <c r="H8" s="36"/>
      <c r="I8" s="36"/>
      <c r="J8" s="36"/>
      <c r="K8" s="36"/>
    </row>
    <row r="9" spans="1:11">
      <c r="A9" s="2">
        <v>2011</v>
      </c>
      <c r="B9" s="4">
        <v>2424</v>
      </c>
      <c r="C9" s="4">
        <v>1362</v>
      </c>
      <c r="D9" s="4">
        <v>184</v>
      </c>
      <c r="E9" s="4">
        <v>56</v>
      </c>
      <c r="F9" s="36"/>
      <c r="G9" s="36"/>
      <c r="H9" s="36"/>
      <c r="I9" s="36"/>
      <c r="J9" s="36"/>
      <c r="K9" s="36"/>
    </row>
    <row r="10" spans="1:11">
      <c r="A10" s="2">
        <v>2012</v>
      </c>
      <c r="B10" s="4">
        <v>2348</v>
      </c>
      <c r="C10" s="4">
        <v>1606</v>
      </c>
      <c r="D10" s="4">
        <v>228</v>
      </c>
      <c r="E10" s="36"/>
      <c r="F10" s="36"/>
      <c r="G10" s="36"/>
      <c r="H10" s="36"/>
      <c r="I10" s="36"/>
      <c r="J10" s="36"/>
      <c r="K10" s="36"/>
    </row>
    <row r="11" spans="1:11">
      <c r="A11" s="2">
        <v>2013</v>
      </c>
      <c r="B11" s="4">
        <v>2464</v>
      </c>
      <c r="C11" s="4">
        <v>1454</v>
      </c>
      <c r="D11" s="36"/>
      <c r="E11" s="36"/>
      <c r="F11" s="36"/>
      <c r="G11" s="36"/>
      <c r="H11" s="36"/>
      <c r="I11" s="36"/>
      <c r="J11" s="36"/>
      <c r="K11" s="36"/>
    </row>
    <row r="12" spans="1:11">
      <c r="A12" s="2">
        <v>2014</v>
      </c>
      <c r="B12" s="4">
        <v>1984</v>
      </c>
      <c r="C12" s="36"/>
      <c r="D12" s="36"/>
      <c r="E12" s="36"/>
      <c r="F12" s="36"/>
      <c r="G12" s="36"/>
      <c r="H12" s="36"/>
      <c r="I12" s="36"/>
      <c r="J12" s="36"/>
      <c r="K12" s="36"/>
    </row>
    <row r="14" spans="1:11" ht="13.8">
      <c r="A14" s="48" t="s">
        <v>2</v>
      </c>
      <c r="B14" s="48"/>
      <c r="C14" s="48"/>
      <c r="D14" s="48"/>
      <c r="E14" s="48"/>
      <c r="F14" s="5"/>
      <c r="G14" s="5"/>
      <c r="H14" s="5"/>
      <c r="I14" s="5"/>
      <c r="J14" s="5"/>
      <c r="K14" s="5"/>
    </row>
    <row r="15" spans="1:11">
      <c r="A15" s="2" t="s">
        <v>3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</row>
    <row r="16" spans="1:11">
      <c r="A16" s="2">
        <v>2005</v>
      </c>
      <c r="B16" s="6">
        <v>1171960.0660000001</v>
      </c>
      <c r="C16" s="6">
        <v>6604453.5460000001</v>
      </c>
      <c r="D16" s="6">
        <v>7247851.1560000004</v>
      </c>
      <c r="E16" s="6">
        <v>4476006.5120000001</v>
      </c>
      <c r="F16" s="6">
        <v>2140353.8319999999</v>
      </c>
      <c r="G16" s="6">
        <v>1315500.9739999999</v>
      </c>
      <c r="H16" s="6">
        <v>1500734.7279999999</v>
      </c>
      <c r="I16" s="6">
        <v>495272.21799999999</v>
      </c>
      <c r="J16" s="6">
        <v>264542.23</v>
      </c>
      <c r="K16" s="6">
        <v>91392.426000000007</v>
      </c>
    </row>
    <row r="17" spans="1:11">
      <c r="A17" s="2">
        <v>2006</v>
      </c>
      <c r="B17" s="6">
        <v>803251.19200000004</v>
      </c>
      <c r="C17" s="6">
        <v>3936933.3739999998</v>
      </c>
      <c r="D17" s="6">
        <v>7216461.6979999999</v>
      </c>
      <c r="E17" s="6">
        <v>5498608.4539999999</v>
      </c>
      <c r="F17" s="6">
        <v>2076533.2220000001</v>
      </c>
      <c r="G17" s="6">
        <v>2775362.5720000002</v>
      </c>
      <c r="H17" s="6">
        <v>749770.31400000001</v>
      </c>
      <c r="I17" s="6">
        <v>348476.63</v>
      </c>
      <c r="J17" s="6">
        <v>327901.59999999998</v>
      </c>
      <c r="K17" s="37"/>
    </row>
    <row r="18" spans="1:11">
      <c r="A18" s="2">
        <v>2007</v>
      </c>
      <c r="B18" s="6">
        <v>360204.7</v>
      </c>
      <c r="C18" s="6">
        <v>3305001.6179999998</v>
      </c>
      <c r="D18" s="6">
        <v>7954924.5539999995</v>
      </c>
      <c r="E18" s="6">
        <v>5121387.1940000001</v>
      </c>
      <c r="F18" s="6">
        <v>3134808.034</v>
      </c>
      <c r="G18" s="6">
        <v>1652229.36</v>
      </c>
      <c r="H18" s="6">
        <v>1525123.7620000001</v>
      </c>
      <c r="I18" s="6">
        <v>688868.58200000005</v>
      </c>
      <c r="J18" s="37"/>
      <c r="K18" s="37"/>
    </row>
    <row r="19" spans="1:11">
      <c r="A19" s="2">
        <v>2008</v>
      </c>
      <c r="B19" s="6">
        <v>639280.69799999997</v>
      </c>
      <c r="C19" s="6">
        <v>5118946.3959999997</v>
      </c>
      <c r="D19" s="6">
        <v>8945907.0840000007</v>
      </c>
      <c r="E19" s="6">
        <v>8464975.852</v>
      </c>
      <c r="F19" s="6">
        <v>4141025.5860000001</v>
      </c>
      <c r="G19" s="6">
        <v>1430472.5120000001</v>
      </c>
      <c r="H19" s="6">
        <v>695915.88600000006</v>
      </c>
      <c r="I19" s="37"/>
      <c r="J19" s="37"/>
      <c r="K19" s="37"/>
    </row>
    <row r="20" spans="1:11">
      <c r="A20" s="2">
        <v>2009</v>
      </c>
      <c r="B20" s="6">
        <v>1345321.16</v>
      </c>
      <c r="C20" s="6">
        <v>7380488.5379999997</v>
      </c>
      <c r="D20" s="6">
        <v>13706351.242000001</v>
      </c>
      <c r="E20" s="6">
        <v>8043919.8020000001</v>
      </c>
      <c r="F20" s="6">
        <v>3263113.0079999999</v>
      </c>
      <c r="G20" s="6">
        <v>1278109.216</v>
      </c>
      <c r="H20" s="37"/>
      <c r="I20" s="37"/>
      <c r="J20" s="37"/>
      <c r="K20" s="37"/>
    </row>
    <row r="21" spans="1:11">
      <c r="A21" s="2">
        <v>2010</v>
      </c>
      <c r="B21" s="6">
        <v>1613626.6580000001</v>
      </c>
      <c r="C21" s="6">
        <v>10069551.254000001</v>
      </c>
      <c r="D21" s="6">
        <v>13520486.136</v>
      </c>
      <c r="E21" s="6">
        <v>6380115.5439999998</v>
      </c>
      <c r="F21" s="6">
        <v>3886241.1940000001</v>
      </c>
      <c r="G21" s="37"/>
      <c r="H21" s="37"/>
      <c r="I21" s="37"/>
      <c r="J21" s="37"/>
      <c r="K21" s="37"/>
    </row>
    <row r="22" spans="1:11">
      <c r="A22" s="2">
        <v>2011</v>
      </c>
      <c r="B22" s="6">
        <v>1484186.6</v>
      </c>
      <c r="C22" s="6">
        <v>9634063.4000000004</v>
      </c>
      <c r="D22" s="6">
        <v>10671624.210000001</v>
      </c>
      <c r="E22" s="6">
        <v>5886916.426</v>
      </c>
      <c r="F22" s="37"/>
      <c r="G22" s="37"/>
      <c r="H22" s="37"/>
      <c r="I22" s="37"/>
      <c r="J22" s="37"/>
      <c r="K22" s="37"/>
    </row>
    <row r="23" spans="1:11">
      <c r="A23" s="2">
        <v>2012</v>
      </c>
      <c r="B23" s="6">
        <v>2907654.7859999998</v>
      </c>
      <c r="C23" s="6">
        <v>10322392.721999999</v>
      </c>
      <c r="D23" s="6">
        <v>8763517.6879999992</v>
      </c>
      <c r="E23" s="37"/>
      <c r="F23" s="37"/>
      <c r="G23" s="37"/>
      <c r="H23" s="37"/>
      <c r="I23" s="37"/>
      <c r="J23" s="37"/>
      <c r="K23" s="37"/>
    </row>
    <row r="24" spans="1:11">
      <c r="A24" s="2">
        <v>2013</v>
      </c>
      <c r="B24" s="6">
        <v>3465668.6779999998</v>
      </c>
      <c r="C24" s="6">
        <v>9640430.5280000009</v>
      </c>
      <c r="D24" s="37"/>
      <c r="E24" s="37"/>
      <c r="F24" s="37"/>
      <c r="G24" s="37"/>
      <c r="H24" s="37"/>
      <c r="I24" s="37"/>
      <c r="J24" s="37"/>
      <c r="K24" s="37"/>
    </row>
    <row r="25" spans="1:11">
      <c r="A25" s="2">
        <v>2014</v>
      </c>
      <c r="B25" s="6">
        <v>3619805.284</v>
      </c>
      <c r="C25" s="37"/>
      <c r="D25" s="37"/>
      <c r="E25" s="37"/>
      <c r="F25" s="37"/>
      <c r="G25" s="37"/>
      <c r="H25" s="37"/>
      <c r="I25" s="37"/>
      <c r="J25" s="37"/>
      <c r="K25" s="37"/>
    </row>
    <row r="27" spans="1:11" ht="13.8">
      <c r="A27" s="48" t="s">
        <v>4</v>
      </c>
      <c r="B27" s="48"/>
      <c r="C27" s="48"/>
      <c r="D27" s="48"/>
      <c r="E27" s="48"/>
    </row>
    <row r="28" spans="1:11">
      <c r="A28" s="2" t="s">
        <v>5</v>
      </c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9</v>
      </c>
      <c r="K28" s="2">
        <v>10</v>
      </c>
    </row>
    <row r="29" spans="1:11">
      <c r="A29" s="2">
        <v>2005</v>
      </c>
      <c r="B29" s="6">
        <v>23874002</v>
      </c>
      <c r="C29" s="6">
        <v>23178206</v>
      </c>
      <c r="D29" s="6">
        <v>18026468</v>
      </c>
      <c r="E29" s="6">
        <v>11849698</v>
      </c>
      <c r="F29" s="6">
        <v>9111046</v>
      </c>
      <c r="G29" s="6">
        <v>6843142</v>
      </c>
      <c r="H29" s="6">
        <v>4701790</v>
      </c>
      <c r="I29" s="6">
        <v>3444456</v>
      </c>
      <c r="J29" s="6">
        <v>2515838</v>
      </c>
      <c r="K29" s="6">
        <v>2444540</v>
      </c>
    </row>
    <row r="30" spans="1:11">
      <c r="A30" s="2">
        <v>2006</v>
      </c>
      <c r="B30" s="6">
        <v>22085614</v>
      </c>
      <c r="C30" s="6">
        <v>28058028</v>
      </c>
      <c r="D30" s="6">
        <v>20672062</v>
      </c>
      <c r="E30" s="6">
        <v>14678202</v>
      </c>
      <c r="F30" s="6">
        <v>11230620</v>
      </c>
      <c r="G30" s="6">
        <v>6517368</v>
      </c>
      <c r="H30" s="6">
        <v>5117986</v>
      </c>
      <c r="I30" s="6">
        <v>3935008</v>
      </c>
      <c r="J30" s="6">
        <v>3139640</v>
      </c>
      <c r="K30" s="37"/>
    </row>
    <row r="31" spans="1:11">
      <c r="A31" s="2">
        <v>2007</v>
      </c>
      <c r="B31" s="6">
        <v>23118624</v>
      </c>
      <c r="C31" s="6">
        <v>31740206</v>
      </c>
      <c r="D31" s="6">
        <v>25609466</v>
      </c>
      <c r="E31" s="6">
        <v>19754562</v>
      </c>
      <c r="F31" s="6">
        <v>14177400</v>
      </c>
      <c r="G31" s="6">
        <v>9873226</v>
      </c>
      <c r="H31" s="6">
        <v>7208260</v>
      </c>
      <c r="I31" s="6">
        <v>6141802</v>
      </c>
      <c r="J31" s="37"/>
      <c r="K31" s="37"/>
    </row>
    <row r="32" spans="1:11">
      <c r="A32" s="2">
        <v>2008</v>
      </c>
      <c r="B32" s="6">
        <v>28120022</v>
      </c>
      <c r="C32" s="6">
        <v>36959930</v>
      </c>
      <c r="D32" s="6">
        <v>29915414</v>
      </c>
      <c r="E32" s="6">
        <v>20552368</v>
      </c>
      <c r="F32" s="6">
        <v>13302814</v>
      </c>
      <c r="G32" s="6">
        <v>10257336</v>
      </c>
      <c r="H32" s="6">
        <v>8593504</v>
      </c>
      <c r="I32" s="37"/>
      <c r="J32" s="37"/>
      <c r="K32" s="37"/>
    </row>
    <row r="33" spans="1:11">
      <c r="A33" s="2">
        <v>2009</v>
      </c>
      <c r="B33" s="6">
        <v>32313102</v>
      </c>
      <c r="C33" s="6">
        <v>47994544</v>
      </c>
      <c r="D33" s="6">
        <v>35683828</v>
      </c>
      <c r="E33" s="6">
        <v>25996196</v>
      </c>
      <c r="F33" s="6">
        <v>18725502</v>
      </c>
      <c r="G33" s="6">
        <v>15631064</v>
      </c>
      <c r="H33" s="37"/>
      <c r="I33" s="37"/>
      <c r="J33" s="37"/>
      <c r="K33" s="37"/>
    </row>
    <row r="34" spans="1:11">
      <c r="A34" s="2">
        <v>2010</v>
      </c>
      <c r="B34" s="6">
        <v>38381884</v>
      </c>
      <c r="C34" s="6">
        <v>44601906</v>
      </c>
      <c r="D34" s="6">
        <v>30802126</v>
      </c>
      <c r="E34" s="6">
        <v>21398782</v>
      </c>
      <c r="F34" s="6">
        <v>15144404</v>
      </c>
      <c r="G34" s="37"/>
      <c r="H34" s="37"/>
      <c r="I34" s="37"/>
      <c r="J34" s="37"/>
      <c r="K34" s="37"/>
    </row>
    <row r="35" spans="1:11">
      <c r="A35" s="2">
        <v>2011</v>
      </c>
      <c r="B35" s="6">
        <v>37425888</v>
      </c>
      <c r="C35" s="6">
        <v>44453312</v>
      </c>
      <c r="D35" s="6">
        <v>31268938</v>
      </c>
      <c r="E35" s="6">
        <v>22448622</v>
      </c>
      <c r="F35" s="37"/>
      <c r="G35" s="37"/>
      <c r="H35" s="37"/>
      <c r="I35" s="37"/>
      <c r="J35" s="37"/>
      <c r="K35" s="37"/>
    </row>
    <row r="36" spans="1:11">
      <c r="A36" s="2">
        <v>2012</v>
      </c>
      <c r="B36" s="6">
        <v>48681726</v>
      </c>
      <c r="C36" s="6">
        <v>51996108</v>
      </c>
      <c r="D36" s="6">
        <v>43854842</v>
      </c>
      <c r="E36" s="37"/>
      <c r="F36" s="37"/>
      <c r="G36" s="37"/>
      <c r="H36" s="37"/>
      <c r="I36" s="37"/>
      <c r="J36" s="37"/>
      <c r="K36" s="37"/>
    </row>
    <row r="37" spans="1:11">
      <c r="A37" s="2">
        <v>2013</v>
      </c>
      <c r="B37" s="6">
        <v>44363544</v>
      </c>
      <c r="C37" s="6">
        <v>51431152</v>
      </c>
      <c r="D37" s="37"/>
      <c r="E37" s="37"/>
      <c r="F37" s="37"/>
      <c r="G37" s="37"/>
      <c r="H37" s="37"/>
      <c r="I37" s="37"/>
      <c r="J37" s="37"/>
      <c r="K37" s="37"/>
    </row>
    <row r="38" spans="1:11">
      <c r="A38" s="2">
        <v>2014</v>
      </c>
      <c r="B38" s="6">
        <v>39611624</v>
      </c>
      <c r="C38" s="37"/>
      <c r="D38" s="37"/>
      <c r="E38" s="37"/>
      <c r="F38" s="37"/>
      <c r="G38" s="37"/>
      <c r="H38" s="37"/>
      <c r="I38" s="37"/>
      <c r="J38" s="37"/>
      <c r="K38" s="37"/>
    </row>
  </sheetData>
  <mergeCells count="3">
    <mergeCell ref="A1:E1"/>
    <mergeCell ref="A14:E14"/>
    <mergeCell ref="A27:E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80"/>
  <sheetViews>
    <sheetView zoomScale="80" zoomScaleNormal="80" workbookViewId="0">
      <selection activeCell="M57" sqref="M57"/>
    </sheetView>
  </sheetViews>
  <sheetFormatPr baseColWidth="10" defaultRowHeight="14.4"/>
  <cols>
    <col min="14" max="14" width="3.44140625" customWidth="1"/>
    <col min="26" max="26" width="11.5546875" customWidth="1"/>
  </cols>
  <sheetData>
    <row r="1" spans="1:34">
      <c r="U1" s="47" t="s">
        <v>41</v>
      </c>
      <c r="V1" s="47" t="s">
        <v>41</v>
      </c>
      <c r="W1" s="47" t="s">
        <v>41</v>
      </c>
      <c r="X1" s="47" t="s">
        <v>41</v>
      </c>
      <c r="Y1" s="47" t="s">
        <v>41</v>
      </c>
      <c r="Z1" s="47" t="s">
        <v>41</v>
      </c>
    </row>
    <row r="2" spans="1:34">
      <c r="A2" s="48" t="s">
        <v>0</v>
      </c>
      <c r="B2" s="48"/>
      <c r="C2" s="48"/>
      <c r="D2" s="48"/>
      <c r="E2" s="48"/>
      <c r="F2" s="1"/>
      <c r="G2" s="1"/>
      <c r="H2" s="1"/>
      <c r="I2" s="1"/>
      <c r="J2" s="1"/>
      <c r="K2" s="1"/>
      <c r="M2" s="49" t="s">
        <v>9</v>
      </c>
      <c r="N2" s="49"/>
      <c r="O2" s="49"/>
      <c r="P2" s="49"/>
      <c r="Q2" s="49"/>
      <c r="R2" s="1"/>
      <c r="S2" s="1"/>
      <c r="T2" s="1"/>
      <c r="U2" s="1"/>
      <c r="V2" s="1"/>
      <c r="W2" s="1"/>
      <c r="Y2" s="50" t="s">
        <v>10</v>
      </c>
      <c r="Z2" s="51"/>
      <c r="AA2" s="51"/>
      <c r="AB2" s="51"/>
      <c r="AC2" s="51"/>
      <c r="AD2" s="1"/>
      <c r="AE2" s="1"/>
      <c r="AF2" s="1"/>
      <c r="AG2" s="1"/>
      <c r="AH2" s="1"/>
    </row>
    <row r="3" spans="1:34">
      <c r="A3" s="8" t="s">
        <v>1</v>
      </c>
      <c r="B3" s="8">
        <f>Triangles!B15</f>
        <v>1</v>
      </c>
      <c r="C3" s="8">
        <f>Triangles!C15</f>
        <v>2</v>
      </c>
      <c r="D3" s="8">
        <f>Triangles!D15</f>
        <v>3</v>
      </c>
      <c r="E3" s="8">
        <f>Triangles!E15</f>
        <v>4</v>
      </c>
      <c r="F3" s="8">
        <f>Triangles!F15</f>
        <v>5</v>
      </c>
      <c r="G3" s="8">
        <f>Triangles!G15</f>
        <v>6</v>
      </c>
      <c r="H3" s="8">
        <f>Triangles!H15</f>
        <v>7</v>
      </c>
      <c r="I3" s="8">
        <f>Triangles!I15</f>
        <v>8</v>
      </c>
      <c r="J3" s="8">
        <f>Triangles!J15</f>
        <v>9</v>
      </c>
      <c r="K3" s="8">
        <f>Triangles!K15</f>
        <v>10</v>
      </c>
      <c r="M3" s="8" t="s">
        <v>1</v>
      </c>
      <c r="N3" s="8">
        <f t="shared" ref="N3:W3" si="0">B3</f>
        <v>1</v>
      </c>
      <c r="O3" s="8">
        <f t="shared" si="0"/>
        <v>2</v>
      </c>
      <c r="P3" s="8">
        <f t="shared" si="0"/>
        <v>3</v>
      </c>
      <c r="Q3" s="8">
        <f t="shared" si="0"/>
        <v>4</v>
      </c>
      <c r="R3" s="8">
        <f t="shared" si="0"/>
        <v>5</v>
      </c>
      <c r="S3" s="8">
        <f t="shared" si="0"/>
        <v>6</v>
      </c>
      <c r="T3" s="8">
        <f t="shared" si="0"/>
        <v>7</v>
      </c>
      <c r="U3" s="8">
        <f t="shared" si="0"/>
        <v>8</v>
      </c>
      <c r="V3" s="8">
        <f t="shared" si="0"/>
        <v>9</v>
      </c>
      <c r="W3" s="8">
        <f t="shared" si="0"/>
        <v>10</v>
      </c>
      <c r="Y3" s="8" t="s">
        <v>11</v>
      </c>
      <c r="Z3" s="8">
        <v>1</v>
      </c>
      <c r="AA3" s="8">
        <v>2</v>
      </c>
      <c r="AB3" s="8">
        <v>3</v>
      </c>
      <c r="AC3" s="8">
        <v>4</v>
      </c>
      <c r="AD3" s="8">
        <v>5</v>
      </c>
      <c r="AE3" s="8">
        <v>6</v>
      </c>
      <c r="AF3" s="8">
        <v>7</v>
      </c>
      <c r="AG3" s="8">
        <v>8</v>
      </c>
      <c r="AH3" s="8">
        <v>9</v>
      </c>
    </row>
    <row r="4" spans="1:34">
      <c r="A4" s="8">
        <v>2005</v>
      </c>
      <c r="B4" s="9">
        <f>SUM(Triangles!$B3:B3)</f>
        <v>1330</v>
      </c>
      <c r="C4" s="9">
        <f>SUM(Triangles!$B3:C3)</f>
        <v>2184</v>
      </c>
      <c r="D4" s="9">
        <f>SUM(Triangles!$B3:D3)</f>
        <v>2266</v>
      </c>
      <c r="E4" s="9">
        <f>SUM(Triangles!$B3:E3)</f>
        <v>2290</v>
      </c>
      <c r="F4" s="9">
        <f>SUM(Triangles!$B3:F3)</f>
        <v>2294</v>
      </c>
      <c r="G4" s="9">
        <f>SUM(Triangles!$B3:G3)</f>
        <v>2294</v>
      </c>
      <c r="H4" s="9">
        <f>SUM(Triangles!$B3:H3)</f>
        <v>2298</v>
      </c>
      <c r="I4" s="9">
        <f>SUM(Triangles!$B3:I3)</f>
        <v>2298</v>
      </c>
      <c r="J4" s="9">
        <f>SUM(Triangles!$B3:J3)</f>
        <v>2298</v>
      </c>
      <c r="K4" s="9">
        <f>SUM(Triangles!$B3:K3)</f>
        <v>2298</v>
      </c>
      <c r="M4" s="8">
        <v>2005</v>
      </c>
      <c r="N4" s="20"/>
      <c r="O4" s="12">
        <f t="shared" ref="O4:W4" si="1">C4/B4</f>
        <v>1.6421052631578947</v>
      </c>
      <c r="P4" s="12">
        <f t="shared" si="1"/>
        <v>1.0375457875457876</v>
      </c>
      <c r="Q4" s="12">
        <f t="shared" si="1"/>
        <v>1.0105913503971757</v>
      </c>
      <c r="R4" s="13">
        <f t="shared" si="1"/>
        <v>1.0017467248908296</v>
      </c>
      <c r="S4" s="13">
        <f t="shared" si="1"/>
        <v>1</v>
      </c>
      <c r="T4" s="13">
        <f t="shared" si="1"/>
        <v>1.0017436791630341</v>
      </c>
      <c r="U4" s="13">
        <f t="shared" si="1"/>
        <v>1</v>
      </c>
      <c r="V4" s="13">
        <f t="shared" si="1"/>
        <v>1</v>
      </c>
      <c r="W4" s="13">
        <f t="shared" si="1"/>
        <v>1</v>
      </c>
      <c r="Y4" s="44" t="s">
        <v>12</v>
      </c>
      <c r="Z4" s="13">
        <f>AVERAGE(O4:O12)</f>
        <v>1.6497016781951301</v>
      </c>
      <c r="AA4" s="13">
        <f t="shared" ref="AA4:AH4" si="2">AVERAGE(P4:P12)</f>
        <v>1.0431323681370095</v>
      </c>
      <c r="AB4" s="13">
        <f t="shared" si="2"/>
        <v>1.0125131915492405</v>
      </c>
      <c r="AC4" s="13">
        <f t="shared" si="2"/>
        <v>1.0031003459925099</v>
      </c>
      <c r="AD4" s="13">
        <f t="shared" si="2"/>
        <v>1.0003060145722766</v>
      </c>
      <c r="AE4" s="13">
        <f t="shared" si="2"/>
        <v>1.0008276109831693</v>
      </c>
      <c r="AF4" s="13">
        <f t="shared" si="2"/>
        <v>1.000193573364305</v>
      </c>
      <c r="AG4" s="13">
        <f t="shared" si="2"/>
        <v>1</v>
      </c>
      <c r="AH4" s="13">
        <f t="shared" si="2"/>
        <v>1</v>
      </c>
    </row>
    <row r="5" spans="1:34">
      <c r="A5" s="8">
        <v>2006</v>
      </c>
      <c r="B5" s="9">
        <f>SUM(Triangles!$B4:B4)</f>
        <v>1330</v>
      </c>
      <c r="C5" s="9">
        <f>SUM(Triangles!$B4:C4)</f>
        <v>2204</v>
      </c>
      <c r="D5" s="9">
        <f>SUM(Triangles!$B4:D4)</f>
        <v>2274</v>
      </c>
      <c r="E5" s="9">
        <f>SUM(Triangles!$B4:E4)</f>
        <v>2300</v>
      </c>
      <c r="F5" s="9">
        <f>SUM(Triangles!$B4:F4)</f>
        <v>2312</v>
      </c>
      <c r="G5" s="9">
        <f>SUM(Triangles!$B4:G4)</f>
        <v>2312</v>
      </c>
      <c r="H5" s="9">
        <f>SUM(Triangles!$B4:H4)</f>
        <v>2312</v>
      </c>
      <c r="I5" s="9">
        <f>SUM(Triangles!$B4:I4)</f>
        <v>2312</v>
      </c>
      <c r="J5" s="9">
        <f>SUM(Triangles!$B4:J4)</f>
        <v>2312</v>
      </c>
      <c r="K5" s="20"/>
      <c r="M5" s="8">
        <v>2006</v>
      </c>
      <c r="N5" s="20"/>
      <c r="O5" s="12">
        <f t="shared" ref="O5:O12" si="3">C5/B5</f>
        <v>1.6571428571428573</v>
      </c>
      <c r="P5" s="12">
        <f t="shared" ref="P5:P11" si="4">D5/C5</f>
        <v>1.0317604355716878</v>
      </c>
      <c r="Q5" s="12">
        <f t="shared" ref="Q5:Q10" si="5">E5/D5</f>
        <v>1.0114335971855761</v>
      </c>
      <c r="R5" s="13">
        <f t="shared" ref="R5:R9" si="6">F5/E5</f>
        <v>1.0052173913043478</v>
      </c>
      <c r="S5" s="13">
        <f t="shared" ref="S5:S8" si="7">G5/F5</f>
        <v>1</v>
      </c>
      <c r="T5" s="13">
        <f t="shared" ref="T5:T7" si="8">H5/G5</f>
        <v>1</v>
      </c>
      <c r="U5" s="13">
        <f t="shared" ref="U5:U6" si="9">I5/H5</f>
        <v>1</v>
      </c>
      <c r="V5" s="13">
        <f>J5/I5</f>
        <v>1</v>
      </c>
      <c r="W5" s="20"/>
      <c r="Y5" s="44" t="s">
        <v>13</v>
      </c>
      <c r="Z5" s="13">
        <f>STDEVP(O4:O12)</f>
        <v>6.2378910579960915E-2</v>
      </c>
      <c r="AA5" s="13">
        <f t="shared" ref="AA5:AH5" si="10">STDEVP(P4:P12)</f>
        <v>8.5227724856619027E-3</v>
      </c>
      <c r="AB5" s="13">
        <f t="shared" si="10"/>
        <v>2.8282385460813965E-3</v>
      </c>
      <c r="AC5" s="13">
        <f t="shared" si="10"/>
        <v>1.7315231116846134E-3</v>
      </c>
      <c r="AD5" s="13">
        <f t="shared" si="10"/>
        <v>2.5317748231284813E-4</v>
      </c>
      <c r="AE5" s="13">
        <f t="shared" si="10"/>
        <v>6.3440993952990521E-4</v>
      </c>
      <c r="AF5" s="13">
        <f t="shared" si="10"/>
        <v>2.7375407711447032E-4</v>
      </c>
      <c r="AG5" s="13">
        <f t="shared" si="10"/>
        <v>0</v>
      </c>
      <c r="AH5" s="13">
        <f t="shared" si="10"/>
        <v>0</v>
      </c>
    </row>
    <row r="6" spans="1:34">
      <c r="A6" s="8">
        <v>2007</v>
      </c>
      <c r="B6" s="9">
        <f>SUM(Triangles!$B5:B5)</f>
        <v>1786</v>
      </c>
      <c r="C6" s="9">
        <f>SUM(Triangles!$B5:C5)</f>
        <v>3196</v>
      </c>
      <c r="D6" s="9">
        <f>SUM(Triangles!$B5:D5)</f>
        <v>3358</v>
      </c>
      <c r="E6" s="9">
        <f>SUM(Triangles!$B5:E5)</f>
        <v>3420</v>
      </c>
      <c r="F6" s="9">
        <f>SUM(Triangles!$B5:F5)</f>
        <v>3440</v>
      </c>
      <c r="G6" s="9">
        <f>SUM(Triangles!$B5:G5)</f>
        <v>3442</v>
      </c>
      <c r="H6" s="9">
        <f>SUM(Triangles!$B5:H5)</f>
        <v>3444</v>
      </c>
      <c r="I6" s="9">
        <f>SUM(Triangles!$B5:I5)</f>
        <v>3446</v>
      </c>
      <c r="J6" s="20"/>
      <c r="K6" s="20"/>
      <c r="M6" s="8">
        <v>2007</v>
      </c>
      <c r="N6" s="20"/>
      <c r="O6" s="12">
        <f t="shared" si="3"/>
        <v>1.7894736842105263</v>
      </c>
      <c r="P6" s="12">
        <f t="shared" si="4"/>
        <v>1.0506883604505632</v>
      </c>
      <c r="Q6" s="12">
        <f t="shared" si="5"/>
        <v>1.0184633710541988</v>
      </c>
      <c r="R6" s="13">
        <f t="shared" si="6"/>
        <v>1.0058479532163742</v>
      </c>
      <c r="S6" s="13">
        <f t="shared" si="7"/>
        <v>1.0005813953488372</v>
      </c>
      <c r="T6" s="13">
        <f t="shared" si="8"/>
        <v>1.000581057524695</v>
      </c>
      <c r="U6" s="13">
        <f t="shared" si="9"/>
        <v>1.0005807200929153</v>
      </c>
      <c r="V6" s="20"/>
      <c r="W6" s="20"/>
      <c r="Y6" s="44" t="s">
        <v>14</v>
      </c>
      <c r="Z6" s="13">
        <f>Z5/Z4</f>
        <v>3.7812236845274405E-2</v>
      </c>
      <c r="AA6" s="13">
        <f t="shared" ref="AA6:AH6" si="11">AA5/AA4</f>
        <v>8.1703652824839622E-3</v>
      </c>
      <c r="AB6" s="13">
        <f t="shared" si="11"/>
        <v>2.7932856279669063E-3</v>
      </c>
      <c r="AC6" s="13">
        <f t="shared" si="11"/>
        <v>1.7261713831544653E-3</v>
      </c>
      <c r="AD6" s="13">
        <f t="shared" si="11"/>
        <v>2.5310003001541976E-4</v>
      </c>
      <c r="AE6" s="13">
        <f t="shared" si="11"/>
        <v>6.3388532906949739E-4</v>
      </c>
      <c r="AF6" s="13">
        <f t="shared" si="11"/>
        <v>2.7370109587252829E-4</v>
      </c>
      <c r="AG6" s="13">
        <f t="shared" si="11"/>
        <v>0</v>
      </c>
      <c r="AH6" s="13">
        <f t="shared" si="11"/>
        <v>0</v>
      </c>
    </row>
    <row r="7" spans="1:34">
      <c r="A7" s="8">
        <v>2008</v>
      </c>
      <c r="B7" s="9">
        <f>SUM(Triangles!$B6:B6)</f>
        <v>2278</v>
      </c>
      <c r="C7" s="9">
        <f>SUM(Triangles!$B6:C6)</f>
        <v>3834</v>
      </c>
      <c r="D7" s="9">
        <f>SUM(Triangles!$B6:D6)</f>
        <v>4002</v>
      </c>
      <c r="E7" s="9">
        <f>SUM(Triangles!$B6:E6)</f>
        <v>4048</v>
      </c>
      <c r="F7" s="9">
        <f>SUM(Triangles!$B6:F6)</f>
        <v>4056</v>
      </c>
      <c r="G7" s="9">
        <f>SUM(Triangles!$B6:G6)</f>
        <v>4058</v>
      </c>
      <c r="H7" s="9">
        <f>SUM(Triangles!$B6:H6)</f>
        <v>4062</v>
      </c>
      <c r="I7" s="20"/>
      <c r="J7" s="20"/>
      <c r="K7" s="20"/>
      <c r="M7" s="8">
        <v>2008</v>
      </c>
      <c r="N7" s="20"/>
      <c r="O7" s="12">
        <f t="shared" si="3"/>
        <v>1.6830553116769096</v>
      </c>
      <c r="P7" s="12">
        <f t="shared" si="4"/>
        <v>1.0438184663536776</v>
      </c>
      <c r="Q7" s="12">
        <f t="shared" si="5"/>
        <v>1.0114942528735633</v>
      </c>
      <c r="R7" s="13">
        <f t="shared" si="6"/>
        <v>1.0019762845849802</v>
      </c>
      <c r="S7" s="13">
        <f t="shared" si="7"/>
        <v>1.0004930966469427</v>
      </c>
      <c r="T7" s="13">
        <f t="shared" si="8"/>
        <v>1.0009857072449482</v>
      </c>
      <c r="U7" s="20"/>
      <c r="V7" s="20"/>
      <c r="W7" s="20"/>
      <c r="Y7" s="44" t="s">
        <v>15</v>
      </c>
      <c r="Z7" s="13">
        <f t="shared" ref="Z7:AH7" si="12">Z4-Z5</f>
        <v>1.5873227676151693</v>
      </c>
      <c r="AA7" s="13">
        <f t="shared" si="12"/>
        <v>1.0346095956513477</v>
      </c>
      <c r="AB7" s="13">
        <f t="shared" si="12"/>
        <v>1.0096849530031591</v>
      </c>
      <c r="AC7" s="13">
        <f t="shared" si="12"/>
        <v>1.0013688228808253</v>
      </c>
      <c r="AD7" s="13">
        <f t="shared" si="12"/>
        <v>1.0000528370899637</v>
      </c>
      <c r="AE7" s="13">
        <f t="shared" si="12"/>
        <v>1.0001932010436394</v>
      </c>
      <c r="AF7" s="13">
        <f t="shared" si="12"/>
        <v>0.99991981928719054</v>
      </c>
      <c r="AG7" s="13">
        <f t="shared" si="12"/>
        <v>1</v>
      </c>
      <c r="AH7" s="13">
        <f t="shared" si="12"/>
        <v>1</v>
      </c>
    </row>
    <row r="8" spans="1:34">
      <c r="A8" s="8">
        <v>2009</v>
      </c>
      <c r="B8" s="9">
        <f>SUM(Triangles!$B7:B7)</f>
        <v>2568</v>
      </c>
      <c r="C8" s="9">
        <f>SUM(Triangles!$B7:C7)</f>
        <v>4150</v>
      </c>
      <c r="D8" s="9">
        <f>SUM(Triangles!$B7:D7)</f>
        <v>4328</v>
      </c>
      <c r="E8" s="9">
        <f>SUM(Triangles!$B7:E7)</f>
        <v>4382</v>
      </c>
      <c r="F8" s="9">
        <f>SUM(Triangles!$B7:F7)</f>
        <v>4390</v>
      </c>
      <c r="G8" s="9">
        <f>SUM(Triangles!$B7:G7)</f>
        <v>4392</v>
      </c>
      <c r="H8" s="20"/>
      <c r="I8" s="20"/>
      <c r="J8" s="20"/>
      <c r="K8" s="20"/>
      <c r="M8" s="8">
        <v>2009</v>
      </c>
      <c r="N8" s="20"/>
      <c r="O8" s="12">
        <f t="shared" si="3"/>
        <v>1.6160436137071652</v>
      </c>
      <c r="P8" s="12">
        <f t="shared" si="4"/>
        <v>1.0428915662650602</v>
      </c>
      <c r="Q8" s="12">
        <f t="shared" si="5"/>
        <v>1.0124768946395564</v>
      </c>
      <c r="R8" s="13">
        <f t="shared" si="6"/>
        <v>1.0018256503879508</v>
      </c>
      <c r="S8" s="13">
        <f t="shared" si="7"/>
        <v>1.0004555808656037</v>
      </c>
      <c r="T8" s="20"/>
      <c r="U8" s="20"/>
      <c r="V8" s="20"/>
      <c r="W8" s="20"/>
      <c r="Y8" s="44" t="s">
        <v>16</v>
      </c>
      <c r="Z8" s="13">
        <f t="shared" ref="Z8:AH8" si="13">Z4+Z5</f>
        <v>1.712080588775091</v>
      </c>
      <c r="AA8" s="13">
        <f t="shared" si="13"/>
        <v>1.0516551406226713</v>
      </c>
      <c r="AB8" s="13">
        <f t="shared" si="13"/>
        <v>1.0153414300953219</v>
      </c>
      <c r="AC8" s="13">
        <f t="shared" si="13"/>
        <v>1.0048318691041944</v>
      </c>
      <c r="AD8" s="13">
        <f t="shared" si="13"/>
        <v>1.0005591920545895</v>
      </c>
      <c r="AE8" s="13">
        <f t="shared" si="13"/>
        <v>1.0014620209226992</v>
      </c>
      <c r="AF8" s="13">
        <f t="shared" si="13"/>
        <v>1.0004673274414195</v>
      </c>
      <c r="AG8" s="13">
        <f t="shared" si="13"/>
        <v>1</v>
      </c>
      <c r="AH8" s="13">
        <f t="shared" si="13"/>
        <v>1</v>
      </c>
    </row>
    <row r="9" spans="1:34">
      <c r="A9" s="8">
        <v>2010</v>
      </c>
      <c r="B9" s="9">
        <f>SUM(Triangles!$B8:B8)</f>
        <v>2380</v>
      </c>
      <c r="C9" s="9">
        <f>SUM(Triangles!$B8:C8)</f>
        <v>3864</v>
      </c>
      <c r="D9" s="9">
        <f>SUM(Triangles!$B8:D8)</f>
        <v>3988</v>
      </c>
      <c r="E9" s="9">
        <f>SUM(Triangles!$B8:E8)</f>
        <v>4024</v>
      </c>
      <c r="F9" s="9">
        <f>SUM(Triangles!$B8:F8)</f>
        <v>4032</v>
      </c>
      <c r="G9" s="20"/>
      <c r="H9" s="20"/>
      <c r="I9" s="20"/>
      <c r="J9" s="20"/>
      <c r="K9" s="20"/>
      <c r="M9" s="8">
        <v>2010</v>
      </c>
      <c r="N9" s="20"/>
      <c r="O9" s="12">
        <f t="shared" si="3"/>
        <v>1.6235294117647059</v>
      </c>
      <c r="P9" s="12">
        <f t="shared" si="4"/>
        <v>1.0320910973084887</v>
      </c>
      <c r="Q9" s="12">
        <f t="shared" si="5"/>
        <v>1.0090270812437312</v>
      </c>
      <c r="R9" s="13">
        <f t="shared" si="6"/>
        <v>1.0019880715705765</v>
      </c>
      <c r="S9" s="20"/>
      <c r="T9" s="20"/>
      <c r="U9" s="20"/>
      <c r="V9" s="20"/>
      <c r="W9" s="20"/>
    </row>
    <row r="10" spans="1:34">
      <c r="A10" s="8">
        <v>2011</v>
      </c>
      <c r="B10" s="9">
        <f>SUM(Triangles!$B9:B9)</f>
        <v>2424</v>
      </c>
      <c r="C10" s="9">
        <f>SUM(Triangles!$B9:C9)</f>
        <v>3786</v>
      </c>
      <c r="D10" s="9">
        <f>SUM(Triangles!$B9:D9)</f>
        <v>3970</v>
      </c>
      <c r="E10" s="9">
        <f>SUM(Triangles!$B9:E9)</f>
        <v>4026</v>
      </c>
      <c r="F10" s="20"/>
      <c r="G10" s="20"/>
      <c r="H10" s="20"/>
      <c r="I10" s="20"/>
      <c r="J10" s="20"/>
      <c r="K10" s="20"/>
      <c r="M10" s="8">
        <v>2011</v>
      </c>
      <c r="N10" s="20"/>
      <c r="O10" s="12">
        <f t="shared" si="3"/>
        <v>1.5618811881188119</v>
      </c>
      <c r="P10" s="12">
        <f t="shared" si="4"/>
        <v>1.0486001056524037</v>
      </c>
      <c r="Q10" s="12">
        <f t="shared" si="5"/>
        <v>1.0141057934508817</v>
      </c>
      <c r="R10" s="20"/>
      <c r="S10" s="20"/>
      <c r="T10" s="20"/>
      <c r="U10" s="20"/>
      <c r="V10" s="20"/>
      <c r="W10" s="20"/>
    </row>
    <row r="11" spans="1:34">
      <c r="A11" s="8">
        <v>2012</v>
      </c>
      <c r="B11" s="9">
        <f>SUM(Triangles!$B10:B10)</f>
        <v>2348</v>
      </c>
      <c r="C11" s="9">
        <f>SUM(Triangles!$B10:C10)</f>
        <v>3954</v>
      </c>
      <c r="D11" s="9">
        <f>SUM(Triangles!$B10:D10)</f>
        <v>4182</v>
      </c>
      <c r="E11" s="20"/>
      <c r="F11" s="20"/>
      <c r="G11" s="20"/>
      <c r="H11" s="20"/>
      <c r="I11" s="20"/>
      <c r="J11" s="20"/>
      <c r="K11" s="20"/>
      <c r="M11" s="8">
        <v>2012</v>
      </c>
      <c r="N11" s="20"/>
      <c r="O11" s="12">
        <f t="shared" si="3"/>
        <v>1.6839863713798977</v>
      </c>
      <c r="P11" s="12">
        <f t="shared" si="4"/>
        <v>1.0576631259484066</v>
      </c>
      <c r="Q11" s="20"/>
      <c r="R11" s="20"/>
      <c r="S11" s="20"/>
      <c r="T11" s="20"/>
      <c r="U11" s="20"/>
      <c r="V11" s="20"/>
      <c r="W11" s="20"/>
    </row>
    <row r="12" spans="1:34">
      <c r="A12" s="8">
        <v>2013</v>
      </c>
      <c r="B12" s="9">
        <f>SUM(Triangles!$B11:B11)</f>
        <v>2464</v>
      </c>
      <c r="C12" s="9">
        <f>SUM(Triangles!$B11:C11)</f>
        <v>3918</v>
      </c>
      <c r="D12" s="20"/>
      <c r="E12" s="20"/>
      <c r="F12" s="20"/>
      <c r="G12" s="20"/>
      <c r="H12" s="20"/>
      <c r="I12" s="20"/>
      <c r="J12" s="20"/>
      <c r="K12" s="20"/>
      <c r="M12" s="8">
        <v>2013</v>
      </c>
      <c r="N12" s="20"/>
      <c r="O12" s="12">
        <f t="shared" si="3"/>
        <v>1.5900974025974026</v>
      </c>
      <c r="P12" s="20"/>
      <c r="Q12" s="20"/>
      <c r="R12" s="20"/>
      <c r="S12" s="20"/>
      <c r="T12" s="20"/>
      <c r="U12" s="20"/>
      <c r="V12" s="20"/>
      <c r="W12" s="20"/>
    </row>
    <row r="13" spans="1:34">
      <c r="A13" s="8">
        <v>2014</v>
      </c>
      <c r="B13" s="9">
        <f>SUM(Triangles!$B12:B12)</f>
        <v>1984</v>
      </c>
      <c r="C13" s="20"/>
      <c r="D13" s="20"/>
      <c r="E13" s="20"/>
      <c r="F13" s="20"/>
      <c r="G13" s="20"/>
      <c r="H13" s="20"/>
      <c r="I13" s="20"/>
      <c r="J13" s="20"/>
      <c r="K13" s="20"/>
      <c r="M13" s="8">
        <v>2014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5" spans="1:34">
      <c r="A15" s="48" t="s">
        <v>2</v>
      </c>
      <c r="B15" s="48"/>
      <c r="C15" s="48"/>
      <c r="D15" s="48"/>
      <c r="E15" s="48"/>
      <c r="F15" s="5"/>
      <c r="G15" s="5"/>
      <c r="H15" s="5"/>
      <c r="I15" s="5"/>
      <c r="J15" s="5"/>
      <c r="K15" s="5"/>
      <c r="M15" s="49" t="s">
        <v>9</v>
      </c>
      <c r="N15" s="49"/>
      <c r="O15" s="49"/>
      <c r="P15" s="49"/>
      <c r="Q15" s="49"/>
      <c r="R15" s="1"/>
      <c r="S15" s="1"/>
      <c r="T15" s="1"/>
      <c r="U15" s="1"/>
      <c r="V15" s="1"/>
      <c r="W15" s="1"/>
      <c r="Y15" s="50" t="s">
        <v>10</v>
      </c>
      <c r="Z15" s="51"/>
      <c r="AA15" s="51"/>
      <c r="AB15" s="51"/>
      <c r="AC15" s="51"/>
      <c r="AD15" s="1"/>
      <c r="AE15" s="1"/>
      <c r="AF15" s="1"/>
      <c r="AG15" s="1"/>
      <c r="AH15" s="1"/>
    </row>
    <row r="16" spans="1:34">
      <c r="A16" s="8" t="s">
        <v>3</v>
      </c>
      <c r="B16" s="8">
        <f t="shared" ref="B16:K16" si="14">B3</f>
        <v>1</v>
      </c>
      <c r="C16" s="8">
        <f t="shared" si="14"/>
        <v>2</v>
      </c>
      <c r="D16" s="8">
        <f t="shared" si="14"/>
        <v>3</v>
      </c>
      <c r="E16" s="8">
        <f t="shared" si="14"/>
        <v>4</v>
      </c>
      <c r="F16" s="8">
        <f t="shared" si="14"/>
        <v>5</v>
      </c>
      <c r="G16" s="8">
        <f t="shared" si="14"/>
        <v>6</v>
      </c>
      <c r="H16" s="8">
        <f t="shared" si="14"/>
        <v>7</v>
      </c>
      <c r="I16" s="8">
        <f t="shared" si="14"/>
        <v>8</v>
      </c>
      <c r="J16" s="8">
        <f t="shared" si="14"/>
        <v>9</v>
      </c>
      <c r="K16" s="8">
        <f t="shared" si="14"/>
        <v>10</v>
      </c>
      <c r="M16" s="8" t="s">
        <v>1</v>
      </c>
      <c r="N16" s="8">
        <f t="shared" ref="N16:W16" si="15">B16</f>
        <v>1</v>
      </c>
      <c r="O16" s="8">
        <f t="shared" si="15"/>
        <v>2</v>
      </c>
      <c r="P16" s="8">
        <f t="shared" si="15"/>
        <v>3</v>
      </c>
      <c r="Q16" s="8">
        <f t="shared" si="15"/>
        <v>4</v>
      </c>
      <c r="R16" s="8">
        <f t="shared" si="15"/>
        <v>5</v>
      </c>
      <c r="S16" s="8">
        <f t="shared" si="15"/>
        <v>6</v>
      </c>
      <c r="T16" s="8">
        <f t="shared" si="15"/>
        <v>7</v>
      </c>
      <c r="U16" s="8">
        <f t="shared" si="15"/>
        <v>8</v>
      </c>
      <c r="V16" s="8">
        <f t="shared" si="15"/>
        <v>9</v>
      </c>
      <c r="W16" s="8">
        <f t="shared" si="15"/>
        <v>10</v>
      </c>
      <c r="Y16" s="8" t="s">
        <v>11</v>
      </c>
      <c r="Z16" s="8">
        <v>1</v>
      </c>
      <c r="AA16" s="8">
        <v>2</v>
      </c>
      <c r="AB16" s="8">
        <v>3</v>
      </c>
      <c r="AC16" s="8">
        <v>4</v>
      </c>
      <c r="AD16" s="8">
        <v>5</v>
      </c>
      <c r="AE16" s="8">
        <v>6</v>
      </c>
      <c r="AF16" s="8">
        <v>7</v>
      </c>
      <c r="AG16" s="8">
        <v>8</v>
      </c>
      <c r="AH16" s="8">
        <v>9</v>
      </c>
    </row>
    <row r="17" spans="1:34">
      <c r="A17" s="8">
        <v>2005</v>
      </c>
      <c r="B17" s="10">
        <f>SUM(Triangles!$B16:B16)</f>
        <v>1171960.0660000001</v>
      </c>
      <c r="C17" s="10">
        <f>SUM(Triangles!$B16:C16)</f>
        <v>7776413.6119999997</v>
      </c>
      <c r="D17" s="10">
        <f>SUM(Triangles!$B16:D16)</f>
        <v>15024264.767999999</v>
      </c>
      <c r="E17" s="10">
        <f>SUM(Triangles!$B16:E16)</f>
        <v>19500271.280000001</v>
      </c>
      <c r="F17" s="10">
        <f>SUM(Triangles!$B16:F16)</f>
        <v>21640625.112</v>
      </c>
      <c r="G17" s="10">
        <f>SUM(Triangles!$B16:G16)</f>
        <v>22956126.085999999</v>
      </c>
      <c r="H17" s="10">
        <f>SUM(Triangles!$B16:H16)</f>
        <v>24456860.813999999</v>
      </c>
      <c r="I17" s="10">
        <f>SUM(Triangles!$B16:I16)</f>
        <v>24952133.031999998</v>
      </c>
      <c r="J17" s="10">
        <f>SUM(Triangles!$B16:J16)</f>
        <v>25216675.261999998</v>
      </c>
      <c r="K17" s="10">
        <f>SUM(Triangles!$B16:K16)</f>
        <v>25308067.687999997</v>
      </c>
      <c r="M17" s="8">
        <v>2005</v>
      </c>
      <c r="N17" s="20"/>
      <c r="O17" s="12">
        <f t="shared" ref="O17:W17" si="16">C17/B17</f>
        <v>6.6353912881533281</v>
      </c>
      <c r="P17" s="12">
        <f t="shared" si="16"/>
        <v>1.9320300485066328</v>
      </c>
      <c r="Q17" s="12">
        <f t="shared" si="16"/>
        <v>1.2979185059047544</v>
      </c>
      <c r="R17" s="13">
        <f t="shared" si="16"/>
        <v>1.1097602080128599</v>
      </c>
      <c r="S17" s="13">
        <f t="shared" si="16"/>
        <v>1.0607884923467639</v>
      </c>
      <c r="T17" s="13">
        <f t="shared" si="16"/>
        <v>1.0653740410022943</v>
      </c>
      <c r="U17" s="13">
        <f t="shared" si="16"/>
        <v>1.0202508499257799</v>
      </c>
      <c r="V17" s="13">
        <f t="shared" si="16"/>
        <v>1.0106019886019659</v>
      </c>
      <c r="W17" s="13">
        <f t="shared" si="16"/>
        <v>1.0036242853211392</v>
      </c>
      <c r="Y17" s="44" t="s">
        <v>12</v>
      </c>
      <c r="Z17" s="13">
        <f t="shared" ref="Z17:AH17" si="17">AVERAGE(O17:O25)</f>
        <v>6.8076233313951793</v>
      </c>
      <c r="AA17" s="13">
        <f t="shared" si="17"/>
        <v>2.3160844558019535</v>
      </c>
      <c r="AB17" s="13">
        <f t="shared" si="17"/>
        <v>1.3794452554620744</v>
      </c>
      <c r="AC17" s="13">
        <f t="shared" si="17"/>
        <v>1.1374696955385675</v>
      </c>
      <c r="AD17" s="13">
        <f t="shared" si="17"/>
        <v>1.0752538957932389</v>
      </c>
      <c r="AE17" s="13">
        <f t="shared" si="17"/>
        <v>1.0485102075317858</v>
      </c>
      <c r="AF17" s="13">
        <f t="shared" si="17"/>
        <v>1.0217485576867757</v>
      </c>
      <c r="AG17" s="13">
        <f t="shared" si="17"/>
        <v>1.0123058230080457</v>
      </c>
      <c r="AH17" s="13">
        <f t="shared" si="17"/>
        <v>1.0036242853211392</v>
      </c>
    </row>
    <row r="18" spans="1:34">
      <c r="A18" s="8">
        <v>2006</v>
      </c>
      <c r="B18" s="10">
        <f>SUM(Triangles!$B17:B17)</f>
        <v>803251.19200000004</v>
      </c>
      <c r="C18" s="10">
        <f>SUM(Triangles!$B17:C17)</f>
        <v>4740184.5659999996</v>
      </c>
      <c r="D18" s="10">
        <f>SUM(Triangles!$B17:D17)</f>
        <v>11956646.263999999</v>
      </c>
      <c r="E18" s="10">
        <f>SUM(Triangles!$B17:E17)</f>
        <v>17455254.717999998</v>
      </c>
      <c r="F18" s="10">
        <f>SUM(Triangles!$B17:F17)</f>
        <v>19531787.939999998</v>
      </c>
      <c r="G18" s="10">
        <f>SUM(Triangles!$B17:G17)</f>
        <v>22307150.511999998</v>
      </c>
      <c r="H18" s="10">
        <f>SUM(Triangles!$B17:H17)</f>
        <v>23056920.825999998</v>
      </c>
      <c r="I18" s="10">
        <f>SUM(Triangles!$B17:I17)</f>
        <v>23405397.455999997</v>
      </c>
      <c r="J18" s="10">
        <f>SUM(Triangles!$B17:J17)</f>
        <v>23733299.055999998</v>
      </c>
      <c r="K18" s="16"/>
      <c r="M18" s="8">
        <v>2006</v>
      </c>
      <c r="N18" s="20"/>
      <c r="O18" s="12">
        <f t="shared" ref="O18:O25" si="18">C18/B18</f>
        <v>5.9012480942574177</v>
      </c>
      <c r="P18" s="12">
        <f t="shared" ref="P18:P24" si="19">D18/C18</f>
        <v>2.5224009946282755</v>
      </c>
      <c r="Q18" s="12">
        <f t="shared" ref="Q18:Q23" si="20">E18/D18</f>
        <v>1.4598788266033795</v>
      </c>
      <c r="R18" s="13">
        <f t="shared" ref="R18:R22" si="21">F18/E18</f>
        <v>1.118963215120468</v>
      </c>
      <c r="S18" s="13">
        <f t="shared" ref="S18:S21" si="22">G18/F18</f>
        <v>1.1420946500405227</v>
      </c>
      <c r="T18" s="13">
        <f t="shared" ref="T18:T20" si="23">H18/G18</f>
        <v>1.03361120971487</v>
      </c>
      <c r="U18" s="13">
        <f t="shared" ref="U18:U19" si="24">I18/H18</f>
        <v>1.0151137540276862</v>
      </c>
      <c r="V18" s="13">
        <f>J18/I18</f>
        <v>1.0140096574141253</v>
      </c>
      <c r="W18" s="20"/>
      <c r="Y18" s="44" t="s">
        <v>13</v>
      </c>
      <c r="Z18" s="13">
        <f>STDEVP(O17:O25)</f>
        <v>1.8868591330227431</v>
      </c>
      <c r="AA18" s="13">
        <f>STDEVP(P17:P25)</f>
        <v>0.45008778583488751</v>
      </c>
      <c r="AB18" s="13">
        <f>STDEVP(Q17:Q25)</f>
        <v>0.10935672903549834</v>
      </c>
      <c r="AC18" s="13">
        <f t="shared" ref="AC18:AH18" si="25">STDEVP(R17:R25)</f>
        <v>3.2717760441923718E-2</v>
      </c>
      <c r="AD18" s="13">
        <f t="shared" si="25"/>
        <v>3.6493347085477912E-2</v>
      </c>
      <c r="AE18" s="13">
        <f t="shared" si="25"/>
        <v>1.9971196350668866E-2</v>
      </c>
      <c r="AF18" s="13">
        <f t="shared" si="25"/>
        <v>6.1210426707067507E-3</v>
      </c>
      <c r="AG18" s="13">
        <f t="shared" si="25"/>
        <v>1.7038344060796851E-3</v>
      </c>
      <c r="AH18" s="13">
        <f t="shared" si="25"/>
        <v>0</v>
      </c>
    </row>
    <row r="19" spans="1:34">
      <c r="A19" s="8">
        <v>2007</v>
      </c>
      <c r="B19" s="10">
        <f>SUM(Triangles!$B18:B18)</f>
        <v>360204.7</v>
      </c>
      <c r="C19" s="10">
        <f>SUM(Triangles!$B18:C18)</f>
        <v>3665206.318</v>
      </c>
      <c r="D19" s="10">
        <f>SUM(Triangles!$B18:D18)</f>
        <v>11620130.872</v>
      </c>
      <c r="E19" s="10">
        <f>SUM(Triangles!$B18:E18)</f>
        <v>16741518.066</v>
      </c>
      <c r="F19" s="10">
        <f>SUM(Triangles!$B18:F18)</f>
        <v>19876326.100000001</v>
      </c>
      <c r="G19" s="10">
        <f>SUM(Triangles!$B18:G18)</f>
        <v>21528555.460000001</v>
      </c>
      <c r="H19" s="10">
        <f>SUM(Triangles!$B18:H18)</f>
        <v>23053679.222000003</v>
      </c>
      <c r="I19" s="10">
        <f>SUM(Triangles!$B18:I18)</f>
        <v>23742547.804000001</v>
      </c>
      <c r="J19" s="16"/>
      <c r="K19" s="16"/>
      <c r="M19" s="8">
        <v>2007</v>
      </c>
      <c r="N19" s="20"/>
      <c r="O19" s="12">
        <f t="shared" si="18"/>
        <v>10.175342848108311</v>
      </c>
      <c r="P19" s="12">
        <f t="shared" si="19"/>
        <v>3.1703892943032952</v>
      </c>
      <c r="Q19" s="12">
        <f t="shared" si="20"/>
        <v>1.4407340373713478</v>
      </c>
      <c r="R19" s="13">
        <f t="shared" si="21"/>
        <v>1.1872475376272131</v>
      </c>
      <c r="S19" s="13">
        <f t="shared" si="22"/>
        <v>1.0831254906810972</v>
      </c>
      <c r="T19" s="13">
        <f t="shared" si="23"/>
        <v>1.0708418994871105</v>
      </c>
      <c r="U19" s="13">
        <f t="shared" si="24"/>
        <v>1.0298810691068614</v>
      </c>
      <c r="V19" s="20"/>
      <c r="W19" s="20"/>
      <c r="Y19" s="44" t="s">
        <v>14</v>
      </c>
      <c r="Z19" s="13">
        <f t="shared" ref="Z19:AH19" si="26">Z18/Z17</f>
        <v>0.27716855665632772</v>
      </c>
      <c r="AA19" s="13">
        <f t="shared" si="26"/>
        <v>0.19433133567620392</v>
      </c>
      <c r="AB19" s="13">
        <f t="shared" si="26"/>
        <v>7.9275874560797252E-2</v>
      </c>
      <c r="AC19" s="13">
        <f t="shared" si="26"/>
        <v>2.8763632622698192E-2</v>
      </c>
      <c r="AD19" s="13">
        <f t="shared" si="26"/>
        <v>3.393928376195833E-2</v>
      </c>
      <c r="AE19" s="13">
        <f t="shared" si="26"/>
        <v>1.9047212137000998E-2</v>
      </c>
      <c r="AF19" s="13">
        <f t="shared" si="26"/>
        <v>5.9907524455573534E-3</v>
      </c>
      <c r="AG19" s="13">
        <f t="shared" si="26"/>
        <v>1.6831222021590042E-3</v>
      </c>
      <c r="AH19" s="13">
        <f t="shared" si="26"/>
        <v>0</v>
      </c>
    </row>
    <row r="20" spans="1:34">
      <c r="A20" s="8">
        <v>2008</v>
      </c>
      <c r="B20" s="10">
        <f>SUM(Triangles!$B19:B19)</f>
        <v>639280.69799999997</v>
      </c>
      <c r="C20" s="10">
        <f>SUM(Triangles!$B19:C19)</f>
        <v>5758227.0939999996</v>
      </c>
      <c r="D20" s="10">
        <f>SUM(Triangles!$B19:D19)</f>
        <v>14704134.177999999</v>
      </c>
      <c r="E20" s="10">
        <f>SUM(Triangles!$B19:E19)</f>
        <v>23169110.030000001</v>
      </c>
      <c r="F20" s="10">
        <f>SUM(Triangles!$B19:F19)</f>
        <v>27310135.616</v>
      </c>
      <c r="G20" s="10">
        <f>SUM(Triangles!$B19:G19)</f>
        <v>28740608.127999999</v>
      </c>
      <c r="H20" s="10">
        <f>SUM(Triangles!$B19:H19)</f>
        <v>29436524.013999999</v>
      </c>
      <c r="I20" s="16"/>
      <c r="J20" s="16"/>
      <c r="K20" s="16"/>
      <c r="M20" s="8">
        <v>2008</v>
      </c>
      <c r="N20" s="20"/>
      <c r="O20" s="12">
        <f t="shared" si="18"/>
        <v>9.0073532831738952</v>
      </c>
      <c r="P20" s="12">
        <f t="shared" si="19"/>
        <v>2.5535870569122783</v>
      </c>
      <c r="Q20" s="12">
        <f t="shared" si="20"/>
        <v>1.5756867932193594</v>
      </c>
      <c r="R20" s="13">
        <f t="shared" si="21"/>
        <v>1.1787304553622511</v>
      </c>
      <c r="S20" s="13">
        <f t="shared" si="22"/>
        <v>1.0523788139360954</v>
      </c>
      <c r="T20" s="13">
        <f t="shared" si="23"/>
        <v>1.0242136799228689</v>
      </c>
      <c r="U20" s="20"/>
      <c r="V20" s="20"/>
      <c r="W20" s="20"/>
      <c r="Y20" s="44" t="s">
        <v>15</v>
      </c>
      <c r="Z20" s="13">
        <f t="shared" ref="Z20:AH20" si="27">Z17-Z18</f>
        <v>4.9207641983724359</v>
      </c>
      <c r="AA20" s="13">
        <f t="shared" si="27"/>
        <v>1.865996669967066</v>
      </c>
      <c r="AB20" s="13">
        <f t="shared" si="27"/>
        <v>1.270088526426576</v>
      </c>
      <c r="AC20" s="13">
        <f t="shared" si="27"/>
        <v>1.1047519350966437</v>
      </c>
      <c r="AD20" s="13">
        <f t="shared" si="27"/>
        <v>1.0387605487077609</v>
      </c>
      <c r="AE20" s="13">
        <f t="shared" si="27"/>
        <v>1.028539011181117</v>
      </c>
      <c r="AF20" s="13">
        <f t="shared" si="27"/>
        <v>1.015627515016069</v>
      </c>
      <c r="AG20" s="13">
        <f t="shared" si="27"/>
        <v>1.0106019886019659</v>
      </c>
      <c r="AH20" s="13">
        <f t="shared" si="27"/>
        <v>1.0036242853211392</v>
      </c>
    </row>
    <row r="21" spans="1:34">
      <c r="A21" s="8">
        <v>2009</v>
      </c>
      <c r="B21" s="10">
        <f>SUM(Triangles!$B20:B20)</f>
        <v>1345321.16</v>
      </c>
      <c r="C21" s="10">
        <f>SUM(Triangles!$B20:C20)</f>
        <v>8725809.6979999989</v>
      </c>
      <c r="D21" s="10">
        <f>SUM(Triangles!$B20:D20)</f>
        <v>22432160.939999998</v>
      </c>
      <c r="E21" s="10">
        <f>SUM(Triangles!$B20:E20)</f>
        <v>30476080.741999999</v>
      </c>
      <c r="F21" s="10">
        <f>SUM(Triangles!$B20:F20)</f>
        <v>33739193.75</v>
      </c>
      <c r="G21" s="10">
        <f>SUM(Triangles!$B20:G20)</f>
        <v>35017302.965999998</v>
      </c>
      <c r="H21" s="16"/>
      <c r="I21" s="16"/>
      <c r="J21" s="16"/>
      <c r="K21" s="16"/>
      <c r="M21" s="8">
        <v>2009</v>
      </c>
      <c r="N21" s="20"/>
      <c r="O21" s="12">
        <f t="shared" si="18"/>
        <v>6.486042112055979</v>
      </c>
      <c r="P21" s="12">
        <f t="shared" si="19"/>
        <v>2.5707827372331495</v>
      </c>
      <c r="Q21" s="12">
        <f t="shared" si="20"/>
        <v>1.3585887165982504</v>
      </c>
      <c r="R21" s="13">
        <f t="shared" si="21"/>
        <v>1.1070712811015428</v>
      </c>
      <c r="S21" s="13">
        <f t="shared" si="22"/>
        <v>1.037882031961715</v>
      </c>
      <c r="T21" s="20"/>
      <c r="U21" s="20"/>
      <c r="V21" s="20"/>
      <c r="W21" s="20"/>
      <c r="Y21" s="44" t="s">
        <v>16</v>
      </c>
      <c r="Z21" s="13">
        <f t="shared" ref="Z21:AH21" si="28">Z17+Z18</f>
        <v>8.6944824644179217</v>
      </c>
      <c r="AA21" s="13">
        <f t="shared" si="28"/>
        <v>2.7661722416368413</v>
      </c>
      <c r="AB21" s="13">
        <f t="shared" si="28"/>
        <v>1.4888019844975728</v>
      </c>
      <c r="AC21" s="13">
        <f t="shared" si="28"/>
        <v>1.1701874559804912</v>
      </c>
      <c r="AD21" s="13">
        <f t="shared" si="28"/>
        <v>1.111747242878717</v>
      </c>
      <c r="AE21" s="13">
        <f t="shared" si="28"/>
        <v>1.0684814038824546</v>
      </c>
      <c r="AF21" s="13">
        <f t="shared" si="28"/>
        <v>1.0278696003574825</v>
      </c>
      <c r="AG21" s="13">
        <f t="shared" si="28"/>
        <v>1.0140096574141255</v>
      </c>
      <c r="AH21" s="13">
        <f t="shared" si="28"/>
        <v>1.0036242853211392</v>
      </c>
    </row>
    <row r="22" spans="1:34">
      <c r="A22" s="8">
        <v>2010</v>
      </c>
      <c r="B22" s="10">
        <f>SUM(Triangles!$B21:B21)</f>
        <v>1613626.6580000001</v>
      </c>
      <c r="C22" s="10">
        <f>SUM(Triangles!$B21:C21)</f>
        <v>11683177.912</v>
      </c>
      <c r="D22" s="10">
        <f>SUM(Triangles!$B21:D21)</f>
        <v>25203664.048</v>
      </c>
      <c r="E22" s="10">
        <f>SUM(Triangles!$B21:E21)</f>
        <v>31583779.592</v>
      </c>
      <c r="F22" s="10">
        <f>SUM(Triangles!$B21:F21)</f>
        <v>35470020.785999998</v>
      </c>
      <c r="G22" s="16"/>
      <c r="H22" s="16"/>
      <c r="I22" s="16"/>
      <c r="J22" s="16"/>
      <c r="K22" s="16"/>
      <c r="M22" s="8">
        <v>2010</v>
      </c>
      <c r="N22" s="20"/>
      <c r="O22" s="12">
        <f t="shared" si="18"/>
        <v>7.2403228182166037</v>
      </c>
      <c r="P22" s="12">
        <f t="shared" si="19"/>
        <v>2.1572609984919313</v>
      </c>
      <c r="Q22" s="12">
        <f t="shared" si="20"/>
        <v>1.2531423816731235</v>
      </c>
      <c r="R22" s="13">
        <f t="shared" si="21"/>
        <v>1.1230454760070692</v>
      </c>
      <c r="S22" s="20"/>
      <c r="T22" s="20"/>
      <c r="U22" s="20"/>
      <c r="V22" s="20"/>
      <c r="W22" s="20"/>
    </row>
    <row r="23" spans="1:34">
      <c r="A23" s="8">
        <v>2011</v>
      </c>
      <c r="B23" s="10">
        <f>SUM(Triangles!$B22:B22)</f>
        <v>1484186.6</v>
      </c>
      <c r="C23" s="10">
        <f>SUM(Triangles!$B22:C22)</f>
        <v>11118250</v>
      </c>
      <c r="D23" s="10">
        <f>SUM(Triangles!$B22:D22)</f>
        <v>21789874.210000001</v>
      </c>
      <c r="E23" s="10">
        <f>SUM(Triangles!$B22:E22)</f>
        <v>27676790.636</v>
      </c>
      <c r="F23" s="16"/>
      <c r="G23" s="16"/>
      <c r="H23" s="16"/>
      <c r="I23" s="16"/>
      <c r="J23" s="16"/>
      <c r="K23" s="16"/>
      <c r="M23" s="8">
        <v>2011</v>
      </c>
      <c r="N23" s="20"/>
      <c r="O23" s="12">
        <f t="shared" si="18"/>
        <v>7.4911402649774628</v>
      </c>
      <c r="P23" s="12">
        <f t="shared" si="19"/>
        <v>1.9598294884536687</v>
      </c>
      <c r="Q23" s="12">
        <f t="shared" si="20"/>
        <v>1.2701675268643049</v>
      </c>
      <c r="R23" s="20"/>
      <c r="S23" s="20"/>
      <c r="T23" s="20"/>
      <c r="U23" s="20"/>
      <c r="V23" s="20"/>
      <c r="W23" s="20"/>
    </row>
    <row r="24" spans="1:34">
      <c r="A24" s="8">
        <v>2012</v>
      </c>
      <c r="B24" s="10">
        <f>SUM(Triangles!$B23:B23)</f>
        <v>2907654.7859999998</v>
      </c>
      <c r="C24" s="10">
        <f>SUM(Triangles!$B23:C23)</f>
        <v>13230047.507999999</v>
      </c>
      <c r="D24" s="10">
        <f>SUM(Triangles!$B23:D23)</f>
        <v>21993565.195999999</v>
      </c>
      <c r="E24" s="16"/>
      <c r="F24" s="16"/>
      <c r="G24" s="16"/>
      <c r="H24" s="16"/>
      <c r="I24" s="16"/>
      <c r="J24" s="16"/>
      <c r="K24" s="16"/>
      <c r="M24" s="8">
        <v>2012</v>
      </c>
      <c r="N24" s="20"/>
      <c r="O24" s="12">
        <f t="shared" si="18"/>
        <v>4.5500750541986799</v>
      </c>
      <c r="P24" s="12">
        <f t="shared" si="19"/>
        <v>1.6623950278863957</v>
      </c>
      <c r="Q24" s="20"/>
      <c r="R24" s="20"/>
      <c r="S24" s="20"/>
      <c r="T24" s="20"/>
      <c r="U24" s="20"/>
      <c r="V24" s="20"/>
      <c r="W24" s="20"/>
    </row>
    <row r="25" spans="1:34">
      <c r="A25" s="8">
        <v>2013</v>
      </c>
      <c r="B25" s="10">
        <f>SUM(Triangles!$B24:B24)</f>
        <v>3465668.6779999998</v>
      </c>
      <c r="C25" s="10">
        <f>SUM(Triangles!$B24:C24)</f>
        <v>13106099.206</v>
      </c>
      <c r="D25" s="16"/>
      <c r="E25" s="16"/>
      <c r="F25" s="16"/>
      <c r="G25" s="16"/>
      <c r="H25" s="16"/>
      <c r="I25" s="16"/>
      <c r="J25" s="16"/>
      <c r="K25" s="16"/>
      <c r="M25" s="8">
        <v>2013</v>
      </c>
      <c r="N25" s="20"/>
      <c r="O25" s="12">
        <f t="shared" si="18"/>
        <v>3.7816942194149354</v>
      </c>
      <c r="P25" s="20"/>
      <c r="Q25" s="20"/>
      <c r="R25" s="20"/>
      <c r="S25" s="20"/>
      <c r="T25" s="20"/>
      <c r="U25" s="20"/>
      <c r="V25" s="20"/>
      <c r="W25" s="20"/>
    </row>
    <row r="26" spans="1:34">
      <c r="A26" s="8">
        <v>2014</v>
      </c>
      <c r="B26" s="10">
        <f>SUM(Triangles!$B25:B25)</f>
        <v>3619805.284</v>
      </c>
      <c r="C26" s="16"/>
      <c r="D26" s="16"/>
      <c r="E26" s="16"/>
      <c r="F26" s="16"/>
      <c r="G26" s="16"/>
      <c r="H26" s="16"/>
      <c r="I26" s="16"/>
      <c r="J26" s="16"/>
      <c r="K26" s="16"/>
      <c r="M26" s="8">
        <v>2014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8" spans="1:34">
      <c r="A28" s="48" t="s">
        <v>6</v>
      </c>
      <c r="B28" s="48"/>
      <c r="C28" s="48"/>
      <c r="D28" s="48"/>
      <c r="E28" s="48"/>
      <c r="F28" s="5"/>
      <c r="G28" s="5"/>
      <c r="H28" s="5"/>
      <c r="I28" s="5"/>
      <c r="J28" s="5"/>
      <c r="K28" s="5"/>
      <c r="M28" s="49" t="s">
        <v>9</v>
      </c>
      <c r="N28" s="49"/>
      <c r="O28" s="49"/>
      <c r="P28" s="49"/>
      <c r="Q28" s="49"/>
      <c r="R28" s="1"/>
      <c r="S28" s="1"/>
      <c r="T28" s="1"/>
      <c r="U28" s="1"/>
      <c r="V28" s="1"/>
      <c r="W28" s="1"/>
      <c r="Y28" s="50" t="s">
        <v>10</v>
      </c>
      <c r="Z28" s="51"/>
      <c r="AA28" s="51"/>
      <c r="AB28" s="51"/>
      <c r="AC28" s="51"/>
      <c r="AD28" s="1"/>
      <c r="AE28" s="1"/>
      <c r="AF28" s="1"/>
      <c r="AG28" s="1"/>
      <c r="AH28" s="1"/>
    </row>
    <row r="29" spans="1:34">
      <c r="A29" s="8" t="s">
        <v>3</v>
      </c>
      <c r="B29" s="8">
        <f t="shared" ref="B29:K29" si="29">B16</f>
        <v>1</v>
      </c>
      <c r="C29" s="8">
        <f t="shared" si="29"/>
        <v>2</v>
      </c>
      <c r="D29" s="8">
        <f t="shared" si="29"/>
        <v>3</v>
      </c>
      <c r="E29" s="8">
        <f t="shared" si="29"/>
        <v>4</v>
      </c>
      <c r="F29" s="8">
        <f t="shared" si="29"/>
        <v>5</v>
      </c>
      <c r="G29" s="8">
        <f t="shared" si="29"/>
        <v>6</v>
      </c>
      <c r="H29" s="8">
        <f t="shared" si="29"/>
        <v>7</v>
      </c>
      <c r="I29" s="8">
        <f t="shared" si="29"/>
        <v>8</v>
      </c>
      <c r="J29" s="8">
        <f t="shared" si="29"/>
        <v>9</v>
      </c>
      <c r="K29" s="8">
        <f t="shared" si="29"/>
        <v>10</v>
      </c>
      <c r="M29" s="8" t="s">
        <v>1</v>
      </c>
      <c r="N29" s="8">
        <f t="shared" ref="N29:W29" si="30">B29</f>
        <v>1</v>
      </c>
      <c r="O29" s="8">
        <f t="shared" si="30"/>
        <v>2</v>
      </c>
      <c r="P29" s="8">
        <f t="shared" si="30"/>
        <v>3</v>
      </c>
      <c r="Q29" s="8">
        <f t="shared" si="30"/>
        <v>4</v>
      </c>
      <c r="R29" s="8">
        <f t="shared" si="30"/>
        <v>5</v>
      </c>
      <c r="S29" s="8">
        <f t="shared" si="30"/>
        <v>6</v>
      </c>
      <c r="T29" s="8">
        <f t="shared" si="30"/>
        <v>7</v>
      </c>
      <c r="U29" s="8">
        <f t="shared" si="30"/>
        <v>8</v>
      </c>
      <c r="V29" s="8">
        <f t="shared" si="30"/>
        <v>9</v>
      </c>
      <c r="W29" s="8">
        <f t="shared" si="30"/>
        <v>10</v>
      </c>
      <c r="Y29" s="8" t="s">
        <v>11</v>
      </c>
      <c r="Z29" s="8">
        <v>1</v>
      </c>
      <c r="AA29" s="8">
        <v>2</v>
      </c>
      <c r="AB29" s="8">
        <v>3</v>
      </c>
      <c r="AC29" s="8">
        <v>4</v>
      </c>
      <c r="AD29" s="8">
        <v>5</v>
      </c>
      <c r="AE29" s="8">
        <v>6</v>
      </c>
      <c r="AF29" s="8">
        <v>7</v>
      </c>
      <c r="AG29" s="8">
        <v>8</v>
      </c>
      <c r="AH29" s="8">
        <v>9</v>
      </c>
    </row>
    <row r="30" spans="1:34">
      <c r="A30" s="8">
        <v>2005</v>
      </c>
      <c r="B30" s="10">
        <f>B17+Triangles!B29</f>
        <v>25045962.066</v>
      </c>
      <c r="C30" s="10">
        <f>C17+Triangles!C29</f>
        <v>30954619.612</v>
      </c>
      <c r="D30" s="10">
        <f>D17+Triangles!D29</f>
        <v>33050732.767999999</v>
      </c>
      <c r="E30" s="10">
        <f>E17+Triangles!E29</f>
        <v>31349969.280000001</v>
      </c>
      <c r="F30" s="10">
        <f>F17+Triangles!F29</f>
        <v>30751671.112</v>
      </c>
      <c r="G30" s="10">
        <f>G17+Triangles!G29</f>
        <v>29799268.085999999</v>
      </c>
      <c r="H30" s="10">
        <f>H17+Triangles!H29</f>
        <v>29158650.813999999</v>
      </c>
      <c r="I30" s="10">
        <f>I17+Triangles!I29</f>
        <v>28396589.031999998</v>
      </c>
      <c r="J30" s="10">
        <f>J17+Triangles!J29</f>
        <v>27732513.261999998</v>
      </c>
      <c r="K30" s="10">
        <f>K17+Triangles!K29</f>
        <v>27752607.687999997</v>
      </c>
      <c r="M30" s="8">
        <v>2005</v>
      </c>
      <c r="N30" s="20"/>
      <c r="O30" s="12">
        <f t="shared" ref="O30:W30" si="31">C30/B30</f>
        <v>1.2359125806559066</v>
      </c>
      <c r="P30" s="12">
        <f t="shared" si="31"/>
        <v>1.0677156812867896</v>
      </c>
      <c r="Q30" s="12">
        <f t="shared" si="31"/>
        <v>0.94854082358964542</v>
      </c>
      <c r="R30" s="13">
        <f t="shared" si="31"/>
        <v>0.98091551023044565</v>
      </c>
      <c r="S30" s="13">
        <f t="shared" si="31"/>
        <v>0.96902922697985183</v>
      </c>
      <c r="T30" s="13">
        <f t="shared" si="31"/>
        <v>0.97850224810383957</v>
      </c>
      <c r="U30" s="13">
        <f t="shared" si="31"/>
        <v>0.97386498480807238</v>
      </c>
      <c r="V30" s="13">
        <f t="shared" si="31"/>
        <v>0.97661424161713029</v>
      </c>
      <c r="W30" s="13">
        <f t="shared" si="31"/>
        <v>1.0007245800555529</v>
      </c>
      <c r="Y30" s="44" t="s">
        <v>12</v>
      </c>
      <c r="Z30" s="13">
        <f t="shared" ref="Z30:AH30" si="32">AVERAGE(O30:O38)</f>
        <v>1.4218346109266502</v>
      </c>
      <c r="AA30" s="13">
        <f t="shared" si="32"/>
        <v>1.0178184177268506</v>
      </c>
      <c r="AB30" s="13">
        <f t="shared" si="32"/>
        <v>0.96514040971488535</v>
      </c>
      <c r="AC30" s="13">
        <f t="shared" si="32"/>
        <v>0.94742779439310787</v>
      </c>
      <c r="AD30" s="13">
        <f t="shared" si="32"/>
        <v>0.9507545481819577</v>
      </c>
      <c r="AE30" s="13">
        <f t="shared" si="32"/>
        <v>0.97371178852174833</v>
      </c>
      <c r="AF30" s="13">
        <f t="shared" si="32"/>
        <v>0.97725633732620187</v>
      </c>
      <c r="AG30" s="13">
        <f t="shared" si="32"/>
        <v>0.9797581181108489</v>
      </c>
      <c r="AH30" s="13">
        <f t="shared" si="32"/>
        <v>1.0007245800555529</v>
      </c>
    </row>
    <row r="31" spans="1:34">
      <c r="A31" s="8">
        <v>2006</v>
      </c>
      <c r="B31" s="10">
        <f>B18+Triangles!B30</f>
        <v>22888865.192000002</v>
      </c>
      <c r="C31" s="10">
        <f>C18+Triangles!C30</f>
        <v>32798212.566</v>
      </c>
      <c r="D31" s="10">
        <f>D18+Triangles!D30</f>
        <v>32628708.263999999</v>
      </c>
      <c r="E31" s="10">
        <f>E18+Triangles!E30</f>
        <v>32133456.717999998</v>
      </c>
      <c r="F31" s="10">
        <f>F18+Triangles!F30</f>
        <v>30762407.939999998</v>
      </c>
      <c r="G31" s="10">
        <f>G18+Triangles!G30</f>
        <v>28824518.511999998</v>
      </c>
      <c r="H31" s="10">
        <f>H18+Triangles!H30</f>
        <v>28174906.825999998</v>
      </c>
      <c r="I31" s="10">
        <f>I18+Triangles!I30</f>
        <v>27340405.455999997</v>
      </c>
      <c r="J31" s="10">
        <f>J18+Triangles!J30</f>
        <v>26872939.055999998</v>
      </c>
      <c r="K31" s="16"/>
      <c r="M31" s="8">
        <v>2006</v>
      </c>
      <c r="N31" s="20"/>
      <c r="O31" s="12">
        <f t="shared" ref="O31:O38" si="33">C31/B31</f>
        <v>1.4329331004781951</v>
      </c>
      <c r="P31" s="12">
        <f t="shared" ref="P31:P37" si="34">D31/C31</f>
        <v>0.99483190427957291</v>
      </c>
      <c r="Q31" s="12">
        <f t="shared" ref="Q31:Q36" si="35">E31/D31</f>
        <v>0.98482160121102857</v>
      </c>
      <c r="R31" s="13">
        <f t="shared" ref="R31:R35" si="36">F31/E31</f>
        <v>0.95733267074152062</v>
      </c>
      <c r="S31" s="13">
        <f t="shared" ref="S31:S34" si="37">G31/F31</f>
        <v>0.93700462487267833</v>
      </c>
      <c r="T31" s="13">
        <f t="shared" ref="T31:T33" si="38">H31/G31</f>
        <v>0.97746322507591721</v>
      </c>
      <c r="U31" s="13">
        <f t="shared" ref="U31:U32" si="39">I31/H31</f>
        <v>0.97038139734929252</v>
      </c>
      <c r="V31" s="13">
        <f>J31/I31</f>
        <v>0.98290199460456751</v>
      </c>
      <c r="W31" s="20"/>
      <c r="Y31" s="44" t="s">
        <v>13</v>
      </c>
      <c r="Z31" s="13">
        <f>STDEVP(O30:O38)</f>
        <v>0.12728410506486346</v>
      </c>
      <c r="AA31" s="13">
        <f t="shared" ref="AA31:AH31" si="40">STDEVP(P30:P38)</f>
        <v>3.4412018871079877E-2</v>
      </c>
      <c r="AB31" s="13">
        <f t="shared" si="40"/>
        <v>1.6629431992616621E-2</v>
      </c>
      <c r="AC31" s="13">
        <f t="shared" si="40"/>
        <v>1.9013067210215621E-2</v>
      </c>
      <c r="AD31" s="13">
        <f t="shared" si="40"/>
        <v>1.8146409249697553E-2</v>
      </c>
      <c r="AE31" s="13">
        <f t="shared" si="40"/>
        <v>5.9031188495993576E-3</v>
      </c>
      <c r="AF31" s="13">
        <f t="shared" si="40"/>
        <v>7.3973606370115862E-3</v>
      </c>
      <c r="AG31" s="13">
        <f t="shared" si="40"/>
        <v>3.1438764937186114E-3</v>
      </c>
      <c r="AH31" s="13">
        <f t="shared" si="40"/>
        <v>0</v>
      </c>
    </row>
    <row r="32" spans="1:34">
      <c r="A32" s="8">
        <v>2007</v>
      </c>
      <c r="B32" s="10">
        <f>B19+Triangles!B31</f>
        <v>23478828.699999999</v>
      </c>
      <c r="C32" s="10">
        <f>C19+Triangles!C31</f>
        <v>35405412.318000004</v>
      </c>
      <c r="D32" s="10">
        <f>D19+Triangles!D31</f>
        <v>37229596.872000001</v>
      </c>
      <c r="E32" s="10">
        <f>E19+Triangles!E31</f>
        <v>36496080.066</v>
      </c>
      <c r="F32" s="10">
        <f>F19+Triangles!F31</f>
        <v>34053726.100000001</v>
      </c>
      <c r="G32" s="10">
        <f>G19+Triangles!G31</f>
        <v>31401781.460000001</v>
      </c>
      <c r="H32" s="10">
        <f>H19+Triangles!H31</f>
        <v>30261939.222000003</v>
      </c>
      <c r="I32" s="10">
        <f>I19+Triangles!I31</f>
        <v>29884349.804000001</v>
      </c>
      <c r="J32" s="16"/>
      <c r="K32" s="16"/>
      <c r="M32" s="8">
        <v>2007</v>
      </c>
      <c r="N32" s="20"/>
      <c r="O32" s="12">
        <f t="shared" si="33"/>
        <v>1.5079718315760788</v>
      </c>
      <c r="P32" s="12">
        <f t="shared" si="34"/>
        <v>1.0515227597864349</v>
      </c>
      <c r="Q32" s="12">
        <f t="shared" si="35"/>
        <v>0.98029748190607802</v>
      </c>
      <c r="R32" s="13">
        <f t="shared" si="36"/>
        <v>0.93307900570189417</v>
      </c>
      <c r="S32" s="13">
        <f t="shared" si="37"/>
        <v>0.92212468520441881</v>
      </c>
      <c r="T32" s="13">
        <f t="shared" si="38"/>
        <v>0.96370135116531708</v>
      </c>
      <c r="U32" s="13">
        <f t="shared" si="39"/>
        <v>0.98752262982124095</v>
      </c>
      <c r="V32" s="20"/>
      <c r="W32" s="20"/>
      <c r="Y32" s="44" t="s">
        <v>14</v>
      </c>
      <c r="Z32" s="13">
        <f t="shared" ref="Z32:AH32" si="41">Z31/Z30</f>
        <v>8.9521034364122537E-2</v>
      </c>
      <c r="AA32" s="13">
        <f t="shared" si="41"/>
        <v>3.3809585552533147E-2</v>
      </c>
      <c r="AB32" s="13">
        <f t="shared" si="41"/>
        <v>1.7230064999070097E-2</v>
      </c>
      <c r="AC32" s="13">
        <f t="shared" si="41"/>
        <v>2.006809101731577E-2</v>
      </c>
      <c r="AD32" s="13">
        <f t="shared" si="41"/>
        <v>1.908632389337216E-2</v>
      </c>
      <c r="AE32" s="13">
        <f t="shared" si="41"/>
        <v>6.0624908922600647E-3</v>
      </c>
      <c r="AF32" s="13">
        <f t="shared" si="41"/>
        <v>7.5695192289578312E-3</v>
      </c>
      <c r="AG32" s="13">
        <f t="shared" si="41"/>
        <v>3.2088292361185785E-3</v>
      </c>
      <c r="AH32" s="13">
        <f t="shared" si="41"/>
        <v>0</v>
      </c>
    </row>
    <row r="33" spans="1:34">
      <c r="A33" s="8">
        <v>2008</v>
      </c>
      <c r="B33" s="10">
        <f>B20+Triangles!B32</f>
        <v>28759302.697999999</v>
      </c>
      <c r="C33" s="10">
        <f>C20+Triangles!C32</f>
        <v>42718157.093999997</v>
      </c>
      <c r="D33" s="10">
        <f>D20+Triangles!D32</f>
        <v>44619548.178000003</v>
      </c>
      <c r="E33" s="10">
        <f>E20+Triangles!E32</f>
        <v>43721478.030000001</v>
      </c>
      <c r="F33" s="10">
        <f>F20+Triangles!F32</f>
        <v>40612949.615999997</v>
      </c>
      <c r="G33" s="10">
        <f>G20+Triangles!G32</f>
        <v>38997944.127999999</v>
      </c>
      <c r="H33" s="10">
        <f>H20+Triangles!H32</f>
        <v>38030028.013999999</v>
      </c>
      <c r="I33" s="16"/>
      <c r="J33" s="16"/>
      <c r="K33" s="16"/>
      <c r="M33" s="8">
        <v>2008</v>
      </c>
      <c r="N33" s="20"/>
      <c r="O33" s="12">
        <f t="shared" si="33"/>
        <v>1.4853683186474036</v>
      </c>
      <c r="P33" s="12">
        <f t="shared" si="34"/>
        <v>1.044510138389539</v>
      </c>
      <c r="Q33" s="12">
        <f t="shared" si="35"/>
        <v>0.97987271981290924</v>
      </c>
      <c r="R33" s="13">
        <f t="shared" si="36"/>
        <v>0.92890157071389368</v>
      </c>
      <c r="S33" s="13">
        <f t="shared" si="37"/>
        <v>0.96023422323987651</v>
      </c>
      <c r="T33" s="13">
        <f t="shared" si="38"/>
        <v>0.9751803297419197</v>
      </c>
      <c r="U33" s="20"/>
      <c r="V33" s="20"/>
      <c r="W33" s="20"/>
      <c r="Y33" s="44" t="s">
        <v>15</v>
      </c>
      <c r="Z33" s="13">
        <f t="shared" ref="Z33:AH33" si="42">Z30-Z31</f>
        <v>1.2945505058617868</v>
      </c>
      <c r="AA33" s="13">
        <f t="shared" si="42"/>
        <v>0.98340639885577064</v>
      </c>
      <c r="AB33" s="13">
        <f t="shared" si="42"/>
        <v>0.94851097772226878</v>
      </c>
      <c r="AC33" s="13">
        <f t="shared" si="42"/>
        <v>0.9284147271828922</v>
      </c>
      <c r="AD33" s="13">
        <f t="shared" si="42"/>
        <v>0.93260813893226013</v>
      </c>
      <c r="AE33" s="13">
        <f t="shared" si="42"/>
        <v>0.96780866967214896</v>
      </c>
      <c r="AF33" s="13">
        <f t="shared" si="42"/>
        <v>0.9698589766891903</v>
      </c>
      <c r="AG33" s="13">
        <f t="shared" si="42"/>
        <v>0.97661424161713029</v>
      </c>
      <c r="AH33" s="13">
        <f t="shared" si="42"/>
        <v>1.0007245800555529</v>
      </c>
    </row>
    <row r="34" spans="1:34">
      <c r="A34" s="8">
        <v>2009</v>
      </c>
      <c r="B34" s="10">
        <f>B21+Triangles!B33</f>
        <v>33658423.159999996</v>
      </c>
      <c r="C34" s="10">
        <f>C21+Triangles!C33</f>
        <v>56720353.697999999</v>
      </c>
      <c r="D34" s="10">
        <f>D21+Triangles!D33</f>
        <v>58115988.939999998</v>
      </c>
      <c r="E34" s="10">
        <f>E21+Triangles!E33</f>
        <v>56472276.741999999</v>
      </c>
      <c r="F34" s="10">
        <f>F21+Triangles!F33</f>
        <v>52464695.75</v>
      </c>
      <c r="G34" s="10">
        <f>G21+Triangles!G33</f>
        <v>50648366.965999998</v>
      </c>
      <c r="H34" s="16"/>
      <c r="I34" s="16"/>
      <c r="J34" s="16"/>
      <c r="K34" s="16"/>
      <c r="M34" s="8">
        <v>2009</v>
      </c>
      <c r="N34" s="20"/>
      <c r="O34" s="12">
        <f t="shared" si="33"/>
        <v>1.6851756075551105</v>
      </c>
      <c r="P34" s="12">
        <f t="shared" si="34"/>
        <v>1.0246055454701652</v>
      </c>
      <c r="Q34" s="12">
        <f t="shared" si="35"/>
        <v>0.97171669573244301</v>
      </c>
      <c r="R34" s="13">
        <f t="shared" si="36"/>
        <v>0.92903454184592049</v>
      </c>
      <c r="S34" s="13">
        <f t="shared" si="37"/>
        <v>0.96537998061296293</v>
      </c>
      <c r="T34" s="20"/>
      <c r="U34" s="20"/>
      <c r="V34" s="20"/>
      <c r="W34" s="20"/>
      <c r="Y34" s="44" t="s">
        <v>16</v>
      </c>
      <c r="Z34" s="13">
        <f t="shared" ref="Z34:AH34" si="43">Z30+Z31</f>
        <v>1.5491187159915136</v>
      </c>
      <c r="AA34" s="13">
        <f t="shared" si="43"/>
        <v>1.0522304365979305</v>
      </c>
      <c r="AB34" s="13">
        <f t="shared" si="43"/>
        <v>0.98176984170750192</v>
      </c>
      <c r="AC34" s="13">
        <f t="shared" si="43"/>
        <v>0.96644086160332354</v>
      </c>
      <c r="AD34" s="13">
        <f t="shared" si="43"/>
        <v>0.96890095743165527</v>
      </c>
      <c r="AE34" s="13">
        <f t="shared" si="43"/>
        <v>0.97961490737134771</v>
      </c>
      <c r="AF34" s="13">
        <f t="shared" si="43"/>
        <v>0.98465369796321345</v>
      </c>
      <c r="AG34" s="13">
        <f t="shared" si="43"/>
        <v>0.98290199460456751</v>
      </c>
      <c r="AH34" s="13">
        <f t="shared" si="43"/>
        <v>1.0007245800555529</v>
      </c>
    </row>
    <row r="35" spans="1:34">
      <c r="A35" s="8">
        <v>2010</v>
      </c>
      <c r="B35" s="10">
        <f>B22+Triangles!B34</f>
        <v>39995510.658</v>
      </c>
      <c r="C35" s="10">
        <f>C22+Triangles!C34</f>
        <v>56285083.912</v>
      </c>
      <c r="D35" s="10">
        <f>D22+Triangles!D34</f>
        <v>56005790.048</v>
      </c>
      <c r="E35" s="10">
        <f>E22+Triangles!E34</f>
        <v>52982561.592</v>
      </c>
      <c r="F35" s="10">
        <f>F22+Triangles!F34</f>
        <v>50614424.785999998</v>
      </c>
      <c r="G35" s="16"/>
      <c r="H35" s="16"/>
      <c r="I35" s="16"/>
      <c r="J35" s="16"/>
      <c r="K35" s="16"/>
      <c r="L35" s="47" t="s">
        <v>42</v>
      </c>
      <c r="M35" s="8">
        <v>2010</v>
      </c>
      <c r="N35" s="20"/>
      <c r="O35" s="12">
        <f t="shared" si="33"/>
        <v>1.40728504239617</v>
      </c>
      <c r="P35" s="12">
        <f t="shared" si="34"/>
        <v>0.99503787070058081</v>
      </c>
      <c r="Q35" s="12">
        <f t="shared" si="35"/>
        <v>0.94601935883041866</v>
      </c>
      <c r="R35" s="13">
        <f t="shared" si="36"/>
        <v>0.95530346712497238</v>
      </c>
      <c r="S35" s="20"/>
      <c r="T35" s="20"/>
      <c r="U35" s="20"/>
      <c r="V35" s="20"/>
      <c r="W35" s="20"/>
    </row>
    <row r="36" spans="1:34">
      <c r="A36" s="8">
        <v>2011</v>
      </c>
      <c r="B36" s="10">
        <f>B23+Triangles!B35</f>
        <v>38910074.600000001</v>
      </c>
      <c r="C36" s="10">
        <f>C23+Triangles!C35</f>
        <v>55571562</v>
      </c>
      <c r="D36" s="10">
        <f>D23+Triangles!D35</f>
        <v>53058812.210000001</v>
      </c>
      <c r="E36" s="10">
        <f>E23+Triangles!E35</f>
        <v>50125412.636</v>
      </c>
      <c r="F36" s="16"/>
      <c r="G36" s="16"/>
      <c r="H36" s="16"/>
      <c r="I36" s="16"/>
      <c r="J36" s="16"/>
      <c r="K36" s="16"/>
      <c r="L36" s="47" t="s">
        <v>42</v>
      </c>
      <c r="M36" s="8">
        <v>2011</v>
      </c>
      <c r="N36" s="20"/>
      <c r="O36" s="12">
        <f t="shared" si="33"/>
        <v>1.4282049718814982</v>
      </c>
      <c r="P36" s="12">
        <f t="shared" si="34"/>
        <v>0.95478353136807637</v>
      </c>
      <c r="Q36" s="12">
        <f t="shared" si="35"/>
        <v>0.94471418692167519</v>
      </c>
      <c r="R36" s="20"/>
      <c r="S36" s="20"/>
      <c r="T36" s="20"/>
      <c r="U36" s="20"/>
      <c r="V36" s="20"/>
      <c r="W36" s="20"/>
    </row>
    <row r="37" spans="1:34">
      <c r="A37" s="8">
        <v>2012</v>
      </c>
      <c r="B37" s="10">
        <f>B24+Triangles!B36</f>
        <v>51589380.785999998</v>
      </c>
      <c r="C37" s="10">
        <f>C24+Triangles!C36</f>
        <v>65226155.508000001</v>
      </c>
      <c r="D37" s="10">
        <f>D24+Triangles!D36</f>
        <v>65848407.195999995</v>
      </c>
      <c r="E37" s="16"/>
      <c r="F37" s="16"/>
      <c r="G37" s="16"/>
      <c r="H37" s="16"/>
      <c r="I37" s="16"/>
      <c r="J37" s="16"/>
      <c r="K37" s="16"/>
      <c r="L37" s="47" t="s">
        <v>42</v>
      </c>
      <c r="M37" s="8">
        <v>2012</v>
      </c>
      <c r="N37" s="20"/>
      <c r="O37" s="12">
        <f t="shared" si="33"/>
        <v>1.2643329792727549</v>
      </c>
      <c r="P37" s="12">
        <f t="shared" si="34"/>
        <v>1.0095399105336458</v>
      </c>
      <c r="Q37" s="20"/>
      <c r="R37" s="20"/>
      <c r="S37" s="20"/>
      <c r="T37" s="20"/>
      <c r="U37" s="20"/>
      <c r="V37" s="20"/>
      <c r="W37" s="20"/>
    </row>
    <row r="38" spans="1:34">
      <c r="A38" s="8">
        <v>2013</v>
      </c>
      <c r="B38" s="10">
        <f>B25+Triangles!B37</f>
        <v>47829212.678000003</v>
      </c>
      <c r="C38" s="10">
        <f>C25+Triangles!C37</f>
        <v>64537251.206</v>
      </c>
      <c r="D38" s="16"/>
      <c r="E38" s="16"/>
      <c r="F38" s="16"/>
      <c r="G38" s="16"/>
      <c r="H38" s="16"/>
      <c r="I38" s="16"/>
      <c r="J38" s="16"/>
      <c r="K38" s="16"/>
      <c r="L38" s="47" t="s">
        <v>42</v>
      </c>
      <c r="M38" s="8">
        <v>2013</v>
      </c>
      <c r="N38" s="20"/>
      <c r="O38" s="12">
        <f t="shared" si="33"/>
        <v>1.3493270658767333</v>
      </c>
      <c r="P38" s="20"/>
      <c r="Q38" s="20"/>
      <c r="R38" s="20"/>
      <c r="S38" s="20"/>
      <c r="T38" s="20"/>
      <c r="U38" s="20"/>
      <c r="V38" s="20"/>
      <c r="W38" s="20"/>
    </row>
    <row r="39" spans="1:34">
      <c r="A39" s="8">
        <v>2014</v>
      </c>
      <c r="B39" s="10">
        <f>B26+Triangles!B38</f>
        <v>43231429.284000002</v>
      </c>
      <c r="C39" s="16"/>
      <c r="D39" s="16"/>
      <c r="E39" s="16"/>
      <c r="F39" s="16"/>
      <c r="G39" s="16"/>
      <c r="H39" s="16"/>
      <c r="I39" s="16"/>
      <c r="J39" s="16"/>
      <c r="K39" s="16"/>
      <c r="L39" s="47" t="s">
        <v>42</v>
      </c>
      <c r="M39" s="8">
        <v>2014</v>
      </c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34">
      <c r="L40" s="47" t="s">
        <v>42</v>
      </c>
    </row>
    <row r="41" spans="1:34">
      <c r="A41" s="48" t="s">
        <v>7</v>
      </c>
      <c r="B41" s="48"/>
      <c r="C41" s="48"/>
      <c r="D41" s="48"/>
      <c r="E41" s="48"/>
      <c r="F41" s="5"/>
      <c r="G41" s="5"/>
      <c r="H41" s="5"/>
      <c r="I41" s="5"/>
      <c r="J41" s="5"/>
      <c r="K41" s="5"/>
      <c r="L41" s="47" t="s">
        <v>42</v>
      </c>
      <c r="M41" s="49" t="s">
        <v>9</v>
      </c>
      <c r="N41" s="49"/>
      <c r="O41" s="49"/>
      <c r="P41" s="49"/>
      <c r="Q41" s="49"/>
      <c r="R41" s="1"/>
      <c r="S41" s="1"/>
      <c r="T41" s="1"/>
      <c r="U41" s="1"/>
      <c r="V41" s="1"/>
      <c r="W41" s="1"/>
      <c r="Y41" s="50" t="s">
        <v>10</v>
      </c>
      <c r="Z41" s="51"/>
      <c r="AA41" s="51"/>
      <c r="AB41" s="51"/>
      <c r="AC41" s="51"/>
      <c r="AD41" s="1"/>
      <c r="AE41" s="1"/>
      <c r="AF41" s="1"/>
      <c r="AG41" s="1"/>
      <c r="AH41" s="1"/>
    </row>
    <row r="42" spans="1:34">
      <c r="A42" s="8" t="s">
        <v>3</v>
      </c>
      <c r="B42" s="8">
        <f t="shared" ref="B42:K42" si="44">B29</f>
        <v>1</v>
      </c>
      <c r="C42" s="8">
        <f t="shared" si="44"/>
        <v>2</v>
      </c>
      <c r="D42" s="8">
        <f t="shared" si="44"/>
        <v>3</v>
      </c>
      <c r="E42" s="8">
        <f t="shared" si="44"/>
        <v>4</v>
      </c>
      <c r="F42" s="8">
        <f t="shared" si="44"/>
        <v>5</v>
      </c>
      <c r="G42" s="8">
        <f t="shared" si="44"/>
        <v>6</v>
      </c>
      <c r="H42" s="8">
        <f t="shared" si="44"/>
        <v>7</v>
      </c>
      <c r="I42" s="8">
        <f t="shared" si="44"/>
        <v>8</v>
      </c>
      <c r="J42" s="8">
        <f t="shared" si="44"/>
        <v>9</v>
      </c>
      <c r="K42" s="8">
        <f t="shared" si="44"/>
        <v>10</v>
      </c>
      <c r="L42" s="47" t="s">
        <v>42</v>
      </c>
      <c r="M42" s="8" t="s">
        <v>1</v>
      </c>
      <c r="N42" s="8">
        <f t="shared" ref="N42:W42" si="45">B42</f>
        <v>1</v>
      </c>
      <c r="O42" s="8">
        <f t="shared" si="45"/>
        <v>2</v>
      </c>
      <c r="P42" s="8">
        <f t="shared" si="45"/>
        <v>3</v>
      </c>
      <c r="Q42" s="8">
        <f t="shared" si="45"/>
        <v>4</v>
      </c>
      <c r="R42" s="8">
        <f t="shared" si="45"/>
        <v>5</v>
      </c>
      <c r="S42" s="8">
        <f t="shared" si="45"/>
        <v>6</v>
      </c>
      <c r="T42" s="8">
        <f t="shared" si="45"/>
        <v>7</v>
      </c>
      <c r="U42" s="8">
        <f t="shared" si="45"/>
        <v>8</v>
      </c>
      <c r="V42" s="8">
        <f t="shared" si="45"/>
        <v>9</v>
      </c>
      <c r="W42" s="8">
        <f t="shared" si="45"/>
        <v>10</v>
      </c>
      <c r="Y42" s="8" t="s">
        <v>11</v>
      </c>
      <c r="Z42" s="8">
        <v>1</v>
      </c>
      <c r="AA42" s="8">
        <v>2</v>
      </c>
      <c r="AB42" s="8">
        <v>3</v>
      </c>
      <c r="AC42" s="8">
        <v>4</v>
      </c>
      <c r="AD42" s="8">
        <v>5</v>
      </c>
      <c r="AE42" s="8">
        <v>6</v>
      </c>
      <c r="AF42" s="8">
        <v>7</v>
      </c>
      <c r="AG42" s="8">
        <v>8</v>
      </c>
      <c r="AH42" s="8">
        <v>9</v>
      </c>
    </row>
    <row r="43" spans="1:34">
      <c r="A43" s="8">
        <v>2005</v>
      </c>
      <c r="B43" s="10">
        <f t="shared" ref="B43:K43" si="46">B30/B4</f>
        <v>18831.55042556391</v>
      </c>
      <c r="C43" s="10">
        <f t="shared" si="46"/>
        <v>14173.360628205128</v>
      </c>
      <c r="D43" s="10">
        <f t="shared" si="46"/>
        <v>14585.49548455428</v>
      </c>
      <c r="E43" s="10">
        <f t="shared" si="46"/>
        <v>13689.942917030568</v>
      </c>
      <c r="F43" s="10">
        <f t="shared" si="46"/>
        <v>13405.262036617261</v>
      </c>
      <c r="G43" s="10">
        <f t="shared" si="46"/>
        <v>12990.090708805579</v>
      </c>
      <c r="H43" s="10">
        <f t="shared" si="46"/>
        <v>12688.707926022627</v>
      </c>
      <c r="I43" s="10">
        <f t="shared" si="46"/>
        <v>12357.088351610095</v>
      </c>
      <c r="J43" s="10">
        <f t="shared" si="46"/>
        <v>12068.108469103567</v>
      </c>
      <c r="K43" s="10">
        <f t="shared" si="46"/>
        <v>12076.852779808529</v>
      </c>
      <c r="L43" s="47" t="s">
        <v>42</v>
      </c>
      <c r="M43" s="8">
        <v>2005</v>
      </c>
      <c r="N43" s="20"/>
      <c r="O43" s="12">
        <f t="shared" ref="O43:W43" si="47">C43/B43</f>
        <v>0.75263907155327636</v>
      </c>
      <c r="P43" s="12">
        <f t="shared" si="47"/>
        <v>1.0290781323611424</v>
      </c>
      <c r="Q43" s="12">
        <f t="shared" si="47"/>
        <v>0.93859978439045266</v>
      </c>
      <c r="R43" s="13">
        <f t="shared" si="47"/>
        <v>0.97920510829455998</v>
      </c>
      <c r="S43" s="13">
        <f t="shared" si="47"/>
        <v>0.96902922697985183</v>
      </c>
      <c r="T43" s="13">
        <f t="shared" si="47"/>
        <v>0.97679902399922014</v>
      </c>
      <c r="U43" s="13">
        <f t="shared" si="47"/>
        <v>0.97386498480807249</v>
      </c>
      <c r="V43" s="13">
        <f t="shared" si="47"/>
        <v>0.97661424161713029</v>
      </c>
      <c r="W43" s="13">
        <f t="shared" si="47"/>
        <v>1.0007245800555529</v>
      </c>
      <c r="Y43" s="44" t="s">
        <v>12</v>
      </c>
      <c r="Z43" s="13">
        <f t="shared" ref="Z43:AH43" si="48">AVERAGE(O43:O51)</f>
        <v>0.86288332246566746</v>
      </c>
      <c r="AA43" s="13">
        <f t="shared" si="48"/>
        <v>0.97579251179368631</v>
      </c>
      <c r="AB43" s="13">
        <f t="shared" si="48"/>
        <v>0.95320344158720771</v>
      </c>
      <c r="AC43" s="13">
        <f t="shared" si="48"/>
        <v>0.94450700566010271</v>
      </c>
      <c r="AD43" s="13">
        <f t="shared" si="48"/>
        <v>0.95046481402747074</v>
      </c>
      <c r="AE43" s="13">
        <f t="shared" si="48"/>
        <v>0.97290599837462477</v>
      </c>
      <c r="AF43" s="13">
        <f t="shared" si="48"/>
        <v>0.97706529019332888</v>
      </c>
      <c r="AG43" s="13">
        <f t="shared" si="48"/>
        <v>0.9797581181108489</v>
      </c>
      <c r="AH43" s="13">
        <f t="shared" si="48"/>
        <v>1.0007245800555529</v>
      </c>
    </row>
    <row r="44" spans="1:34">
      <c r="A44" s="8">
        <v>2006</v>
      </c>
      <c r="B44" s="10">
        <f t="shared" ref="B44:B52" si="49">B31/B5</f>
        <v>17209.673076691732</v>
      </c>
      <c r="C44" s="10">
        <f t="shared" ref="C44:I51" si="50">C31/C5</f>
        <v>14881.221672413792</v>
      </c>
      <c r="D44" s="10">
        <f t="shared" si="50"/>
        <v>14348.596422163588</v>
      </c>
      <c r="E44" s="10">
        <f t="shared" si="50"/>
        <v>13971.068138260869</v>
      </c>
      <c r="F44" s="10">
        <f t="shared" si="50"/>
        <v>13305.539766435984</v>
      </c>
      <c r="G44" s="10">
        <f t="shared" si="50"/>
        <v>12467.352297577854</v>
      </c>
      <c r="H44" s="10">
        <f t="shared" si="50"/>
        <v>12186.378384948095</v>
      </c>
      <c r="I44" s="10">
        <f t="shared" si="50"/>
        <v>11825.434885813147</v>
      </c>
      <c r="J44" s="10">
        <f>J31/J5</f>
        <v>11623.243536332178</v>
      </c>
      <c r="K44" s="16"/>
      <c r="L44" s="47" t="s">
        <v>42</v>
      </c>
      <c r="M44" s="8">
        <v>2006</v>
      </c>
      <c r="N44" s="20"/>
      <c r="O44" s="12">
        <f t="shared" ref="O44:O51" si="51">C44/B44</f>
        <v>0.8647010089092555</v>
      </c>
      <c r="P44" s="12">
        <f t="shared" ref="P44:P50" si="52">D44/C44</f>
        <v>0.96420823088486318</v>
      </c>
      <c r="Q44" s="12">
        <f t="shared" ref="Q44:Q49" si="53">E44/D44</f>
        <v>0.97368883528429517</v>
      </c>
      <c r="R44" s="13">
        <f t="shared" ref="R44:R48" si="54">F44/E44</f>
        <v>0.95236381604909059</v>
      </c>
      <c r="S44" s="13">
        <f t="shared" ref="S44:S47" si="55">G44/F44</f>
        <v>0.93700462487267833</v>
      </c>
      <c r="T44" s="13">
        <f t="shared" ref="T44:T46" si="56">H44/G44</f>
        <v>0.97746322507591721</v>
      </c>
      <c r="U44" s="13">
        <f t="shared" ref="U44:U45" si="57">I44/H44</f>
        <v>0.97038139734929252</v>
      </c>
      <c r="V44" s="13">
        <f>J44/I44</f>
        <v>0.98290199460456751</v>
      </c>
      <c r="W44" s="20"/>
      <c r="Y44" s="44" t="s">
        <v>13</v>
      </c>
      <c r="Z44" s="13">
        <f>STDEVP(O43:O51)</f>
        <v>8.2159820392722252E-2</v>
      </c>
      <c r="AA44" s="13">
        <f>STDEVP(P43:P51)</f>
        <v>3.3746803617590693E-2</v>
      </c>
      <c r="AB44" s="13">
        <f t="shared" ref="AB44:AH44" si="58">STDEVP(Q43:Q51)</f>
        <v>1.5659740108602722E-2</v>
      </c>
      <c r="AC44" s="13">
        <f t="shared" si="58"/>
        <v>1.9268532564146734E-2</v>
      </c>
      <c r="AD44" s="13">
        <f t="shared" si="58"/>
        <v>1.819667051137485E-2</v>
      </c>
      <c r="AE44" s="13">
        <f t="shared" si="58"/>
        <v>5.7661072756510778E-3</v>
      </c>
      <c r="AF44" s="13">
        <f t="shared" si="58"/>
        <v>7.1324084932887248E-3</v>
      </c>
      <c r="AG44" s="13">
        <f t="shared" si="58"/>
        <v>3.1438764937186114E-3</v>
      </c>
      <c r="AH44" s="13">
        <f t="shared" si="58"/>
        <v>0</v>
      </c>
    </row>
    <row r="45" spans="1:34">
      <c r="A45" s="8">
        <v>2007</v>
      </c>
      <c r="B45" s="10">
        <f t="shared" si="49"/>
        <v>13146.040705487121</v>
      </c>
      <c r="C45" s="10">
        <f t="shared" si="50"/>
        <v>11078.038897997498</v>
      </c>
      <c r="D45" s="10">
        <f t="shared" si="50"/>
        <v>11086.836471709352</v>
      </c>
      <c r="E45" s="10">
        <f t="shared" si="50"/>
        <v>10671.368440350878</v>
      </c>
      <c r="F45" s="10">
        <f t="shared" si="50"/>
        <v>9899.3389825581398</v>
      </c>
      <c r="G45" s="10">
        <f t="shared" si="50"/>
        <v>9123.1207030796049</v>
      </c>
      <c r="H45" s="10">
        <f t="shared" si="50"/>
        <v>8786.8580783972138</v>
      </c>
      <c r="I45" s="10">
        <f t="shared" si="50"/>
        <v>8672.1850853163087</v>
      </c>
      <c r="J45" s="16"/>
      <c r="K45" s="16"/>
      <c r="L45" s="47" t="s">
        <v>42</v>
      </c>
      <c r="M45" s="8">
        <v>2007</v>
      </c>
      <c r="N45" s="20"/>
      <c r="O45" s="12">
        <f t="shared" si="51"/>
        <v>0.84269014117486751</v>
      </c>
      <c r="P45" s="12">
        <f t="shared" si="52"/>
        <v>1.0007941454072204</v>
      </c>
      <c r="Q45" s="12">
        <f t="shared" si="53"/>
        <v>0.96252600708789771</v>
      </c>
      <c r="R45" s="13">
        <f t="shared" si="54"/>
        <v>0.92765412776176681</v>
      </c>
      <c r="S45" s="13">
        <f t="shared" si="55"/>
        <v>0.92158887771737374</v>
      </c>
      <c r="T45" s="13">
        <f t="shared" si="56"/>
        <v>0.96314171042712582</v>
      </c>
      <c r="U45" s="13">
        <f t="shared" si="57"/>
        <v>0.98694948842262142</v>
      </c>
      <c r="V45" s="20"/>
      <c r="W45" s="20"/>
      <c r="Y45" s="44" t="s">
        <v>14</v>
      </c>
      <c r="Z45" s="13">
        <f t="shared" ref="Z45:AH45" si="59">Z44/Z43</f>
        <v>9.5215445997904588E-2</v>
      </c>
      <c r="AA45" s="13">
        <f t="shared" si="59"/>
        <v>3.4583995275345836E-2</v>
      </c>
      <c r="AB45" s="13">
        <f t="shared" si="59"/>
        <v>1.6428539203055349E-2</v>
      </c>
      <c r="AC45" s="13">
        <f t="shared" si="59"/>
        <v>2.0400624292543204E-2</v>
      </c>
      <c r="AD45" s="13">
        <f t="shared" si="59"/>
        <v>1.9145022774981885E-2</v>
      </c>
      <c r="AE45" s="13">
        <f t="shared" si="59"/>
        <v>5.9266848855739039E-3</v>
      </c>
      <c r="AF45" s="13">
        <f t="shared" si="59"/>
        <v>7.2998279284667428E-3</v>
      </c>
      <c r="AG45" s="13">
        <f t="shared" si="59"/>
        <v>3.2088292361185785E-3</v>
      </c>
      <c r="AH45" s="13">
        <f t="shared" si="59"/>
        <v>0</v>
      </c>
    </row>
    <row r="46" spans="1:34">
      <c r="A46" s="8">
        <v>2008</v>
      </c>
      <c r="B46" s="10">
        <f t="shared" si="49"/>
        <v>12624.803642669007</v>
      </c>
      <c r="C46" s="10">
        <f t="shared" si="50"/>
        <v>11141.929341158058</v>
      </c>
      <c r="D46" s="10">
        <f t="shared" si="50"/>
        <v>11149.312388305847</v>
      </c>
      <c r="E46" s="10">
        <f t="shared" si="50"/>
        <v>10800.760382905139</v>
      </c>
      <c r="F46" s="10">
        <f t="shared" si="50"/>
        <v>10013.054639053255</v>
      </c>
      <c r="G46" s="10">
        <f t="shared" si="50"/>
        <v>9610.1390162641692</v>
      </c>
      <c r="H46" s="10">
        <f t="shared" si="50"/>
        <v>9362.3899591334321</v>
      </c>
      <c r="I46" s="16"/>
      <c r="J46" s="16"/>
      <c r="K46" s="16"/>
      <c r="L46" s="47" t="s">
        <v>42</v>
      </c>
      <c r="M46" s="8">
        <v>2008</v>
      </c>
      <c r="N46" s="20"/>
      <c r="O46" s="12">
        <f t="shared" si="51"/>
        <v>0.88254278296264621</v>
      </c>
      <c r="P46" s="12">
        <f t="shared" si="52"/>
        <v>1.000662636328209</v>
      </c>
      <c r="Q46" s="12">
        <f t="shared" si="53"/>
        <v>0.96873780254230801</v>
      </c>
      <c r="R46" s="13">
        <f t="shared" si="54"/>
        <v>0.92706941771445817</v>
      </c>
      <c r="S46" s="13">
        <f t="shared" si="55"/>
        <v>0.95976096832452906</v>
      </c>
      <c r="T46" s="13">
        <f t="shared" si="56"/>
        <v>0.97422003399623591</v>
      </c>
      <c r="U46" s="20"/>
      <c r="V46" s="20"/>
      <c r="W46" s="20"/>
      <c r="Y46" s="44" t="s">
        <v>15</v>
      </c>
      <c r="Z46" s="13">
        <f t="shared" ref="Z46:AH46" si="60">Z43-Z44</f>
        <v>0.78072350207294516</v>
      </c>
      <c r="AA46" s="13">
        <f t="shared" si="60"/>
        <v>0.94204570817609556</v>
      </c>
      <c r="AB46" s="13">
        <f t="shared" si="60"/>
        <v>0.937543701478605</v>
      </c>
      <c r="AC46" s="13">
        <f t="shared" si="60"/>
        <v>0.92523847309595597</v>
      </c>
      <c r="AD46" s="13">
        <f t="shared" si="60"/>
        <v>0.93226814351609588</v>
      </c>
      <c r="AE46" s="13">
        <f t="shared" si="60"/>
        <v>0.96713989109897369</v>
      </c>
      <c r="AF46" s="13">
        <f t="shared" si="60"/>
        <v>0.96993288170004011</v>
      </c>
      <c r="AG46" s="13">
        <f t="shared" si="60"/>
        <v>0.97661424161713029</v>
      </c>
      <c r="AH46" s="13">
        <f t="shared" si="60"/>
        <v>1.0007245800555529</v>
      </c>
    </row>
    <row r="47" spans="1:34">
      <c r="A47" s="8">
        <v>2009</v>
      </c>
      <c r="B47" s="10">
        <f t="shared" si="49"/>
        <v>13106.862601246105</v>
      </c>
      <c r="C47" s="10">
        <f t="shared" si="50"/>
        <v>13667.555107951806</v>
      </c>
      <c r="D47" s="10">
        <f t="shared" si="50"/>
        <v>13427.90871996303</v>
      </c>
      <c r="E47" s="10">
        <f t="shared" si="50"/>
        <v>12887.329242811502</v>
      </c>
      <c r="F47" s="10">
        <f t="shared" si="50"/>
        <v>11950.955751708429</v>
      </c>
      <c r="G47" s="10">
        <f t="shared" si="50"/>
        <v>11531.959691712203</v>
      </c>
      <c r="H47" s="16"/>
      <c r="I47" s="16"/>
      <c r="J47" s="16"/>
      <c r="K47" s="16"/>
      <c r="M47" s="8">
        <v>2009</v>
      </c>
      <c r="N47" s="20"/>
      <c r="O47" s="12">
        <f t="shared" si="51"/>
        <v>1.0427785446268731</v>
      </c>
      <c r="P47" s="12">
        <f t="shared" si="52"/>
        <v>0.98246603828585632</v>
      </c>
      <c r="Q47" s="12">
        <f t="shared" si="53"/>
        <v>0.95974209473528382</v>
      </c>
      <c r="R47" s="13">
        <f t="shared" si="54"/>
        <v>0.92734154040292105</v>
      </c>
      <c r="S47" s="13">
        <f t="shared" si="55"/>
        <v>0.96494037224292051</v>
      </c>
      <c r="T47" s="20"/>
      <c r="U47" s="20"/>
      <c r="V47" s="20"/>
      <c r="W47" s="20"/>
      <c r="Y47" s="44" t="s">
        <v>16</v>
      </c>
      <c r="Z47" s="13">
        <f t="shared" ref="Z47:AH47" si="61">Z43+Z44</f>
        <v>0.94504314285838975</v>
      </c>
      <c r="AA47" s="13">
        <f t="shared" si="61"/>
        <v>1.0095393154112771</v>
      </c>
      <c r="AB47" s="13">
        <f t="shared" si="61"/>
        <v>0.96886318169581043</v>
      </c>
      <c r="AC47" s="13">
        <f t="shared" si="61"/>
        <v>0.96377553822424944</v>
      </c>
      <c r="AD47" s="13">
        <f t="shared" si="61"/>
        <v>0.9686614845388456</v>
      </c>
      <c r="AE47" s="13">
        <f t="shared" si="61"/>
        <v>0.97867210565027585</v>
      </c>
      <c r="AF47" s="13">
        <f t="shared" si="61"/>
        <v>0.98419769868661766</v>
      </c>
      <c r="AG47" s="13">
        <f t="shared" si="61"/>
        <v>0.98290199460456751</v>
      </c>
      <c r="AH47" s="13">
        <f t="shared" si="61"/>
        <v>1.0007245800555529</v>
      </c>
    </row>
    <row r="48" spans="1:34">
      <c r="A48" s="8">
        <v>2010</v>
      </c>
      <c r="B48" s="10">
        <f t="shared" si="49"/>
        <v>16804.83641092437</v>
      </c>
      <c r="C48" s="10">
        <f t="shared" si="50"/>
        <v>14566.533103519669</v>
      </c>
      <c r="D48" s="10">
        <f t="shared" si="50"/>
        <v>14043.57824674022</v>
      </c>
      <c r="E48" s="10">
        <f t="shared" si="50"/>
        <v>13166.640554671969</v>
      </c>
      <c r="F48" s="10">
        <f t="shared" si="50"/>
        <v>12553.180750496031</v>
      </c>
      <c r="G48" s="16"/>
      <c r="H48" s="16"/>
      <c r="I48" s="16"/>
      <c r="J48" s="16"/>
      <c r="K48" s="16"/>
      <c r="M48" s="8">
        <v>2010</v>
      </c>
      <c r="N48" s="20"/>
      <c r="O48" s="12">
        <f t="shared" si="51"/>
        <v>0.86680600437445254</v>
      </c>
      <c r="P48" s="12">
        <f t="shared" si="52"/>
        <v>0.96409887973596897</v>
      </c>
      <c r="Q48" s="12">
        <f t="shared" si="53"/>
        <v>0.93755596496414262</v>
      </c>
      <c r="R48" s="13">
        <f t="shared" si="54"/>
        <v>0.95340802373781963</v>
      </c>
      <c r="S48" s="20"/>
      <c r="T48" s="20"/>
      <c r="U48" s="20"/>
      <c r="V48" s="20"/>
      <c r="W48" s="20"/>
    </row>
    <row r="49" spans="1:26">
      <c r="A49" s="8">
        <v>2011</v>
      </c>
      <c r="B49" s="10">
        <f t="shared" si="49"/>
        <v>16052.01097359736</v>
      </c>
      <c r="C49" s="10">
        <f t="shared" si="50"/>
        <v>14678.172741679873</v>
      </c>
      <c r="D49" s="10">
        <f t="shared" si="50"/>
        <v>13364.940103274559</v>
      </c>
      <c r="E49" s="10">
        <f t="shared" si="50"/>
        <v>12450.425393939395</v>
      </c>
      <c r="F49" s="16"/>
      <c r="G49" s="16"/>
      <c r="H49" s="16"/>
      <c r="I49" s="16"/>
      <c r="J49" s="16"/>
      <c r="K49" s="16"/>
      <c r="M49" s="8">
        <v>2011</v>
      </c>
      <c r="N49" s="20"/>
      <c r="O49" s="12">
        <f t="shared" si="51"/>
        <v>0.91441332589560265</v>
      </c>
      <c r="P49" s="12">
        <f t="shared" si="52"/>
        <v>0.91053159943565165</v>
      </c>
      <c r="Q49" s="12">
        <f t="shared" si="53"/>
        <v>0.93157360210607321</v>
      </c>
      <c r="R49" s="20"/>
      <c r="S49" s="20"/>
      <c r="T49" s="20"/>
      <c r="U49" s="20"/>
      <c r="V49" s="20"/>
      <c r="W49" s="20"/>
    </row>
    <row r="50" spans="1:26">
      <c r="A50" s="8">
        <v>2012</v>
      </c>
      <c r="B50" s="10">
        <f t="shared" si="49"/>
        <v>21971.627251277681</v>
      </c>
      <c r="C50" s="10">
        <f t="shared" si="50"/>
        <v>16496.245702579665</v>
      </c>
      <c r="D50" s="10">
        <f t="shared" si="50"/>
        <v>15745.673648015303</v>
      </c>
      <c r="E50" s="16"/>
      <c r="F50" s="16"/>
      <c r="G50" s="16"/>
      <c r="H50" s="16"/>
      <c r="I50" s="16"/>
      <c r="J50" s="16"/>
      <c r="K50" s="16"/>
      <c r="M50" s="8">
        <v>2012</v>
      </c>
      <c r="N50" s="20"/>
      <c r="O50" s="12">
        <f t="shared" si="51"/>
        <v>0.75079763159646651</v>
      </c>
      <c r="P50" s="12">
        <f t="shared" si="52"/>
        <v>0.95450043191057776</v>
      </c>
      <c r="Q50" s="20"/>
      <c r="R50" s="20"/>
      <c r="S50" s="20"/>
      <c r="T50" s="20"/>
      <c r="U50" s="20"/>
      <c r="V50" s="20"/>
      <c r="W50" s="20"/>
    </row>
    <row r="51" spans="1:26">
      <c r="A51" s="8">
        <v>2013</v>
      </c>
      <c r="B51" s="10">
        <f t="shared" si="49"/>
        <v>19411.206443993509</v>
      </c>
      <c r="C51" s="10">
        <f t="shared" si="50"/>
        <v>16471.988567126085</v>
      </c>
      <c r="D51" s="16"/>
      <c r="E51" s="16"/>
      <c r="F51" s="16"/>
      <c r="G51" s="16"/>
      <c r="H51" s="16"/>
      <c r="I51" s="16"/>
      <c r="J51" s="16"/>
      <c r="K51" s="16"/>
      <c r="M51" s="8">
        <v>2013</v>
      </c>
      <c r="N51" s="20"/>
      <c r="O51" s="12">
        <f t="shared" si="51"/>
        <v>0.84858139109756781</v>
      </c>
      <c r="P51" s="20"/>
      <c r="Q51" s="20"/>
      <c r="R51" s="20"/>
      <c r="S51" s="20"/>
      <c r="T51" s="20"/>
      <c r="U51" s="20"/>
      <c r="V51" s="20"/>
      <c r="W51" s="20"/>
    </row>
    <row r="52" spans="1:26">
      <c r="A52" s="8">
        <v>2014</v>
      </c>
      <c r="B52" s="10">
        <f t="shared" si="49"/>
        <v>21790.034921370967</v>
      </c>
      <c r="C52" s="16"/>
      <c r="D52" s="16"/>
      <c r="E52" s="16"/>
      <c r="F52" s="16"/>
      <c r="G52" s="16"/>
      <c r="H52" s="16"/>
      <c r="I52" s="16"/>
      <c r="J52" s="16"/>
      <c r="K52" s="16"/>
      <c r="M52" s="8">
        <v>2014</v>
      </c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spans="1:26">
      <c r="U53" s="47" t="s">
        <v>41</v>
      </c>
      <c r="V53" s="47" t="s">
        <v>41</v>
      </c>
      <c r="W53" s="47" t="s">
        <v>41</v>
      </c>
      <c r="X53" s="47" t="s">
        <v>41</v>
      </c>
      <c r="Y53" s="47" t="s">
        <v>41</v>
      </c>
      <c r="Z53" s="47" t="s">
        <v>41</v>
      </c>
    </row>
    <row r="56" spans="1:26">
      <c r="A56" s="48" t="s">
        <v>8</v>
      </c>
      <c r="B56" s="48"/>
      <c r="C56" s="48"/>
      <c r="D56" s="48"/>
      <c r="E56" s="48"/>
      <c r="F56" s="5"/>
      <c r="G56" s="5"/>
      <c r="H56" s="5"/>
      <c r="I56" s="5"/>
      <c r="J56" s="5"/>
      <c r="K56" s="5"/>
    </row>
    <row r="57" spans="1:26">
      <c r="A57" s="8" t="s">
        <v>3</v>
      </c>
      <c r="B57" s="8">
        <f t="shared" ref="B57:K57" si="62">B42</f>
        <v>1</v>
      </c>
      <c r="C57" s="8">
        <f t="shared" si="62"/>
        <v>2</v>
      </c>
      <c r="D57" s="8">
        <f t="shared" si="62"/>
        <v>3</v>
      </c>
      <c r="E57" s="8">
        <f t="shared" si="62"/>
        <v>4</v>
      </c>
      <c r="F57" s="8">
        <f t="shared" si="62"/>
        <v>5</v>
      </c>
      <c r="G57" s="8">
        <f t="shared" si="62"/>
        <v>6</v>
      </c>
      <c r="H57" s="8">
        <f t="shared" si="62"/>
        <v>7</v>
      </c>
      <c r="I57" s="8">
        <f t="shared" si="62"/>
        <v>8</v>
      </c>
      <c r="J57" s="8">
        <f t="shared" si="62"/>
        <v>9</v>
      </c>
      <c r="K57" s="8">
        <f t="shared" si="62"/>
        <v>10</v>
      </c>
    </row>
    <row r="58" spans="1:26">
      <c r="A58" s="8">
        <v>2005</v>
      </c>
      <c r="B58" s="11">
        <f t="shared" ref="B58:K58" si="63">B17/B30</f>
        <v>4.6792375669647002E-2</v>
      </c>
      <c r="C58" s="11">
        <f t="shared" si="63"/>
        <v>0.25121980852852616</v>
      </c>
      <c r="D58" s="11">
        <f t="shared" si="63"/>
        <v>0.45458189606454413</v>
      </c>
      <c r="E58" s="35">
        <f t="shared" si="63"/>
        <v>0.62201883216646014</v>
      </c>
      <c r="F58" s="11">
        <f t="shared" si="63"/>
        <v>0.70372192240165243</v>
      </c>
      <c r="G58" s="11">
        <f t="shared" si="63"/>
        <v>0.77035872222596713</v>
      </c>
      <c r="H58" s="11">
        <f t="shared" si="63"/>
        <v>0.8387514556145883</v>
      </c>
      <c r="I58" s="11">
        <f t="shared" si="63"/>
        <v>0.87870176956399737</v>
      </c>
      <c r="J58" s="11">
        <f t="shared" si="63"/>
        <v>0.90928200497979084</v>
      </c>
      <c r="K58" s="11">
        <f t="shared" si="63"/>
        <v>0.91191674571694392</v>
      </c>
    </row>
    <row r="59" spans="1:26">
      <c r="A59" s="8">
        <v>2006</v>
      </c>
      <c r="B59" s="11">
        <f t="shared" ref="B59:I67" si="64">B18/B31</f>
        <v>3.5093535011982521E-2</v>
      </c>
      <c r="C59" s="11">
        <f t="shared" si="64"/>
        <v>0.14452569805324919</v>
      </c>
      <c r="D59" s="11">
        <f t="shared" si="64"/>
        <v>0.36644559040641028</v>
      </c>
      <c r="E59" s="11">
        <f t="shared" si="64"/>
        <v>0.54321123529241089</v>
      </c>
      <c r="F59" s="11">
        <f t="shared" si="64"/>
        <v>0.63492389731309173</v>
      </c>
      <c r="G59" s="11">
        <f t="shared" si="64"/>
        <v>0.77389499160977349</v>
      </c>
      <c r="H59" s="11">
        <f t="shared" si="64"/>
        <v>0.81834949689071956</v>
      </c>
      <c r="I59" s="11">
        <f t="shared" si="64"/>
        <v>0.85607353166971989</v>
      </c>
      <c r="J59" s="11">
        <f>J18/J31</f>
        <v>0.88316722657475744</v>
      </c>
      <c r="K59" s="16"/>
    </row>
    <row r="60" spans="1:26">
      <c r="A60" s="8">
        <v>2007</v>
      </c>
      <c r="B60" s="11">
        <f t="shared" si="64"/>
        <v>1.5341680992800123E-2</v>
      </c>
      <c r="C60" s="11">
        <f t="shared" si="64"/>
        <v>0.10352107426628161</v>
      </c>
      <c r="D60" s="11">
        <f t="shared" si="64"/>
        <v>0.31212078153710499</v>
      </c>
      <c r="E60" s="11">
        <f t="shared" si="64"/>
        <v>0.45872099238396052</v>
      </c>
      <c r="F60" s="11">
        <f t="shared" si="64"/>
        <v>0.5836755144395197</v>
      </c>
      <c r="G60" s="11">
        <f t="shared" si="64"/>
        <v>0.68558388916321056</v>
      </c>
      <c r="H60" s="11">
        <f t="shared" si="64"/>
        <v>0.76180442544938776</v>
      </c>
      <c r="I60" s="11">
        <f t="shared" si="64"/>
        <v>0.79448098953861379</v>
      </c>
      <c r="J60" s="16"/>
      <c r="K60" s="16"/>
    </row>
    <row r="61" spans="1:26">
      <c r="A61" s="8">
        <v>2008</v>
      </c>
      <c r="B61" s="11">
        <f t="shared" si="64"/>
        <v>2.2228657791638923E-2</v>
      </c>
      <c r="C61" s="11">
        <f t="shared" si="64"/>
        <v>0.13479577504547299</v>
      </c>
      <c r="D61" s="11">
        <f t="shared" si="64"/>
        <v>0.32954466771696223</v>
      </c>
      <c r="E61" s="11">
        <f t="shared" si="64"/>
        <v>0.52992513231373939</v>
      </c>
      <c r="F61" s="11">
        <f t="shared" si="64"/>
        <v>0.67244895714840713</v>
      </c>
      <c r="G61" s="11">
        <f t="shared" si="64"/>
        <v>0.73697751947299783</v>
      </c>
      <c r="H61" s="11">
        <f t="shared" si="64"/>
        <v>0.77403371891189587</v>
      </c>
      <c r="I61" s="16"/>
      <c r="J61" s="16"/>
      <c r="K61" s="16"/>
    </row>
    <row r="62" spans="1:26">
      <c r="A62" s="8">
        <v>2009</v>
      </c>
      <c r="B62" s="11">
        <f t="shared" si="64"/>
        <v>3.9969821331344864E-2</v>
      </c>
      <c r="C62" s="11">
        <f t="shared" si="64"/>
        <v>0.15383912703470459</v>
      </c>
      <c r="D62" s="11">
        <f t="shared" si="64"/>
        <v>0.3859894901411618</v>
      </c>
      <c r="E62" s="11">
        <f t="shared" si="64"/>
        <v>0.53966446016039749</v>
      </c>
      <c r="F62" s="11">
        <f t="shared" si="64"/>
        <v>0.64308375885320945</v>
      </c>
      <c r="G62" s="11">
        <f t="shared" si="64"/>
        <v>0.69138069129666002</v>
      </c>
      <c r="H62" s="16"/>
      <c r="I62" s="16"/>
      <c r="J62" s="16"/>
      <c r="K62" s="16"/>
    </row>
    <row r="63" spans="1:26">
      <c r="A63" s="8">
        <v>2010</v>
      </c>
      <c r="B63" s="11">
        <f t="shared" si="64"/>
        <v>4.034519453440804E-2</v>
      </c>
      <c r="C63" s="11">
        <f t="shared" si="64"/>
        <v>0.20757147542440002</v>
      </c>
      <c r="D63" s="11">
        <f t="shared" si="64"/>
        <v>0.45001890030297031</v>
      </c>
      <c r="E63" s="11">
        <f t="shared" si="64"/>
        <v>0.59611650782790637</v>
      </c>
      <c r="F63" s="11">
        <f t="shared" si="64"/>
        <v>0.70078877584737542</v>
      </c>
      <c r="G63" s="16"/>
      <c r="H63" s="16"/>
      <c r="I63" s="16"/>
      <c r="J63" s="16"/>
      <c r="K63" s="16"/>
      <c r="L63" s="47" t="s">
        <v>42</v>
      </c>
    </row>
    <row r="64" spans="1:26">
      <c r="A64" s="8">
        <v>2011</v>
      </c>
      <c r="B64" s="11">
        <f t="shared" si="64"/>
        <v>3.8144018361763822E-2</v>
      </c>
      <c r="C64" s="11">
        <f t="shared" si="64"/>
        <v>0.20007085638514174</v>
      </c>
      <c r="D64" s="11">
        <f t="shared" si="64"/>
        <v>0.4106739917915701</v>
      </c>
      <c r="E64" s="11">
        <f t="shared" si="64"/>
        <v>0.55215087877645852</v>
      </c>
      <c r="F64" s="16"/>
      <c r="G64" s="16"/>
      <c r="H64" s="16"/>
      <c r="I64" s="16"/>
      <c r="J64" s="16"/>
      <c r="K64" s="16"/>
      <c r="L64" s="47" t="s">
        <v>42</v>
      </c>
    </row>
    <row r="65" spans="1:12">
      <c r="A65" s="8">
        <v>2012</v>
      </c>
      <c r="B65" s="11">
        <f t="shared" si="64"/>
        <v>5.6361498077702472E-2</v>
      </c>
      <c r="C65" s="11">
        <f t="shared" si="64"/>
        <v>0.20283347079036923</v>
      </c>
      <c r="D65" s="11">
        <f t="shared" si="64"/>
        <v>0.33400299464397692</v>
      </c>
      <c r="E65" s="16"/>
      <c r="F65" s="16"/>
      <c r="G65" s="16"/>
      <c r="H65" s="16"/>
      <c r="I65" s="16"/>
      <c r="J65" s="16"/>
      <c r="K65" s="16"/>
      <c r="L65" s="47" t="s">
        <v>42</v>
      </c>
    </row>
    <row r="66" spans="1:12">
      <c r="A66" s="8">
        <v>2013</v>
      </c>
      <c r="B66" s="11">
        <f t="shared" si="64"/>
        <v>7.2459245803017436E-2</v>
      </c>
      <c r="C66" s="11">
        <f t="shared" si="64"/>
        <v>0.2030780512198439</v>
      </c>
      <c r="D66" s="16"/>
      <c r="E66" s="16"/>
      <c r="F66" s="16"/>
      <c r="G66" s="16"/>
      <c r="H66" s="16"/>
      <c r="I66" s="16"/>
      <c r="J66" s="16"/>
      <c r="K66" s="16"/>
      <c r="L66" s="47" t="s">
        <v>42</v>
      </c>
    </row>
    <row r="67" spans="1:12">
      <c r="A67" s="8">
        <v>2014</v>
      </c>
      <c r="B67" s="11">
        <f t="shared" si="64"/>
        <v>8.3730872283227842E-2</v>
      </c>
      <c r="C67" s="16"/>
      <c r="D67" s="16"/>
      <c r="E67" s="16"/>
      <c r="F67" s="16"/>
      <c r="G67" s="16"/>
      <c r="H67" s="16"/>
      <c r="I67" s="16"/>
      <c r="J67" s="16"/>
      <c r="K67" s="16"/>
      <c r="L67" s="47" t="s">
        <v>42</v>
      </c>
    </row>
    <row r="68" spans="1:12">
      <c r="L68" s="47" t="s">
        <v>42</v>
      </c>
    </row>
    <row r="69" spans="1:12">
      <c r="A69" s="48" t="s">
        <v>40</v>
      </c>
      <c r="B69" s="48"/>
      <c r="C69" s="48"/>
      <c r="D69" s="48"/>
      <c r="E69" s="48"/>
      <c r="F69" s="5"/>
      <c r="G69" s="5"/>
      <c r="H69" s="5"/>
      <c r="I69" s="5"/>
      <c r="J69" s="5"/>
      <c r="K69" s="5"/>
      <c r="L69" s="47" t="s">
        <v>42</v>
      </c>
    </row>
    <row r="70" spans="1:12">
      <c r="A70" s="8" t="s">
        <v>3</v>
      </c>
      <c r="B70" s="8">
        <f t="shared" ref="B70:K70" si="65">B57</f>
        <v>1</v>
      </c>
      <c r="C70" s="8">
        <f t="shared" si="65"/>
        <v>2</v>
      </c>
      <c r="D70" s="8">
        <f t="shared" si="65"/>
        <v>3</v>
      </c>
      <c r="E70" s="8">
        <f t="shared" si="65"/>
        <v>4</v>
      </c>
      <c r="F70" s="8">
        <f t="shared" si="65"/>
        <v>5</v>
      </c>
      <c r="G70" s="8">
        <f t="shared" si="65"/>
        <v>6</v>
      </c>
      <c r="H70" s="8">
        <f t="shared" si="65"/>
        <v>7</v>
      </c>
      <c r="I70" s="8">
        <f t="shared" si="65"/>
        <v>8</v>
      </c>
      <c r="J70" s="8">
        <f t="shared" si="65"/>
        <v>9</v>
      </c>
      <c r="K70" s="8">
        <f t="shared" si="65"/>
        <v>10</v>
      </c>
      <c r="L70" s="47" t="s">
        <v>42</v>
      </c>
    </row>
    <row r="71" spans="1:12">
      <c r="A71" s="8">
        <v>2005</v>
      </c>
      <c r="B71" s="16"/>
      <c r="C71" s="10">
        <f t="shared" ref="C71:K71" si="66">(B43-C43)*C4</f>
        <v>10173486.51743158</v>
      </c>
      <c r="D71" s="10">
        <f t="shared" si="66"/>
        <v>-933897.58448717836</v>
      </c>
      <c r="E71" s="10">
        <f t="shared" si="66"/>
        <v>2050815.379629299</v>
      </c>
      <c r="F71" s="10">
        <f t="shared" si="66"/>
        <v>653057.93966812629</v>
      </c>
      <c r="G71" s="10">
        <f t="shared" si="66"/>
        <v>952403.02599999902</v>
      </c>
      <c r="H71" s="10">
        <f t="shared" si="66"/>
        <v>692577.63483522332</v>
      </c>
      <c r="I71" s="10">
        <f t="shared" si="66"/>
        <v>762061.78199999977</v>
      </c>
      <c r="J71" s="10">
        <f t="shared" si="66"/>
        <v>664075.77000000165</v>
      </c>
      <c r="K71" s="10">
        <f t="shared" si="66"/>
        <v>-20094.426000002946</v>
      </c>
      <c r="L71" s="47" t="s">
        <v>42</v>
      </c>
    </row>
    <row r="72" spans="1:12">
      <c r="A72" s="8">
        <v>2006</v>
      </c>
      <c r="B72" s="16"/>
      <c r="C72" s="10">
        <f t="shared" ref="C72:I79" si="67">(B44-C44)*C5</f>
        <v>5131906.8950285781</v>
      </c>
      <c r="D72" s="10">
        <f t="shared" si="67"/>
        <v>1211189.8190689657</v>
      </c>
      <c r="E72" s="10">
        <f t="shared" si="67"/>
        <v>868315.05297625286</v>
      </c>
      <c r="F72" s="10">
        <f t="shared" si="67"/>
        <v>1538701.5956591335</v>
      </c>
      <c r="G72" s="10">
        <f t="shared" si="67"/>
        <v>1937889.427999997</v>
      </c>
      <c r="H72" s="10">
        <f t="shared" si="67"/>
        <v>649611.68600000301</v>
      </c>
      <c r="I72" s="10">
        <f t="shared" si="67"/>
        <v>834501.36999999988</v>
      </c>
      <c r="J72" s="10">
        <f>(I44-J44)*J5</f>
        <v>467466.39999999967</v>
      </c>
      <c r="K72" s="16"/>
      <c r="L72" s="47" t="s">
        <v>42</v>
      </c>
    </row>
    <row r="73" spans="1:12">
      <c r="A73" s="8">
        <v>2007</v>
      </c>
      <c r="B73" s="16"/>
      <c r="C73" s="10">
        <f t="shared" si="67"/>
        <v>6609333.7767368359</v>
      </c>
      <c r="D73" s="10">
        <f t="shared" si="67"/>
        <v>-29542.252524405922</v>
      </c>
      <c r="E73" s="10">
        <f t="shared" si="67"/>
        <v>1420900.6672459813</v>
      </c>
      <c r="F73" s="10">
        <f t="shared" si="67"/>
        <v>2655781.3348070187</v>
      </c>
      <c r="G73" s="10">
        <f t="shared" si="67"/>
        <v>2671743.3179651173</v>
      </c>
      <c r="H73" s="10">
        <f t="shared" si="67"/>
        <v>1158088.4794061549</v>
      </c>
      <c r="I73" s="10">
        <f t="shared" si="67"/>
        <v>395163.13415679912</v>
      </c>
      <c r="J73" s="16"/>
      <c r="K73" s="16"/>
      <c r="L73" s="47" t="s">
        <v>42</v>
      </c>
    </row>
    <row r="74" spans="1:12">
      <c r="A74" s="8">
        <v>2008</v>
      </c>
      <c r="B74" s="16"/>
      <c r="C74" s="10">
        <f t="shared" si="67"/>
        <v>5685340.0719929766</v>
      </c>
      <c r="D74" s="10">
        <f t="shared" si="67"/>
        <v>-29546.954685449986</v>
      </c>
      <c r="E74" s="10">
        <f t="shared" si="67"/>
        <v>1410938.5178620676</v>
      </c>
      <c r="F74" s="10">
        <f t="shared" si="67"/>
        <v>3194934.4970632419</v>
      </c>
      <c r="G74" s="10">
        <f t="shared" si="67"/>
        <v>1635031.5972781081</v>
      </c>
      <c r="H74" s="10">
        <f t="shared" si="67"/>
        <v>1006356.6700650542</v>
      </c>
      <c r="I74" s="16"/>
      <c r="J74" s="16"/>
      <c r="K74" s="16"/>
      <c r="L74" s="47" t="s">
        <v>42</v>
      </c>
    </row>
    <row r="75" spans="1:12">
      <c r="A75" s="8">
        <v>2009</v>
      </c>
      <c r="B75" s="16"/>
      <c r="C75" s="10">
        <f t="shared" si="67"/>
        <v>-2326873.9028286627</v>
      </c>
      <c r="D75" s="10">
        <f t="shared" si="67"/>
        <v>1037189.5672154228</v>
      </c>
      <c r="E75" s="10">
        <f t="shared" si="67"/>
        <v>2368819.2688779975</v>
      </c>
      <c r="F75" s="10">
        <f t="shared" si="67"/>
        <v>4110679.6259424919</v>
      </c>
      <c r="G75" s="10">
        <f t="shared" si="67"/>
        <v>1840230.6955034207</v>
      </c>
      <c r="H75" s="16"/>
      <c r="I75" s="16"/>
      <c r="J75" s="16"/>
      <c r="K75" s="16"/>
    </row>
    <row r="76" spans="1:12">
      <c r="A76" s="8">
        <v>2010</v>
      </c>
      <c r="B76" s="16"/>
      <c r="C76" s="10">
        <f t="shared" si="67"/>
        <v>8648803.9798117671</v>
      </c>
      <c r="D76" s="10">
        <f t="shared" si="67"/>
        <v>2085543.9688364393</v>
      </c>
      <c r="E76" s="10">
        <f t="shared" si="67"/>
        <v>3528797.2728826446</v>
      </c>
      <c r="F76" s="10">
        <f t="shared" si="67"/>
        <v>2473469.9304373828</v>
      </c>
      <c r="G76" s="16"/>
      <c r="H76" s="16"/>
      <c r="I76" s="16"/>
      <c r="J76" s="16"/>
      <c r="K76" s="16"/>
    </row>
    <row r="77" spans="1:12">
      <c r="A77" s="8">
        <v>2011</v>
      </c>
      <c r="B77" s="16"/>
      <c r="C77" s="10">
        <f t="shared" si="67"/>
        <v>5201351.5460396064</v>
      </c>
      <c r="D77" s="10">
        <f t="shared" si="67"/>
        <v>5213533.574469097</v>
      </c>
      <c r="E77" s="10">
        <f t="shared" si="67"/>
        <v>3681836.2197833713</v>
      </c>
      <c r="F77" s="16"/>
      <c r="G77" s="16"/>
      <c r="H77" s="16"/>
      <c r="I77" s="16"/>
      <c r="J77" s="16"/>
      <c r="K77" s="16"/>
    </row>
    <row r="78" spans="1:12">
      <c r="A78" s="8">
        <v>2012</v>
      </c>
      <c r="B78" s="16"/>
      <c r="C78" s="10">
        <f t="shared" si="67"/>
        <v>21649658.643551957</v>
      </c>
      <c r="D78" s="10">
        <f t="shared" si="67"/>
        <v>3138892.3321881606</v>
      </c>
      <c r="E78" s="16"/>
      <c r="F78" s="16"/>
      <c r="G78" s="16"/>
      <c r="H78" s="16"/>
      <c r="I78" s="16"/>
      <c r="J78" s="16"/>
      <c r="K78" s="16"/>
    </row>
    <row r="79" spans="1:12">
      <c r="A79" s="8">
        <v>2013</v>
      </c>
      <c r="B79" s="16"/>
      <c r="C79" s="10">
        <f t="shared" si="67"/>
        <v>11515855.641566567</v>
      </c>
      <c r="D79" s="16"/>
      <c r="E79" s="16"/>
      <c r="F79" s="16"/>
      <c r="G79" s="16"/>
      <c r="H79" s="16"/>
      <c r="I79" s="16"/>
      <c r="J79" s="16"/>
      <c r="K79" s="16"/>
    </row>
    <row r="80" spans="1:12">
      <c r="A80" s="8">
        <v>2014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</row>
  </sheetData>
  <mergeCells count="14">
    <mergeCell ref="M2:Q2"/>
    <mergeCell ref="M15:Q15"/>
    <mergeCell ref="M28:Q28"/>
    <mergeCell ref="M41:Q41"/>
    <mergeCell ref="Y15:AC15"/>
    <mergeCell ref="Y28:AC28"/>
    <mergeCell ref="Y41:AC41"/>
    <mergeCell ref="Y2:AC2"/>
    <mergeCell ref="A69:E69"/>
    <mergeCell ref="A2:E2"/>
    <mergeCell ref="A15:E15"/>
    <mergeCell ref="A28:E28"/>
    <mergeCell ref="A41:E41"/>
    <mergeCell ref="A56:E5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Q49"/>
  <sheetViews>
    <sheetView zoomScale="80" zoomScaleNormal="80" workbookViewId="0">
      <selection activeCell="Q14" sqref="Q14:Q25"/>
    </sheetView>
  </sheetViews>
  <sheetFormatPr baseColWidth="10" defaultRowHeight="14.4"/>
  <cols>
    <col min="3" max="3" width="11.88671875" customWidth="1"/>
  </cols>
  <sheetData>
    <row r="2" spans="1:17">
      <c r="A2" s="52" t="s">
        <v>0</v>
      </c>
      <c r="B2" s="52"/>
      <c r="C2" s="52"/>
      <c r="D2" s="52"/>
      <c r="E2" s="52"/>
      <c r="F2" s="43"/>
      <c r="G2" s="43"/>
      <c r="H2" s="43"/>
      <c r="I2" s="43"/>
      <c r="J2" s="43"/>
      <c r="K2" s="43"/>
    </row>
    <row r="3" spans="1:17">
      <c r="A3" s="8" t="s">
        <v>1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18" t="s">
        <v>17</v>
      </c>
    </row>
    <row r="4" spans="1:17">
      <c r="A4" s="8">
        <v>2005</v>
      </c>
      <c r="B4" s="9">
        <f>SUM(Triangles!$B3:B3)</f>
        <v>1330</v>
      </c>
      <c r="C4" s="9">
        <f>SUM(Triangles!$B3:C3)</f>
        <v>2184</v>
      </c>
      <c r="D4" s="9">
        <f>SUM(Triangles!$B3:D3)</f>
        <v>2266</v>
      </c>
      <c r="E4" s="9">
        <f>SUM(Triangles!$B3:E3)</f>
        <v>2290</v>
      </c>
      <c r="F4" s="9">
        <f>SUM(Triangles!$B3:F3)</f>
        <v>2294</v>
      </c>
      <c r="G4" s="9">
        <f>SUM(Triangles!$B3:G3)</f>
        <v>2294</v>
      </c>
      <c r="H4" s="9">
        <f>SUM(Triangles!$B3:H3)</f>
        <v>2298</v>
      </c>
      <c r="I4" s="9">
        <f>SUM(Triangles!$B3:I3)</f>
        <v>2298</v>
      </c>
      <c r="J4" s="9">
        <f>SUM(Triangles!$B3:J3)</f>
        <v>2298</v>
      </c>
      <c r="K4" s="9">
        <f>SUM(Triangles!$B3:K3)</f>
        <v>2298</v>
      </c>
      <c r="L4" s="19">
        <f>K4-K4</f>
        <v>0</v>
      </c>
    </row>
    <row r="5" spans="1:17">
      <c r="A5" s="8">
        <v>2006</v>
      </c>
      <c r="B5" s="9">
        <f>SUM(Triangles!$B4:B4)</f>
        <v>1330</v>
      </c>
      <c r="C5" s="9">
        <f>SUM(Triangles!$B4:C4)</f>
        <v>2204</v>
      </c>
      <c r="D5" s="9">
        <f>SUM(Triangles!$B4:D4)</f>
        <v>2274</v>
      </c>
      <c r="E5" s="9">
        <f>SUM(Triangles!$B4:E4)</f>
        <v>2300</v>
      </c>
      <c r="F5" s="9">
        <f>SUM(Triangles!$B4:F4)</f>
        <v>2312</v>
      </c>
      <c r="G5" s="9">
        <f>SUM(Triangles!$B4:G4)</f>
        <v>2312</v>
      </c>
      <c r="H5" s="9">
        <f>SUM(Triangles!$B4:H4)</f>
        <v>2312</v>
      </c>
      <c r="I5" s="9">
        <f>SUM(Triangles!$B4:I4)</f>
        <v>2312</v>
      </c>
      <c r="J5" s="9">
        <f>SUM(Triangles!$B4:J4)</f>
        <v>2312</v>
      </c>
      <c r="K5" s="20">
        <f>J5*K$16</f>
        <v>2312</v>
      </c>
      <c r="L5" s="19">
        <f>K5-J5</f>
        <v>0</v>
      </c>
    </row>
    <row r="6" spans="1:17">
      <c r="A6" s="8">
        <v>2007</v>
      </c>
      <c r="B6" s="9">
        <f>SUM(Triangles!$B5:B5)</f>
        <v>1786</v>
      </c>
      <c r="C6" s="9">
        <f>SUM(Triangles!$B5:C5)</f>
        <v>3196</v>
      </c>
      <c r="D6" s="9">
        <f>SUM(Triangles!$B5:D5)</f>
        <v>3358</v>
      </c>
      <c r="E6" s="9">
        <f>SUM(Triangles!$B5:E5)</f>
        <v>3420</v>
      </c>
      <c r="F6" s="9">
        <f>SUM(Triangles!$B5:F5)</f>
        <v>3440</v>
      </c>
      <c r="G6" s="9">
        <f>SUM(Triangles!$B5:G5)</f>
        <v>3442</v>
      </c>
      <c r="H6" s="9">
        <f>SUM(Triangles!$B5:H5)</f>
        <v>3444</v>
      </c>
      <c r="I6" s="9">
        <f>SUM(Triangles!$B5:I5)</f>
        <v>3446</v>
      </c>
      <c r="J6" s="20">
        <f>I6*J$16</f>
        <v>3446</v>
      </c>
      <c r="K6" s="20">
        <f>J6*K$16</f>
        <v>3446</v>
      </c>
      <c r="L6" s="19">
        <f>K6-I6</f>
        <v>0</v>
      </c>
    </row>
    <row r="7" spans="1:17">
      <c r="A7" s="8">
        <v>2008</v>
      </c>
      <c r="B7" s="9">
        <f>SUM(Triangles!$B6:B6)</f>
        <v>2278</v>
      </c>
      <c r="C7" s="9">
        <f>SUM(Triangles!$B6:C6)</f>
        <v>3834</v>
      </c>
      <c r="D7" s="9">
        <f>SUM(Triangles!$B6:D6)</f>
        <v>4002</v>
      </c>
      <c r="E7" s="9">
        <f>SUM(Triangles!$B6:E6)</f>
        <v>4048</v>
      </c>
      <c r="F7" s="9">
        <f>SUM(Triangles!$B6:F6)</f>
        <v>4056</v>
      </c>
      <c r="G7" s="9">
        <f>SUM(Triangles!$B6:G6)</f>
        <v>4058</v>
      </c>
      <c r="H7" s="9">
        <f>SUM(Triangles!$B6:H6)</f>
        <v>4062</v>
      </c>
      <c r="I7" s="20">
        <f>H7*I$16</f>
        <v>4063.0086913334994</v>
      </c>
      <c r="J7" s="20">
        <f t="shared" ref="J7:K7" si="0">I7*J$16</f>
        <v>4063.0086913334994</v>
      </c>
      <c r="K7" s="20">
        <f t="shared" si="0"/>
        <v>4063.0086913334994</v>
      </c>
      <c r="L7" s="19">
        <f>K7-H7</f>
        <v>1.0086913334994279</v>
      </c>
    </row>
    <row r="8" spans="1:17">
      <c r="A8" s="8">
        <v>2009</v>
      </c>
      <c r="B8" s="9">
        <f>SUM(Triangles!$B7:B7)</f>
        <v>2568</v>
      </c>
      <c r="C8" s="9">
        <f>SUM(Triangles!$B7:C7)</f>
        <v>4150</v>
      </c>
      <c r="D8" s="9">
        <f>SUM(Triangles!$B7:D7)</f>
        <v>4328</v>
      </c>
      <c r="E8" s="9">
        <f>SUM(Triangles!$B7:E7)</f>
        <v>4382</v>
      </c>
      <c r="F8" s="9">
        <f>SUM(Triangles!$B7:F7)</f>
        <v>4390</v>
      </c>
      <c r="G8" s="9">
        <f>SUM(Triangles!$B7:G7)</f>
        <v>4392</v>
      </c>
      <c r="H8" s="20">
        <f>G8*H$16</f>
        <v>4395.6279530811171</v>
      </c>
      <c r="I8" s="20">
        <f t="shared" ref="I8:K8" si="1">H8*I$16</f>
        <v>4396.7194921804676</v>
      </c>
      <c r="J8" s="20">
        <f t="shared" si="1"/>
        <v>4396.7194921804676</v>
      </c>
      <c r="K8" s="20">
        <f t="shared" si="1"/>
        <v>4396.7194921804676</v>
      </c>
      <c r="L8" s="19">
        <f>K8-G8</f>
        <v>4.7194921804675687</v>
      </c>
    </row>
    <row r="9" spans="1:17">
      <c r="A9" s="8">
        <v>2010</v>
      </c>
      <c r="B9" s="9">
        <f>SUM(Triangles!$B8:B8)</f>
        <v>2380</v>
      </c>
      <c r="C9" s="9">
        <f>SUM(Triangles!$B8:C8)</f>
        <v>3864</v>
      </c>
      <c r="D9" s="9">
        <f>SUM(Triangles!$B8:D8)</f>
        <v>3988</v>
      </c>
      <c r="E9" s="9">
        <f>SUM(Triangles!$B8:E8)</f>
        <v>4024</v>
      </c>
      <c r="F9" s="9">
        <f>SUM(Triangles!$B8:F8)</f>
        <v>4032</v>
      </c>
      <c r="G9" s="21">
        <f>F9*G$16</f>
        <v>4033.4668930390499</v>
      </c>
      <c r="H9" s="21">
        <f t="shared" ref="H9:K9" si="2">G9*H$16</f>
        <v>4036.7986846242466</v>
      </c>
      <c r="I9" s="21">
        <f t="shared" si="2"/>
        <v>4037.8011178709876</v>
      </c>
      <c r="J9" s="21">
        <f t="shared" si="2"/>
        <v>4037.8011178709876</v>
      </c>
      <c r="K9" s="21">
        <f t="shared" si="2"/>
        <v>4037.8011178709876</v>
      </c>
      <c r="L9" s="19">
        <f>K9-F9</f>
        <v>5.8011178709875821</v>
      </c>
    </row>
    <row r="10" spans="1:17">
      <c r="A10" s="8">
        <v>2011</v>
      </c>
      <c r="B10" s="9">
        <f>SUM(Triangles!$B9:B9)</f>
        <v>2424</v>
      </c>
      <c r="C10" s="9">
        <f>SUM(Triangles!$B9:C9)</f>
        <v>3786</v>
      </c>
      <c r="D10" s="9">
        <f>SUM(Triangles!$B9:D9)</f>
        <v>3970</v>
      </c>
      <c r="E10" s="9">
        <f>SUM(Triangles!$B9:E9)</f>
        <v>4026</v>
      </c>
      <c r="F10" s="21">
        <f>E10*F$16</f>
        <v>4037.8041438623923</v>
      </c>
      <c r="G10" s="21">
        <f t="shared" ref="G10:K10" si="3">F10*G$16</f>
        <v>4039.2731485230265</v>
      </c>
      <c r="H10" s="21">
        <f t="shared" si="3"/>
        <v>4042.6097362882033</v>
      </c>
      <c r="I10" s="21">
        <f t="shared" si="3"/>
        <v>4043.6136125574581</v>
      </c>
      <c r="J10" s="21">
        <f t="shared" si="3"/>
        <v>4043.6136125574581</v>
      </c>
      <c r="K10" s="21">
        <f t="shared" si="3"/>
        <v>4043.6136125574581</v>
      </c>
      <c r="L10" s="19">
        <f>K10-E10</f>
        <v>17.613612557458055</v>
      </c>
    </row>
    <row r="11" spans="1:17">
      <c r="A11" s="8">
        <v>2012</v>
      </c>
      <c r="B11" s="9">
        <f>SUM(Triangles!$B10:B10)</f>
        <v>2348</v>
      </c>
      <c r="C11" s="9">
        <f>SUM(Triangles!$B10:C10)</f>
        <v>3954</v>
      </c>
      <c r="D11" s="9">
        <f>SUM(Triangles!$B10:D10)</f>
        <v>4182</v>
      </c>
      <c r="E11" s="21">
        <f>D11*E$16</f>
        <v>4234.5646241627392</v>
      </c>
      <c r="F11" s="21">
        <f t="shared" ref="F11:K11" si="4">E11*F$16</f>
        <v>4246.9802749372584</v>
      </c>
      <c r="G11" s="21">
        <f t="shared" si="4"/>
        <v>4248.5253805429838</v>
      </c>
      <c r="H11" s="21">
        <f t="shared" si="4"/>
        <v>4252.0348183263504</v>
      </c>
      <c r="I11" s="21">
        <f t="shared" si="4"/>
        <v>4253.0906998307773</v>
      </c>
      <c r="J11" s="21">
        <f t="shared" si="4"/>
        <v>4253.0906998307773</v>
      </c>
      <c r="K11" s="21">
        <f t="shared" si="4"/>
        <v>4253.0906998307773</v>
      </c>
      <c r="L11" s="19">
        <f>K11-D11</f>
        <v>71.090699830777339</v>
      </c>
    </row>
    <row r="12" spans="1:17">
      <c r="A12" s="8">
        <v>2013</v>
      </c>
      <c r="B12" s="9">
        <f>SUM(Triangles!$B11:B11)</f>
        <v>2464</v>
      </c>
      <c r="C12" s="9">
        <f>SUM(Triangles!$B11:C11)</f>
        <v>3918</v>
      </c>
      <c r="D12" s="21">
        <f>C12*D$16</f>
        <v>4090.454291182099</v>
      </c>
      <c r="E12" s="21">
        <f t="shared" ref="E12:K12" si="5">D12*E$16</f>
        <v>4141.8682539919628</v>
      </c>
      <c r="F12" s="21">
        <f t="shared" si="5"/>
        <v>4154.0121210384596</v>
      </c>
      <c r="G12" s="21">
        <f t="shared" si="5"/>
        <v>4155.5234036437369</v>
      </c>
      <c r="H12" s="21">
        <f t="shared" si="5"/>
        <v>4158.9560183832409</v>
      </c>
      <c r="I12" s="21">
        <f t="shared" si="5"/>
        <v>4159.98878620504</v>
      </c>
      <c r="J12" s="21">
        <f t="shared" si="5"/>
        <v>4159.98878620504</v>
      </c>
      <c r="K12" s="21">
        <f t="shared" si="5"/>
        <v>4159.98878620504</v>
      </c>
      <c r="L12" s="19">
        <f>K12-C12</f>
        <v>241.98878620504001</v>
      </c>
    </row>
    <row r="13" spans="1:17">
      <c r="A13" s="8">
        <v>2014</v>
      </c>
      <c r="B13" s="9">
        <f>SUM(Triangles!$B12:B12)</f>
        <v>1984</v>
      </c>
      <c r="C13" s="21">
        <f>B13*C$16</f>
        <v>3262.2466680770044</v>
      </c>
      <c r="D13" s="21">
        <f t="shared" ref="D13:K13" si="6">C13*D$16</f>
        <v>3405.8373870163573</v>
      </c>
      <c r="E13" s="21">
        <f t="shared" si="6"/>
        <v>3448.6462254209291</v>
      </c>
      <c r="F13" s="21">
        <f t="shared" si="6"/>
        <v>3458.7575806557438</v>
      </c>
      <c r="G13" s="21">
        <f t="shared" si="6"/>
        <v>3460.0159207893807</v>
      </c>
      <c r="H13" s="21">
        <f t="shared" si="6"/>
        <v>3462.8740208395952</v>
      </c>
      <c r="I13" s="21">
        <f t="shared" si="6"/>
        <v>3463.7339349247309</v>
      </c>
      <c r="J13" s="21">
        <f t="shared" si="6"/>
        <v>3463.7339349247309</v>
      </c>
      <c r="K13" s="21">
        <f t="shared" si="6"/>
        <v>3463.7339349247309</v>
      </c>
      <c r="L13" s="19">
        <f>K13-B13</f>
        <v>1479.7339349247309</v>
      </c>
    </row>
    <row r="14" spans="1:17">
      <c r="L14" s="17">
        <f>SUM(L4:L13)</f>
        <v>1821.9563349029609</v>
      </c>
      <c r="Q14" s="47" t="s">
        <v>42</v>
      </c>
    </row>
    <row r="15" spans="1:17">
      <c r="C15" s="8">
        <v>1</v>
      </c>
      <c r="D15" s="8">
        <v>2</v>
      </c>
      <c r="E15" s="8">
        <v>3</v>
      </c>
      <c r="F15" s="8">
        <v>4</v>
      </c>
      <c r="G15" s="8">
        <v>5</v>
      </c>
      <c r="H15" s="8">
        <v>6</v>
      </c>
      <c r="I15" s="8">
        <v>7</v>
      </c>
      <c r="J15" s="8">
        <v>8</v>
      </c>
      <c r="K15" s="8">
        <v>9</v>
      </c>
      <c r="Q15" s="47" t="s">
        <v>42</v>
      </c>
    </row>
    <row r="16" spans="1:17">
      <c r="C16" s="45">
        <f>SUM(C4:C12)/SUM(B4:B12)</f>
        <v>1.6442775544742967</v>
      </c>
      <c r="D16" s="46">
        <f>SUM(D4:D11)/SUM(C4:C11)</f>
        <v>1.0440158987192698</v>
      </c>
      <c r="E16" s="46">
        <f>SUM(E4:E10)/SUM(D4:D10)</f>
        <v>1.0125692549408749</v>
      </c>
      <c r="F16" s="46">
        <f>SUM(F4:F9)/SUM(E4:E9)</f>
        <v>1.0029319781078967</v>
      </c>
      <c r="G16" s="46">
        <f>SUM(G4:G8)/SUM(F4:F8)</f>
        <v>1.0003638127577008</v>
      </c>
      <c r="H16" s="46">
        <f>SUM(H4:H7)/SUM(G4:G7)</f>
        <v>1.0008260366760284</v>
      </c>
      <c r="I16" s="46">
        <f>SUM(I4:I6)/SUM(H4:H6)</f>
        <v>1.0002483238142539</v>
      </c>
      <c r="J16" s="46">
        <f>SUM(J4:J5)/SUM(I4:I5)</f>
        <v>1</v>
      </c>
      <c r="K16" s="46">
        <f>SUM(K4)/SUM(J4)</f>
        <v>1</v>
      </c>
      <c r="Q16" s="47" t="s">
        <v>42</v>
      </c>
    </row>
    <row r="17" spans="1:17">
      <c r="Q17" s="47" t="s">
        <v>42</v>
      </c>
    </row>
    <row r="18" spans="1:17">
      <c r="A18" s="48" t="s">
        <v>2</v>
      </c>
      <c r="B18" s="53"/>
      <c r="C18" s="53"/>
      <c r="D18" s="53"/>
      <c r="E18" s="53"/>
      <c r="Q18" s="47" t="s">
        <v>42</v>
      </c>
    </row>
    <row r="19" spans="1:17">
      <c r="A19" s="8" t="s">
        <v>3</v>
      </c>
      <c r="B19" s="8">
        <f t="shared" ref="B19:K19" si="7">B3</f>
        <v>1</v>
      </c>
      <c r="C19" s="8">
        <f t="shared" si="7"/>
        <v>2</v>
      </c>
      <c r="D19" s="8">
        <f t="shared" si="7"/>
        <v>3</v>
      </c>
      <c r="E19" s="8">
        <f t="shared" si="7"/>
        <v>4</v>
      </c>
      <c r="F19" s="8">
        <f t="shared" si="7"/>
        <v>5</v>
      </c>
      <c r="G19" s="8">
        <f t="shared" si="7"/>
        <v>6</v>
      </c>
      <c r="H19" s="8">
        <f t="shared" si="7"/>
        <v>7</v>
      </c>
      <c r="I19" s="8">
        <f t="shared" si="7"/>
        <v>8</v>
      </c>
      <c r="J19" s="8">
        <f t="shared" si="7"/>
        <v>9</v>
      </c>
      <c r="K19" s="8">
        <f t="shared" si="7"/>
        <v>10</v>
      </c>
      <c r="L19" s="15" t="s">
        <v>18</v>
      </c>
      <c r="M19" s="15" t="s">
        <v>19</v>
      </c>
      <c r="N19" s="15" t="s">
        <v>20</v>
      </c>
      <c r="O19" s="22" t="s">
        <v>21</v>
      </c>
      <c r="Q19" s="47" t="s">
        <v>42</v>
      </c>
    </row>
    <row r="20" spans="1:17">
      <c r="A20" s="8">
        <v>2005</v>
      </c>
      <c r="B20" s="10">
        <f>'Triangles Analyse'!B17</f>
        <v>1171960.0660000001</v>
      </c>
      <c r="C20" s="10">
        <f>'Triangles Analyse'!C17</f>
        <v>7776413.6119999997</v>
      </c>
      <c r="D20" s="10">
        <f>'Triangles Analyse'!D17</f>
        <v>15024264.767999999</v>
      </c>
      <c r="E20" s="10">
        <f>'Triangles Analyse'!E17</f>
        <v>19500271.280000001</v>
      </c>
      <c r="F20" s="10">
        <f>'Triangles Analyse'!F17</f>
        <v>21640625.112</v>
      </c>
      <c r="G20" s="10">
        <f>'Triangles Analyse'!G17</f>
        <v>22956126.085999999</v>
      </c>
      <c r="H20" s="10">
        <f>'Triangles Analyse'!H17</f>
        <v>24456860.813999999</v>
      </c>
      <c r="I20" s="10">
        <f>'Triangles Analyse'!I17</f>
        <v>24952133.031999998</v>
      </c>
      <c r="J20" s="10">
        <f>'Triangles Analyse'!J17</f>
        <v>25216675.261999998</v>
      </c>
      <c r="K20" s="10">
        <f>'Triangles Analyse'!K17</f>
        <v>25308067.687999997</v>
      </c>
      <c r="L20" s="10">
        <f>K20-K20</f>
        <v>0</v>
      </c>
      <c r="M20" s="10">
        <f>Triangles!K29</f>
        <v>2444540</v>
      </c>
      <c r="N20" s="10">
        <f>L37</f>
        <v>0</v>
      </c>
      <c r="O20" s="10">
        <f>M20+N20</f>
        <v>2444540</v>
      </c>
      <c r="Q20" s="47" t="s">
        <v>42</v>
      </c>
    </row>
    <row r="21" spans="1:17">
      <c r="A21" s="8">
        <v>2006</v>
      </c>
      <c r="B21" s="10">
        <f>'Triangles Analyse'!B18</f>
        <v>803251.19200000004</v>
      </c>
      <c r="C21" s="10">
        <f>'Triangles Analyse'!C18</f>
        <v>4740184.5659999996</v>
      </c>
      <c r="D21" s="10">
        <f>'Triangles Analyse'!D18</f>
        <v>11956646.263999999</v>
      </c>
      <c r="E21" s="10">
        <f>'Triangles Analyse'!E18</f>
        <v>17455254.717999998</v>
      </c>
      <c r="F21" s="10">
        <f>'Triangles Analyse'!F18</f>
        <v>19531787.939999998</v>
      </c>
      <c r="G21" s="10">
        <f>'Triangles Analyse'!G18</f>
        <v>22307150.511999998</v>
      </c>
      <c r="H21" s="10">
        <f>'Triangles Analyse'!H18</f>
        <v>23056920.825999998</v>
      </c>
      <c r="I21" s="10">
        <f>'Triangles Analyse'!I18</f>
        <v>23405397.455999997</v>
      </c>
      <c r="J21" s="10">
        <f>'Triangles Analyse'!J18</f>
        <v>23733299.055999998</v>
      </c>
      <c r="K21" s="16">
        <f t="shared" ref="K21" si="8">J21*K$32</f>
        <v>23819315.303390868</v>
      </c>
      <c r="L21" s="10">
        <f>K21-J21</f>
        <v>86016.247390870005</v>
      </c>
      <c r="M21" s="10">
        <f>Triangles!J30</f>
        <v>3139640</v>
      </c>
      <c r="N21" s="10">
        <f t="shared" ref="N21:N29" si="9">L38</f>
        <v>19471.59567406401</v>
      </c>
      <c r="O21" s="10">
        <f t="shared" ref="O21:O29" si="10">M21+N21</f>
        <v>3159111.595674064</v>
      </c>
      <c r="Q21" s="47" t="s">
        <v>42</v>
      </c>
    </row>
    <row r="22" spans="1:17">
      <c r="A22" s="8">
        <v>2007</v>
      </c>
      <c r="B22" s="10">
        <f>'Triangles Analyse'!B19</f>
        <v>360204.7</v>
      </c>
      <c r="C22" s="10">
        <f>'Triangles Analyse'!C19</f>
        <v>3665206.318</v>
      </c>
      <c r="D22" s="10">
        <f>'Triangles Analyse'!D19</f>
        <v>11620130.872</v>
      </c>
      <c r="E22" s="10">
        <f>'Triangles Analyse'!E19</f>
        <v>16741518.066</v>
      </c>
      <c r="F22" s="10">
        <f>'Triangles Analyse'!F19</f>
        <v>19876326.100000001</v>
      </c>
      <c r="G22" s="10">
        <f>'Triangles Analyse'!G19</f>
        <v>21528555.460000001</v>
      </c>
      <c r="H22" s="10">
        <f>'Triangles Analyse'!H19</f>
        <v>23053679.222000003</v>
      </c>
      <c r="I22" s="10">
        <f>'Triangles Analyse'!I19</f>
        <v>23742547.804000001</v>
      </c>
      <c r="J22" s="16">
        <f t="shared" ref="D22:K29" si="11">I22*J$32</f>
        <v>24033425.477301586</v>
      </c>
      <c r="K22" s="16">
        <f t="shared" ref="K22" si="12">J22*K$32</f>
        <v>24120529.468475666</v>
      </c>
      <c r="L22" s="10">
        <f>K22-I22</f>
        <v>377981.6644756645</v>
      </c>
      <c r="M22" s="10">
        <f>Triangles!I31</f>
        <v>6141802</v>
      </c>
      <c r="N22" s="10">
        <f t="shared" si="9"/>
        <v>-585481.82394769043</v>
      </c>
      <c r="O22" s="10">
        <f t="shared" si="10"/>
        <v>5556320.1760523096</v>
      </c>
      <c r="Q22" s="47" t="s">
        <v>42</v>
      </c>
    </row>
    <row r="23" spans="1:17">
      <c r="A23" s="8">
        <v>2008</v>
      </c>
      <c r="B23" s="10">
        <f>'Triangles Analyse'!B20</f>
        <v>639280.69799999997</v>
      </c>
      <c r="C23" s="10">
        <f>'Triangles Analyse'!C20</f>
        <v>5758227.0939999996</v>
      </c>
      <c r="D23" s="10">
        <f>'Triangles Analyse'!D20</f>
        <v>14704134.177999999</v>
      </c>
      <c r="E23" s="10">
        <f>'Triangles Analyse'!E20</f>
        <v>23169110.030000001</v>
      </c>
      <c r="F23" s="10">
        <f>'Triangles Analyse'!F20</f>
        <v>27310135.616</v>
      </c>
      <c r="G23" s="10">
        <f>'Triangles Analyse'!G20</f>
        <v>28740608.127999999</v>
      </c>
      <c r="H23" s="10">
        <f>'Triangles Analyse'!H20</f>
        <v>29436524.013999999</v>
      </c>
      <c r="I23" s="16">
        <f t="shared" si="11"/>
        <v>30075840.33956109</v>
      </c>
      <c r="J23" s="16">
        <f t="shared" si="11"/>
        <v>30444309.239056688</v>
      </c>
      <c r="K23" s="16">
        <f t="shared" si="11"/>
        <v>30554648.102144025</v>
      </c>
      <c r="L23" s="10">
        <f>K23-H23</f>
        <v>1118124.0881440267</v>
      </c>
      <c r="M23" s="10">
        <f>MIN(Triangles!B32:K32)</f>
        <v>8593504</v>
      </c>
      <c r="N23" s="10">
        <f t="shared" si="9"/>
        <v>-1585365.1864965558</v>
      </c>
      <c r="O23" s="10">
        <f t="shared" si="10"/>
        <v>7008138.8135034442</v>
      </c>
      <c r="Q23" s="47" t="s">
        <v>42</v>
      </c>
    </row>
    <row r="24" spans="1:17">
      <c r="A24" s="8">
        <v>2009</v>
      </c>
      <c r="B24" s="10">
        <f>'Triangles Analyse'!B21</f>
        <v>1345321.16</v>
      </c>
      <c r="C24" s="10">
        <f>'Triangles Analyse'!C21</f>
        <v>8725809.6979999989</v>
      </c>
      <c r="D24" s="10">
        <f>'Triangles Analyse'!D21</f>
        <v>22432160.939999998</v>
      </c>
      <c r="E24" s="10">
        <f>'Triangles Analyse'!E21</f>
        <v>30476080.741999999</v>
      </c>
      <c r="F24" s="10">
        <f>'Triangles Analyse'!F21</f>
        <v>33739193.75</v>
      </c>
      <c r="G24" s="10">
        <f>'Triangles Analyse'!G21</f>
        <v>35017302.965999998</v>
      </c>
      <c r="H24" s="16">
        <f t="shared" si="11"/>
        <v>36656342.38371902</v>
      </c>
      <c r="I24" s="16">
        <f t="shared" si="11"/>
        <v>37452462.133120231</v>
      </c>
      <c r="J24" s="16">
        <f t="shared" si="11"/>
        <v>37911304.42479974</v>
      </c>
      <c r="K24" s="16">
        <f t="shared" si="11"/>
        <v>38048705.808931783</v>
      </c>
      <c r="L24" s="10">
        <f>K24-G24</f>
        <v>3031402.8429317847</v>
      </c>
      <c r="M24" s="10">
        <f>MIN(Triangles!B33:K33)</f>
        <v>15631064</v>
      </c>
      <c r="N24" s="10">
        <f t="shared" si="9"/>
        <v>-3389667.2731633559</v>
      </c>
      <c r="O24" s="10">
        <f t="shared" si="10"/>
        <v>12241396.726836644</v>
      </c>
      <c r="Q24" s="47" t="s">
        <v>42</v>
      </c>
    </row>
    <row r="25" spans="1:17">
      <c r="A25" s="8">
        <v>2010</v>
      </c>
      <c r="B25" s="10">
        <f>'Triangles Analyse'!B22</f>
        <v>1613626.6580000001</v>
      </c>
      <c r="C25" s="10">
        <f>'Triangles Analyse'!C22</f>
        <v>11683177.912</v>
      </c>
      <c r="D25" s="10">
        <f>'Triangles Analyse'!D22</f>
        <v>25203664.048</v>
      </c>
      <c r="E25" s="10">
        <f>'Triangles Analyse'!E22</f>
        <v>31583779.592</v>
      </c>
      <c r="F25" s="10">
        <f>'Triangles Analyse'!F22</f>
        <v>35470020.785999998</v>
      </c>
      <c r="G25" s="16">
        <f t="shared" si="11"/>
        <v>37925269.084217705</v>
      </c>
      <c r="H25" s="16">
        <f t="shared" si="11"/>
        <v>39700420.386332221</v>
      </c>
      <c r="I25" s="16">
        <f t="shared" si="11"/>
        <v>40562652.858907759</v>
      </c>
      <c r="J25" s="16">
        <f t="shared" si="11"/>
        <v>41059599.108482167</v>
      </c>
      <c r="K25" s="16">
        <f t="shared" si="11"/>
        <v>41208410.810822904</v>
      </c>
      <c r="L25" s="10">
        <f>K25-F25</f>
        <v>5738390.0248229057</v>
      </c>
      <c r="M25" s="10">
        <f>MIN(Triangles!B34:K34)</f>
        <v>15144404</v>
      </c>
      <c r="N25" s="10">
        <f t="shared" si="9"/>
        <v>-5633912.1698968187</v>
      </c>
      <c r="O25" s="10">
        <f t="shared" si="10"/>
        <v>9510491.8301031813</v>
      </c>
      <c r="Q25" s="47" t="s">
        <v>42</v>
      </c>
    </row>
    <row r="26" spans="1:17">
      <c r="A26" s="8">
        <v>2011</v>
      </c>
      <c r="B26" s="10">
        <f>'Triangles Analyse'!B23</f>
        <v>1484186.6</v>
      </c>
      <c r="C26" s="10">
        <f>'Triangles Analyse'!C23</f>
        <v>11118250</v>
      </c>
      <c r="D26" s="10">
        <f>'Triangles Analyse'!D23</f>
        <v>21789874.210000001</v>
      </c>
      <c r="E26" s="10">
        <f>'Triangles Analyse'!E23</f>
        <v>27676790.636</v>
      </c>
      <c r="F26" s="16">
        <f t="shared" si="11"/>
        <v>31390658.089032613</v>
      </c>
      <c r="G26" s="16">
        <f t="shared" si="11"/>
        <v>33563531.353416242</v>
      </c>
      <c r="H26" s="16">
        <f t="shared" si="11"/>
        <v>35134524.726021536</v>
      </c>
      <c r="I26" s="16">
        <f t="shared" si="11"/>
        <v>35897592.921080582</v>
      </c>
      <c r="J26" s="16">
        <f t="shared" si="11"/>
        <v>36337386.00446029</v>
      </c>
      <c r="K26" s="16">
        <f t="shared" si="11"/>
        <v>36469083.059164822</v>
      </c>
      <c r="L26" s="10">
        <f>K26-E26</f>
        <v>8792292.4231648222</v>
      </c>
      <c r="M26" s="10">
        <f>MIN(Triangles!B35:K35)</f>
        <v>22448622</v>
      </c>
      <c r="N26" s="10">
        <f t="shared" si="9"/>
        <v>-8024645.690808624</v>
      </c>
      <c r="O26" s="10">
        <f t="shared" si="10"/>
        <v>14423976.309191376</v>
      </c>
    </row>
    <row r="27" spans="1:17">
      <c r="A27" s="8">
        <v>2012</v>
      </c>
      <c r="B27" s="10">
        <f>'Triangles Analyse'!B24</f>
        <v>2907654.7859999998</v>
      </c>
      <c r="C27" s="10">
        <f>'Triangles Analyse'!C24</f>
        <v>13230047.507999999</v>
      </c>
      <c r="D27" s="10">
        <f>'Triangles Analyse'!D24</f>
        <v>21993565.195999999</v>
      </c>
      <c r="E27" s="16">
        <f t="shared" si="11"/>
        <v>29855483.770094749</v>
      </c>
      <c r="F27" s="16">
        <f t="shared" si="11"/>
        <v>33861703.672053844</v>
      </c>
      <c r="G27" s="16">
        <f t="shared" si="11"/>
        <v>36205623.649354145</v>
      </c>
      <c r="H27" s="16">
        <f t="shared" si="11"/>
        <v>37900284.267906353</v>
      </c>
      <c r="I27" s="16">
        <f t="shared" si="11"/>
        <v>38723420.534415089</v>
      </c>
      <c r="J27" s="16">
        <f t="shared" si="11"/>
        <v>39197833.750735193</v>
      </c>
      <c r="K27" s="16">
        <f t="shared" si="11"/>
        <v>39339897.884218439</v>
      </c>
      <c r="L27" s="10">
        <f>K27-D27</f>
        <v>17346332.688218441</v>
      </c>
      <c r="M27" s="10">
        <f>MIN(Triangles!B36:K36)</f>
        <v>43854842</v>
      </c>
      <c r="N27" s="10">
        <f t="shared" si="9"/>
        <v>-12550095.37814302</v>
      </c>
      <c r="O27" s="10">
        <f t="shared" si="10"/>
        <v>31304746.62185698</v>
      </c>
    </row>
    <row r="28" spans="1:17">
      <c r="A28" s="8">
        <v>2013</v>
      </c>
      <c r="B28" s="10">
        <f>'Triangles Analyse'!B25</f>
        <v>3465668.6779999998</v>
      </c>
      <c r="C28" s="10">
        <f>'Triangles Analyse'!C25</f>
        <v>13106099.206</v>
      </c>
      <c r="D28" s="16">
        <f t="shared" si="11"/>
        <v>28438518.489661966</v>
      </c>
      <c r="E28" s="16">
        <f t="shared" si="11"/>
        <v>38604279.008301005</v>
      </c>
      <c r="F28" s="16">
        <f t="shared" si="11"/>
        <v>43784474.112650715</v>
      </c>
      <c r="G28" s="16">
        <f t="shared" si="11"/>
        <v>46815252.025131486</v>
      </c>
      <c r="H28" s="16">
        <f t="shared" si="11"/>
        <v>49006512.828230567</v>
      </c>
      <c r="I28" s="16">
        <f t="shared" si="11"/>
        <v>50070859.40987879</v>
      </c>
      <c r="J28" s="16">
        <f t="shared" si="11"/>
        <v>50684293.789608777</v>
      </c>
      <c r="K28" s="16">
        <f t="shared" si="11"/>
        <v>50867988.131602764</v>
      </c>
      <c r="L28" s="10">
        <f>K28-C28</f>
        <v>37761888.925602764</v>
      </c>
      <c r="M28" s="10">
        <f>MIN(Triangles!B37:K37)</f>
        <v>44363544</v>
      </c>
      <c r="N28" s="10">
        <f t="shared" si="9"/>
        <v>-11621926.934391141</v>
      </c>
      <c r="O28" s="10">
        <f t="shared" si="10"/>
        <v>32741617.065608859</v>
      </c>
    </row>
    <row r="29" spans="1:17">
      <c r="A29" s="8">
        <v>2014</v>
      </c>
      <c r="B29" s="10">
        <f>'Triangles Analyse'!B26</f>
        <v>3619805.284</v>
      </c>
      <c r="C29" s="16">
        <f>B29*C$32</f>
        <v>20946239.548747703</v>
      </c>
      <c r="D29" s="16">
        <f t="shared" si="11"/>
        <v>45450596.041822016</v>
      </c>
      <c r="E29" s="16">
        <f t="shared" si="11"/>
        <v>61697570.192691647</v>
      </c>
      <c r="F29" s="16">
        <f t="shared" si="11"/>
        <v>69976586.386563048</v>
      </c>
      <c r="G29" s="16">
        <f t="shared" si="11"/>
        <v>74820392.249470979</v>
      </c>
      <c r="H29" s="16">
        <f t="shared" si="11"/>
        <v>78322477.269129768</v>
      </c>
      <c r="I29" s="16">
        <f t="shared" si="11"/>
        <v>80023521.806614131</v>
      </c>
      <c r="J29" s="16">
        <f t="shared" si="11"/>
        <v>81003915.992809474</v>
      </c>
      <c r="K29" s="16">
        <f t="shared" si="11"/>
        <v>81297497.296497002</v>
      </c>
      <c r="L29" s="10">
        <f>K29-B29</f>
        <v>77677692.012497008</v>
      </c>
      <c r="M29" s="10">
        <f>MIN(Triangles!B38:K38)</f>
        <v>39611624</v>
      </c>
      <c r="N29" s="10">
        <f t="shared" si="9"/>
        <v>6756613.9624682367</v>
      </c>
      <c r="O29" s="10">
        <f t="shared" si="10"/>
        <v>46368237.962468237</v>
      </c>
    </row>
    <row r="30" spans="1:17">
      <c r="L30" s="23">
        <f>SUM(L20:L29)</f>
        <v>151930120.91724828</v>
      </c>
      <c r="M30" s="24">
        <f>SUM(M20:M29)</f>
        <v>201373586</v>
      </c>
      <c r="N30" s="23">
        <f>SUM(N20:N29)</f>
        <v>-36615008.898704901</v>
      </c>
      <c r="O30" s="25">
        <f>SUM(O20:O29)</f>
        <v>164758577.10129508</v>
      </c>
    </row>
    <row r="31" spans="1:17">
      <c r="C31" s="8">
        <v>1</v>
      </c>
      <c r="D31" s="8">
        <v>2</v>
      </c>
      <c r="E31" s="8">
        <v>3</v>
      </c>
      <c r="F31" s="8">
        <v>4</v>
      </c>
      <c r="G31" s="8">
        <v>5</v>
      </c>
      <c r="H31" s="8">
        <v>6</v>
      </c>
      <c r="I31" s="8">
        <v>7</v>
      </c>
      <c r="J31" s="8">
        <v>8</v>
      </c>
      <c r="K31" s="8">
        <v>9</v>
      </c>
    </row>
    <row r="32" spans="1:17">
      <c r="C32" s="45">
        <f>SUM(C20:C28)/SUM(B20:B28)</f>
        <v>5.7865652722627781</v>
      </c>
      <c r="D32" s="46">
        <f>SUM(D20:D27)/SUM(C20:C27)</f>
        <v>2.169869008518015</v>
      </c>
      <c r="E32" s="46">
        <f>SUM(E20:E26)/SUM(D20:D26)</f>
        <v>1.3574644903648732</v>
      </c>
      <c r="F32" s="46">
        <f>SUM(F20:F25)/SUM(E20:E25)</f>
        <v>1.1341870703824264</v>
      </c>
      <c r="G32" s="46">
        <f>SUM(G20:G24)/SUM(F20:F24)</f>
        <v>1.0692203794587791</v>
      </c>
      <c r="H32" s="46">
        <f>SUM(H20:H23)/SUM(G20:G23)</f>
        <v>1.0468065578697037</v>
      </c>
      <c r="I32" s="46">
        <f>SUM(I20:I22)/SUM(H20:H22)</f>
        <v>1.0217184721014285</v>
      </c>
      <c r="J32" s="46">
        <f>SUM(J20:J21)/SUM(I20:I21)</f>
        <v>1.0122513251611767</v>
      </c>
      <c r="K32" s="46">
        <f>SUM(K20)/SUM(J20)</f>
        <v>1.0036242853211392</v>
      </c>
    </row>
    <row r="35" spans="1:12">
      <c r="A35" s="48" t="s">
        <v>6</v>
      </c>
      <c r="B35" s="48"/>
      <c r="C35" s="48"/>
      <c r="D35" s="48"/>
      <c r="E35" s="48"/>
      <c r="F35" s="5"/>
      <c r="G35" s="5"/>
      <c r="H35" s="5"/>
      <c r="I35" s="5"/>
      <c r="J35" s="5"/>
      <c r="K35" s="5"/>
    </row>
    <row r="36" spans="1:12">
      <c r="A36" s="8" t="s">
        <v>3</v>
      </c>
      <c r="B36" s="8">
        <f t="shared" ref="B36:K36" si="13">B19</f>
        <v>1</v>
      </c>
      <c r="C36" s="8">
        <f t="shared" si="13"/>
        <v>2</v>
      </c>
      <c r="D36" s="8">
        <f t="shared" si="13"/>
        <v>3</v>
      </c>
      <c r="E36" s="8">
        <f t="shared" si="13"/>
        <v>4</v>
      </c>
      <c r="F36" s="8">
        <f t="shared" si="13"/>
        <v>5</v>
      </c>
      <c r="G36" s="8">
        <f t="shared" si="13"/>
        <v>6</v>
      </c>
      <c r="H36" s="8">
        <f t="shared" si="13"/>
        <v>7</v>
      </c>
      <c r="I36" s="8">
        <f t="shared" si="13"/>
        <v>8</v>
      </c>
      <c r="J36" s="8">
        <f t="shared" si="13"/>
        <v>9</v>
      </c>
      <c r="K36" s="8">
        <f t="shared" si="13"/>
        <v>10</v>
      </c>
      <c r="L36" s="15" t="s">
        <v>22</v>
      </c>
    </row>
    <row r="37" spans="1:12">
      <c r="A37" s="8">
        <v>2005</v>
      </c>
      <c r="B37" s="10">
        <f>'Triangles Analyse'!B30</f>
        <v>25045962.066</v>
      </c>
      <c r="C37" s="10">
        <f>'Triangles Analyse'!C30</f>
        <v>30954619.612</v>
      </c>
      <c r="D37" s="10">
        <f>'Triangles Analyse'!D30</f>
        <v>33050732.767999999</v>
      </c>
      <c r="E37" s="10">
        <f>'Triangles Analyse'!E30</f>
        <v>31349969.280000001</v>
      </c>
      <c r="F37" s="10">
        <f>'Triangles Analyse'!F30</f>
        <v>30751671.112</v>
      </c>
      <c r="G37" s="10">
        <f>'Triangles Analyse'!G30</f>
        <v>29799268.085999999</v>
      </c>
      <c r="H37" s="10">
        <f>'Triangles Analyse'!H30</f>
        <v>29158650.813999999</v>
      </c>
      <c r="I37" s="10">
        <f>'Triangles Analyse'!I30</f>
        <v>28396589.031999998</v>
      </c>
      <c r="J37" s="10">
        <f>'Triangles Analyse'!J30</f>
        <v>27732513.261999998</v>
      </c>
      <c r="K37" s="10">
        <f>'Triangles Analyse'!K30</f>
        <v>27752607.687999997</v>
      </c>
      <c r="L37" s="10">
        <f>K37-K37</f>
        <v>0</v>
      </c>
    </row>
    <row r="38" spans="1:12">
      <c r="A38" s="8">
        <v>2006</v>
      </c>
      <c r="B38" s="10">
        <f>'Triangles Analyse'!B31</f>
        <v>22888865.192000002</v>
      </c>
      <c r="C38" s="10">
        <f>'Triangles Analyse'!C31</f>
        <v>32798212.566</v>
      </c>
      <c r="D38" s="10">
        <f>'Triangles Analyse'!D31</f>
        <v>32628708.263999999</v>
      </c>
      <c r="E38" s="10">
        <f>'Triangles Analyse'!E31</f>
        <v>32133456.717999998</v>
      </c>
      <c r="F38" s="10">
        <f>'Triangles Analyse'!F31</f>
        <v>30762407.939999998</v>
      </c>
      <c r="G38" s="10">
        <f>'Triangles Analyse'!G31</f>
        <v>28824518.511999998</v>
      </c>
      <c r="H38" s="10">
        <f>'Triangles Analyse'!H31</f>
        <v>28174906.825999998</v>
      </c>
      <c r="I38" s="10">
        <f>'Triangles Analyse'!I31</f>
        <v>27340405.455999997</v>
      </c>
      <c r="J38" s="10">
        <f>'Triangles Analyse'!J31</f>
        <v>26872939.055999998</v>
      </c>
      <c r="K38" s="16">
        <f t="shared" ref="D38:K46" si="14">J38*K$49</f>
        <v>26892410.651674062</v>
      </c>
      <c r="L38" s="10">
        <f>K38-J38</f>
        <v>19471.59567406401</v>
      </c>
    </row>
    <row r="39" spans="1:12">
      <c r="A39" s="8">
        <v>2007</v>
      </c>
      <c r="B39" s="10">
        <f>'Triangles Analyse'!B32</f>
        <v>23478828.699999999</v>
      </c>
      <c r="C39" s="10">
        <f>'Triangles Analyse'!C32</f>
        <v>35405412.318000004</v>
      </c>
      <c r="D39" s="10">
        <f>'Triangles Analyse'!D32</f>
        <v>37229596.872000001</v>
      </c>
      <c r="E39" s="10">
        <f>'Triangles Analyse'!E32</f>
        <v>36496080.066</v>
      </c>
      <c r="F39" s="10">
        <f>'Triangles Analyse'!F32</f>
        <v>34053726.100000001</v>
      </c>
      <c r="G39" s="10">
        <f>'Triangles Analyse'!G32</f>
        <v>31401781.460000001</v>
      </c>
      <c r="H39" s="10">
        <f>'Triangles Analyse'!H32</f>
        <v>30261939.222000003</v>
      </c>
      <c r="I39" s="10">
        <f>'Triangles Analyse'!I32</f>
        <v>29884349.804000001</v>
      </c>
      <c r="J39" s="16">
        <f t="shared" si="14"/>
        <v>29277653.975907989</v>
      </c>
      <c r="K39" s="16">
        <f t="shared" si="14"/>
        <v>29298867.980052311</v>
      </c>
      <c r="L39" s="10">
        <f>K39-I39</f>
        <v>-585481.82394769043</v>
      </c>
    </row>
    <row r="40" spans="1:12">
      <c r="A40" s="8">
        <v>2008</v>
      </c>
      <c r="B40" s="10">
        <f>'Triangles Analyse'!B33</f>
        <v>28759302.697999999</v>
      </c>
      <c r="C40" s="10">
        <f>'Triangles Analyse'!C33</f>
        <v>42718157.093999997</v>
      </c>
      <c r="D40" s="10">
        <f>'Triangles Analyse'!D33</f>
        <v>44619548.178000003</v>
      </c>
      <c r="E40" s="10">
        <f>'Triangles Analyse'!E33</f>
        <v>43721478.030000001</v>
      </c>
      <c r="F40" s="10">
        <f>'Triangles Analyse'!F33</f>
        <v>40612949.615999997</v>
      </c>
      <c r="G40" s="10">
        <f>'Triangles Analyse'!G33</f>
        <v>38997944.127999999</v>
      </c>
      <c r="H40" s="10">
        <f>'Triangles Analyse'!H33</f>
        <v>38030028.013999999</v>
      </c>
      <c r="I40" s="16">
        <f t="shared" si="14"/>
        <v>37172939.690620907</v>
      </c>
      <c r="J40" s="16">
        <f t="shared" si="14"/>
        <v>36418274.87187364</v>
      </c>
      <c r="K40" s="16">
        <f t="shared" si="14"/>
        <v>36444662.827503443</v>
      </c>
      <c r="L40" s="10">
        <f>K40-H40</f>
        <v>-1585365.1864965558</v>
      </c>
    </row>
    <row r="41" spans="1:12">
      <c r="A41" s="8">
        <v>2009</v>
      </c>
      <c r="B41" s="10">
        <f>'Triangles Analyse'!B34</f>
        <v>33658423.159999996</v>
      </c>
      <c r="C41" s="10">
        <f>'Triangles Analyse'!C34</f>
        <v>56720353.697999999</v>
      </c>
      <c r="D41" s="10">
        <f>'Triangles Analyse'!D34</f>
        <v>58115988.939999998</v>
      </c>
      <c r="E41" s="10">
        <f>'Triangles Analyse'!E34</f>
        <v>56472276.741999999</v>
      </c>
      <c r="F41" s="10">
        <f>'Triangles Analyse'!F34</f>
        <v>52464695.75</v>
      </c>
      <c r="G41" s="10">
        <f>'Triangles Analyse'!G34</f>
        <v>50648366.965999998</v>
      </c>
      <c r="H41" s="16">
        <f t="shared" si="14"/>
        <v>49314482.11581403</v>
      </c>
      <c r="I41" s="16">
        <f t="shared" si="14"/>
        <v>48203074.394016095</v>
      </c>
      <c r="J41" s="16">
        <f t="shared" si="14"/>
        <v>47224481.775208503</v>
      </c>
      <c r="K41" s="16">
        <f t="shared" si="14"/>
        <v>47258699.692836642</v>
      </c>
      <c r="L41" s="10">
        <f>K41-G41</f>
        <v>-3389667.2731633559</v>
      </c>
    </row>
    <row r="42" spans="1:12">
      <c r="A42" s="8">
        <v>2010</v>
      </c>
      <c r="B42" s="10">
        <f>'Triangles Analyse'!B35</f>
        <v>39995510.658</v>
      </c>
      <c r="C42" s="10">
        <f>'Triangles Analyse'!C35</f>
        <v>56285083.912</v>
      </c>
      <c r="D42" s="10">
        <f>'Triangles Analyse'!D35</f>
        <v>56005790.048</v>
      </c>
      <c r="E42" s="10">
        <f>'Triangles Analyse'!E35</f>
        <v>52982561.592</v>
      </c>
      <c r="F42" s="10">
        <f>'Triangles Analyse'!F35</f>
        <v>50614424.785999998</v>
      </c>
      <c r="G42" s="16">
        <f t="shared" si="14"/>
        <v>48206775.135721929</v>
      </c>
      <c r="H42" s="16">
        <f t="shared" si="14"/>
        <v>46937192.503906235</v>
      </c>
      <c r="I42" s="16">
        <f t="shared" si="14"/>
        <v>45879362.107029185</v>
      </c>
      <c r="J42" s="16">
        <f t="shared" si="14"/>
        <v>44947944.232174441</v>
      </c>
      <c r="K42" s="16">
        <f t="shared" si="14"/>
        <v>44980512.61610318</v>
      </c>
      <c r="L42" s="10">
        <f>K42-F42</f>
        <v>-5633912.1698968187</v>
      </c>
    </row>
    <row r="43" spans="1:12">
      <c r="A43" s="8">
        <v>2011</v>
      </c>
      <c r="B43" s="10">
        <f>'Triangles Analyse'!B36</f>
        <v>38910074.600000001</v>
      </c>
      <c r="C43" s="10">
        <f>'Triangles Analyse'!C36</f>
        <v>55571562</v>
      </c>
      <c r="D43" s="10">
        <f>'Triangles Analyse'!D36</f>
        <v>53058812.210000001</v>
      </c>
      <c r="E43" s="10">
        <f>'Triangles Analyse'!E36</f>
        <v>50125412.636</v>
      </c>
      <c r="F43" s="16">
        <f t="shared" si="14"/>
        <v>47373984.377791017</v>
      </c>
      <c r="G43" s="16">
        <f t="shared" si="14"/>
        <v>45120477.449643202</v>
      </c>
      <c r="H43" s="16">
        <f t="shared" si="14"/>
        <v>43932176.130004622</v>
      </c>
      <c r="I43" s="16">
        <f t="shared" si="14"/>
        <v>42942070.228220925</v>
      </c>
      <c r="J43" s="16">
        <f t="shared" si="14"/>
        <v>42070283.656722263</v>
      </c>
      <c r="K43" s="16">
        <f t="shared" si="14"/>
        <v>42100766.945191376</v>
      </c>
      <c r="L43" s="10">
        <f>K43-E43</f>
        <v>-8024645.690808624</v>
      </c>
    </row>
    <row r="44" spans="1:12">
      <c r="A44" s="8">
        <v>2012</v>
      </c>
      <c r="B44" s="10">
        <f>'Triangles Analyse'!B37</f>
        <v>51589380.785999998</v>
      </c>
      <c r="C44" s="10">
        <f>'Triangles Analyse'!C37</f>
        <v>65226155.508000001</v>
      </c>
      <c r="D44" s="10">
        <f>'Triangles Analyse'!D37</f>
        <v>65848407.195999995</v>
      </c>
      <c r="E44" s="16">
        <f t="shared" si="14"/>
        <v>63457273.264173105</v>
      </c>
      <c r="F44" s="16">
        <f t="shared" si="14"/>
        <v>59974047.378017724</v>
      </c>
      <c r="G44" s="16">
        <f t="shared" si="14"/>
        <v>57121175.004065841</v>
      </c>
      <c r="H44" s="16">
        <f t="shared" si="14"/>
        <v>55616821.072696388</v>
      </c>
      <c r="I44" s="16">
        <f t="shared" si="14"/>
        <v>54363376.612773187</v>
      </c>
      <c r="J44" s="16">
        <f t="shared" si="14"/>
        <v>53259720.88633842</v>
      </c>
      <c r="K44" s="16">
        <f t="shared" si="14"/>
        <v>53298311.817856975</v>
      </c>
      <c r="L44" s="10">
        <f>K44-D44</f>
        <v>-12550095.37814302</v>
      </c>
    </row>
    <row r="45" spans="1:12">
      <c r="A45" s="8">
        <v>2013</v>
      </c>
      <c r="B45" s="10">
        <f>'Triangles Analyse'!B38</f>
        <v>47829212.678000003</v>
      </c>
      <c r="C45" s="10">
        <f>'Triangles Analyse'!C38</f>
        <v>64537251.206</v>
      </c>
      <c r="D45" s="16">
        <f t="shared" si="14"/>
        <v>65375237.989768356</v>
      </c>
      <c r="E45" s="16">
        <f t="shared" si="14"/>
        <v>63001286.11279586</v>
      </c>
      <c r="F45" s="16">
        <f t="shared" si="14"/>
        <v>59543089.76490663</v>
      </c>
      <c r="G45" s="16">
        <f t="shared" si="14"/>
        <v>56710717.375907227</v>
      </c>
      <c r="H45" s="16">
        <f t="shared" si="14"/>
        <v>55217173.333279327</v>
      </c>
      <c r="I45" s="16">
        <f t="shared" si="14"/>
        <v>53972735.793119453</v>
      </c>
      <c r="J45" s="16">
        <f t="shared" si="14"/>
        <v>52877010.644298747</v>
      </c>
      <c r="K45" s="16">
        <f t="shared" si="14"/>
        <v>52915324.271608859</v>
      </c>
      <c r="L45" s="10">
        <f>K45-C45</f>
        <v>-11621926.934391141</v>
      </c>
    </row>
    <row r="46" spans="1:12">
      <c r="A46" s="8">
        <v>2014</v>
      </c>
      <c r="B46" s="10">
        <f>'Triangles Analyse'!B39</f>
        <v>43231429.284000002</v>
      </c>
      <c r="C46" s="16">
        <f>B46*C$49</f>
        <v>60967044.021775663</v>
      </c>
      <c r="D46" s="16">
        <f t="shared" si="14"/>
        <v>61758673.292948</v>
      </c>
      <c r="E46" s="16">
        <f t="shared" si="14"/>
        <v>59516048.670976132</v>
      </c>
      <c r="F46" s="16">
        <f t="shared" si="14"/>
        <v>56249160.090538651</v>
      </c>
      <c r="G46" s="16">
        <f t="shared" si="14"/>
        <v>53573474.825063102</v>
      </c>
      <c r="H46" s="16">
        <f t="shared" si="14"/>
        <v>52162553.788083918</v>
      </c>
      <c r="I46" s="16">
        <f t="shared" si="14"/>
        <v>50986958.65696957</v>
      </c>
      <c r="J46" s="16">
        <f t="shared" si="14"/>
        <v>49951849.132848591</v>
      </c>
      <c r="K46" s="16">
        <f t="shared" si="14"/>
        <v>49988043.246468239</v>
      </c>
      <c r="L46" s="10">
        <f>K46-B46</f>
        <v>6756613.9624682367</v>
      </c>
    </row>
    <row r="47" spans="1:12">
      <c r="L47" s="23">
        <f>SUM(L37:L46)</f>
        <v>-36615008.898704901</v>
      </c>
    </row>
    <row r="48" spans="1:12">
      <c r="C48" s="8">
        <v>1</v>
      </c>
      <c r="D48" s="8">
        <v>2</v>
      </c>
      <c r="E48" s="8">
        <v>3</v>
      </c>
      <c r="F48" s="8">
        <v>4</v>
      </c>
      <c r="G48" s="8">
        <v>5</v>
      </c>
      <c r="H48" s="8">
        <v>6</v>
      </c>
      <c r="I48" s="8">
        <v>7</v>
      </c>
      <c r="J48" s="8">
        <v>8</v>
      </c>
      <c r="K48" s="8">
        <v>9</v>
      </c>
    </row>
    <row r="49" spans="3:11">
      <c r="C49" s="45">
        <f>SUM(C37:C45)/SUM(B37:B45)</f>
        <v>1.4102481697115583</v>
      </c>
      <c r="D49" s="46">
        <f>SUM(D37:D44)/SUM(C37:C44)</f>
        <v>1.0129845440905678</v>
      </c>
      <c r="E49" s="46">
        <f>SUM(E37:E43)/SUM(D37:D43)</f>
        <v>0.96368729277369458</v>
      </c>
      <c r="F49" s="46">
        <f>SUM(F37:F42)/SUM(E37:E42)</f>
        <v>0.9451091150473061</v>
      </c>
      <c r="G49" s="46">
        <f>SUM(G37:G41)/SUM(F37:F41)</f>
        <v>0.95243155166817128</v>
      </c>
      <c r="H49" s="46">
        <f>SUM(H37:H40)/SUM(G37:G40)</f>
        <v>0.97366381326605456</v>
      </c>
      <c r="I49" s="46">
        <f>SUM(I37:I39)/SUM(H37:H39)</f>
        <v>0.97746285322052417</v>
      </c>
      <c r="J49" s="46">
        <f>SUM(J37:J38)/SUM(I37:I38)</f>
        <v>0.97969854348275609</v>
      </c>
      <c r="K49" s="46">
        <f>SUM(K37)/SUM(J37)</f>
        <v>1.0007245800555529</v>
      </c>
    </row>
  </sheetData>
  <mergeCells count="3">
    <mergeCell ref="A2:E2"/>
    <mergeCell ref="A35:E35"/>
    <mergeCell ref="A18:E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4"/>
  <sheetViews>
    <sheetView zoomScale="80" zoomScaleNormal="80" workbookViewId="0">
      <selection activeCell="Q14" sqref="Q14:Q25"/>
    </sheetView>
  </sheetViews>
  <sheetFormatPr baseColWidth="10" defaultRowHeight="14.4"/>
  <sheetData>
    <row r="1" spans="1:17">
      <c r="A1" s="48" t="s">
        <v>2</v>
      </c>
      <c r="B1" s="53"/>
      <c r="C1" s="53"/>
      <c r="D1" s="53"/>
      <c r="E1" s="53"/>
    </row>
    <row r="2" spans="1:17">
      <c r="A2" s="8" t="s">
        <v>3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15" t="s">
        <v>18</v>
      </c>
    </row>
    <row r="3" spans="1:17">
      <c r="A3" s="8">
        <v>2005</v>
      </c>
      <c r="B3" s="38">
        <f>Estimation!B20</f>
        <v>1171960.0660000001</v>
      </c>
      <c r="C3" s="38">
        <f>Estimation!C20</f>
        <v>7776413.6119999997</v>
      </c>
      <c r="D3" s="38">
        <f>Estimation!D20</f>
        <v>15024264.767999999</v>
      </c>
      <c r="E3" s="38">
        <f>Estimation!E20</f>
        <v>19500271.280000001</v>
      </c>
      <c r="F3" s="38">
        <f>Estimation!F20</f>
        <v>21640625.112</v>
      </c>
      <c r="G3" s="38">
        <f>Estimation!G20</f>
        <v>22956126.085999999</v>
      </c>
      <c r="H3" s="38">
        <f>Estimation!H20</f>
        <v>24456860.813999999</v>
      </c>
      <c r="I3" s="38">
        <f>Estimation!I20</f>
        <v>24952133.031999998</v>
      </c>
      <c r="J3" s="38">
        <f>Estimation!J20</f>
        <v>25216675.261999998</v>
      </c>
      <c r="K3" s="38">
        <f>Estimation!K20</f>
        <v>25308067.687999997</v>
      </c>
      <c r="L3" s="10">
        <f>K3-K3</f>
        <v>0</v>
      </c>
    </row>
    <row r="4" spans="1:17">
      <c r="A4" s="8">
        <v>2006</v>
      </c>
      <c r="B4" s="38">
        <f>Estimation!B21</f>
        <v>803251.19200000004</v>
      </c>
      <c r="C4" s="38">
        <f>Estimation!C21</f>
        <v>4740184.5659999996</v>
      </c>
      <c r="D4" s="38">
        <f>Estimation!D21</f>
        <v>11956646.263999999</v>
      </c>
      <c r="E4" s="38">
        <f>Estimation!E21</f>
        <v>17455254.717999998</v>
      </c>
      <c r="F4" s="38">
        <f>Estimation!F21</f>
        <v>19531787.939999998</v>
      </c>
      <c r="G4" s="38">
        <f>Estimation!G21</f>
        <v>22307150.511999998</v>
      </c>
      <c r="H4" s="38">
        <f>Estimation!H21</f>
        <v>23056920.825999998</v>
      </c>
      <c r="I4" s="38">
        <f>Estimation!I21</f>
        <v>23405397.455999997</v>
      </c>
      <c r="J4" s="38">
        <f>Estimation!J21</f>
        <v>23733299.055999998</v>
      </c>
      <c r="K4" s="39">
        <f>Estimation!K21</f>
        <v>23819315.303390868</v>
      </c>
      <c r="L4" s="10">
        <f>K4-J4</f>
        <v>86016.247390870005</v>
      </c>
    </row>
    <row r="5" spans="1:17">
      <c r="A5" s="8">
        <v>2007</v>
      </c>
      <c r="B5" s="38">
        <f>Estimation!B22</f>
        <v>360204.7</v>
      </c>
      <c r="C5" s="38">
        <f>Estimation!C22</f>
        <v>3665206.318</v>
      </c>
      <c r="D5" s="38">
        <f>Estimation!D22</f>
        <v>11620130.872</v>
      </c>
      <c r="E5" s="38">
        <f>Estimation!E22</f>
        <v>16741518.066</v>
      </c>
      <c r="F5" s="38">
        <f>Estimation!F22</f>
        <v>19876326.100000001</v>
      </c>
      <c r="G5" s="38">
        <f>Estimation!G22</f>
        <v>21528555.460000001</v>
      </c>
      <c r="H5" s="38">
        <f>Estimation!H22</f>
        <v>23053679.222000003</v>
      </c>
      <c r="I5" s="38">
        <f>Estimation!I22</f>
        <v>23742547.804000001</v>
      </c>
      <c r="J5" s="39">
        <f>Estimation!J22</f>
        <v>24033425.477301586</v>
      </c>
      <c r="K5" s="39">
        <f>Estimation!K22</f>
        <v>24120529.468475666</v>
      </c>
      <c r="L5" s="10">
        <f>K5-I5</f>
        <v>377981.6644756645</v>
      </c>
    </row>
    <row r="6" spans="1:17">
      <c r="A6" s="8">
        <v>2008</v>
      </c>
      <c r="B6" s="38">
        <f>Estimation!B23</f>
        <v>639280.69799999997</v>
      </c>
      <c r="C6" s="38">
        <f>Estimation!C23</f>
        <v>5758227.0939999996</v>
      </c>
      <c r="D6" s="38">
        <f>Estimation!D23</f>
        <v>14704134.177999999</v>
      </c>
      <c r="E6" s="38">
        <f>Estimation!E23</f>
        <v>23169110.030000001</v>
      </c>
      <c r="F6" s="38">
        <f>Estimation!F23</f>
        <v>27310135.616</v>
      </c>
      <c r="G6" s="38">
        <f>Estimation!G23</f>
        <v>28740608.127999999</v>
      </c>
      <c r="H6" s="38">
        <f>Estimation!H23</f>
        <v>29436524.013999999</v>
      </c>
      <c r="I6" s="39">
        <f>Estimation!I23</f>
        <v>30075840.33956109</v>
      </c>
      <c r="J6" s="39">
        <f>Estimation!J23</f>
        <v>30444309.239056688</v>
      </c>
      <c r="K6" s="39">
        <f>Estimation!K23</f>
        <v>30554648.102144025</v>
      </c>
      <c r="L6" s="10">
        <f>K6-H6</f>
        <v>1118124.0881440267</v>
      </c>
    </row>
    <row r="7" spans="1:17">
      <c r="A7" s="8">
        <v>2009</v>
      </c>
      <c r="B7" s="38">
        <f>Estimation!B24</f>
        <v>1345321.16</v>
      </c>
      <c r="C7" s="38">
        <f>Estimation!C24</f>
        <v>8725809.6979999989</v>
      </c>
      <c r="D7" s="38">
        <f>Estimation!D24</f>
        <v>22432160.939999998</v>
      </c>
      <c r="E7" s="38">
        <f>Estimation!E24</f>
        <v>30476080.741999999</v>
      </c>
      <c r="F7" s="38">
        <f>Estimation!F24</f>
        <v>33739193.75</v>
      </c>
      <c r="G7" s="38">
        <f>Estimation!G24</f>
        <v>35017302.965999998</v>
      </c>
      <c r="H7" s="39">
        <f>Estimation!H24</f>
        <v>36656342.38371902</v>
      </c>
      <c r="I7" s="39">
        <f>Estimation!I24</f>
        <v>37452462.133120231</v>
      </c>
      <c r="J7" s="39">
        <f>Estimation!J24</f>
        <v>37911304.42479974</v>
      </c>
      <c r="K7" s="39">
        <f>Estimation!K24</f>
        <v>38048705.808931783</v>
      </c>
      <c r="L7" s="10">
        <f>K7-G7</f>
        <v>3031402.8429317847</v>
      </c>
    </row>
    <row r="8" spans="1:17">
      <c r="A8" s="8">
        <v>2010</v>
      </c>
      <c r="B8" s="38">
        <f>Estimation!B25</f>
        <v>1613626.6580000001</v>
      </c>
      <c r="C8" s="38">
        <f>Estimation!C25</f>
        <v>11683177.912</v>
      </c>
      <c r="D8" s="38">
        <f>Estimation!D25</f>
        <v>25203664.048</v>
      </c>
      <c r="E8" s="38">
        <f>Estimation!E25</f>
        <v>31583779.592</v>
      </c>
      <c r="F8" s="38">
        <f>Estimation!F25</f>
        <v>35470020.785999998</v>
      </c>
      <c r="G8" s="39">
        <f>Estimation!G25</f>
        <v>37925269.084217705</v>
      </c>
      <c r="H8" s="39">
        <f>Estimation!H25</f>
        <v>39700420.386332221</v>
      </c>
      <c r="I8" s="39">
        <f>Estimation!I25</f>
        <v>40562652.858907759</v>
      </c>
      <c r="J8" s="39">
        <f>Estimation!J25</f>
        <v>41059599.108482167</v>
      </c>
      <c r="K8" s="39">
        <f>Estimation!K25</f>
        <v>41208410.810822904</v>
      </c>
      <c r="L8" s="10">
        <f>K8-F8</f>
        <v>5738390.0248229057</v>
      </c>
    </row>
    <row r="9" spans="1:17">
      <c r="A9" s="8">
        <v>2011</v>
      </c>
      <c r="B9" s="38">
        <f>Estimation!B26</f>
        <v>1484186.6</v>
      </c>
      <c r="C9" s="38">
        <f>Estimation!C26</f>
        <v>11118250</v>
      </c>
      <c r="D9" s="38">
        <f>Estimation!D26</f>
        <v>21789874.210000001</v>
      </c>
      <c r="E9" s="38">
        <f>Estimation!E26</f>
        <v>27676790.636</v>
      </c>
      <c r="F9" s="39">
        <f>Estimation!F26</f>
        <v>31390658.089032613</v>
      </c>
      <c r="G9" s="39">
        <f>Estimation!G26</f>
        <v>33563531.353416242</v>
      </c>
      <c r="H9" s="39">
        <f>Estimation!H26</f>
        <v>35134524.726021536</v>
      </c>
      <c r="I9" s="39">
        <f>Estimation!I26</f>
        <v>35897592.921080582</v>
      </c>
      <c r="J9" s="39">
        <f>Estimation!J26</f>
        <v>36337386.00446029</v>
      </c>
      <c r="K9" s="39">
        <f>Estimation!K26</f>
        <v>36469083.059164822</v>
      </c>
      <c r="L9" s="10">
        <f>K9-E9</f>
        <v>8792292.4231648222</v>
      </c>
    </row>
    <row r="10" spans="1:17">
      <c r="A10" s="8">
        <v>2012</v>
      </c>
      <c r="B10" s="38">
        <f>Estimation!B27</f>
        <v>2907654.7859999998</v>
      </c>
      <c r="C10" s="38">
        <f>Estimation!C27</f>
        <v>13230047.507999999</v>
      </c>
      <c r="D10" s="38">
        <f>Estimation!D27</f>
        <v>21993565.195999999</v>
      </c>
      <c r="E10" s="39">
        <f>Estimation!E27</f>
        <v>29855483.770094749</v>
      </c>
      <c r="F10" s="39">
        <f>Estimation!F27</f>
        <v>33861703.672053844</v>
      </c>
      <c r="G10" s="39">
        <f>Estimation!G27</f>
        <v>36205623.649354145</v>
      </c>
      <c r="H10" s="39">
        <f>Estimation!H27</f>
        <v>37900284.267906353</v>
      </c>
      <c r="I10" s="39">
        <f>Estimation!I27</f>
        <v>38723420.534415089</v>
      </c>
      <c r="J10" s="39">
        <f>Estimation!J27</f>
        <v>39197833.750735193</v>
      </c>
      <c r="K10" s="39">
        <f>Estimation!K27</f>
        <v>39339897.884218439</v>
      </c>
      <c r="L10" s="10">
        <f>K10-D10</f>
        <v>17346332.688218441</v>
      </c>
    </row>
    <row r="11" spans="1:17">
      <c r="A11" s="8">
        <v>2013</v>
      </c>
      <c r="B11" s="38">
        <f>Estimation!B28</f>
        <v>3465668.6779999998</v>
      </c>
      <c r="C11" s="38">
        <f>Estimation!C28</f>
        <v>13106099.206</v>
      </c>
      <c r="D11" s="39">
        <f>Estimation!D28</f>
        <v>28438518.489661966</v>
      </c>
      <c r="E11" s="39">
        <f>Estimation!E28</f>
        <v>38604279.008301005</v>
      </c>
      <c r="F11" s="39">
        <f>Estimation!F28</f>
        <v>43784474.112650715</v>
      </c>
      <c r="G11" s="39">
        <f>Estimation!G28</f>
        <v>46815252.025131486</v>
      </c>
      <c r="H11" s="39">
        <f>Estimation!H28</f>
        <v>49006512.828230567</v>
      </c>
      <c r="I11" s="39">
        <f>Estimation!I28</f>
        <v>50070859.40987879</v>
      </c>
      <c r="J11" s="39">
        <f>Estimation!J28</f>
        <v>50684293.789608777</v>
      </c>
      <c r="K11" s="39">
        <f>Estimation!K28</f>
        <v>50867988.131602764</v>
      </c>
      <c r="L11" s="10">
        <f>K11-C11</f>
        <v>37761888.925602764</v>
      </c>
    </row>
    <row r="12" spans="1:17">
      <c r="A12" s="8">
        <v>2014</v>
      </c>
      <c r="B12" s="38">
        <f>Estimation!B29</f>
        <v>3619805.284</v>
      </c>
      <c r="C12" s="39">
        <f>Estimation!C29</f>
        <v>20946239.548747703</v>
      </c>
      <c r="D12" s="39">
        <f>Estimation!D29</f>
        <v>45450596.041822016</v>
      </c>
      <c r="E12" s="39">
        <f>Estimation!E29</f>
        <v>61697570.192691647</v>
      </c>
      <c r="F12" s="39">
        <f>Estimation!F29</f>
        <v>69976586.386563048</v>
      </c>
      <c r="G12" s="39">
        <f>Estimation!G29</f>
        <v>74820392.249470979</v>
      </c>
      <c r="H12" s="39">
        <f>Estimation!H29</f>
        <v>78322477.269129768</v>
      </c>
      <c r="I12" s="39">
        <f>Estimation!I29</f>
        <v>80023521.806614131</v>
      </c>
      <c r="J12" s="39">
        <f>Estimation!J29</f>
        <v>81003915.992809474</v>
      </c>
      <c r="K12" s="39">
        <f>Estimation!K29</f>
        <v>81297497.296497002</v>
      </c>
      <c r="L12" s="10">
        <f>K12-B12</f>
        <v>77677692.012497008</v>
      </c>
    </row>
    <row r="13" spans="1:17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23">
        <f>SUM(L3:L12)</f>
        <v>151930120.91724828</v>
      </c>
    </row>
    <row r="14" spans="1:17">
      <c r="Q14" s="47" t="s">
        <v>42</v>
      </c>
    </row>
    <row r="15" spans="1:17">
      <c r="B15" s="14"/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Q15" s="47" t="s">
        <v>42</v>
      </c>
    </row>
    <row r="16" spans="1:17">
      <c r="B16" s="8" t="s">
        <v>23</v>
      </c>
      <c r="C16" s="13">
        <f>SUM(B3:B12)/SUM(K3:K12)</f>
        <v>4.452542088470874E-2</v>
      </c>
      <c r="D16" s="13">
        <f>SUM(C3:C11)/SUM($K3:$K11)</f>
        <v>0.25764925422433943</v>
      </c>
      <c r="E16" s="13">
        <f>SUM(D3:D10)/SUM($K3:$K10)</f>
        <v>0.55906513180917339</v>
      </c>
      <c r="F16" s="13">
        <f>SUM(E3:E9)/SUM($K3:$K9)</f>
        <v>0.75891106423211019</v>
      </c>
      <c r="G16" s="13">
        <f>SUM(F3:F8)/SUM($K3:$K8)</f>
        <v>0.86074711662222636</v>
      </c>
      <c r="H16" s="13">
        <f>SUM(G3:G7)/SUM($K3:$K7)</f>
        <v>0.92032835865286677</v>
      </c>
      <c r="I16" s="13">
        <f>SUM(H3:H6)/SUM($K3:$K6)</f>
        <v>0.96340576123128174</v>
      </c>
      <c r="J16" s="13">
        <f>SUM(I3:I5)/SUM($K3:$K5)</f>
        <v>0.9843294623789387</v>
      </c>
      <c r="K16" s="13">
        <f>SUM(J3:J4)/SUM($K3:$K4)</f>
        <v>0.99638880268826935</v>
      </c>
      <c r="L16" s="13">
        <f>SUM(K3:K3)/SUM($K3:$K3)</f>
        <v>1</v>
      </c>
      <c r="Q16" s="47" t="s">
        <v>42</v>
      </c>
    </row>
    <row r="17" spans="2:17">
      <c r="B17" s="8" t="s">
        <v>24</v>
      </c>
      <c r="C17" s="13">
        <f t="shared" ref="C17:L17" si="0">1-C16</f>
        <v>0.95547457911529121</v>
      </c>
      <c r="D17" s="13">
        <f t="shared" si="0"/>
        <v>0.74235074577566063</v>
      </c>
      <c r="E17" s="13">
        <f t="shared" si="0"/>
        <v>0.44093486819082661</v>
      </c>
      <c r="F17" s="13">
        <f t="shared" si="0"/>
        <v>0.24108893576788981</v>
      </c>
      <c r="G17" s="13">
        <f t="shared" si="0"/>
        <v>0.13925288337777364</v>
      </c>
      <c r="H17" s="13">
        <f t="shared" si="0"/>
        <v>7.9671641347133226E-2</v>
      </c>
      <c r="I17" s="13">
        <f t="shared" si="0"/>
        <v>3.6594238768718257E-2</v>
      </c>
      <c r="J17" s="13">
        <f t="shared" si="0"/>
        <v>1.5670537621061298E-2</v>
      </c>
      <c r="K17" s="13">
        <f t="shared" si="0"/>
        <v>3.6111973117306517E-3</v>
      </c>
      <c r="L17" s="13">
        <f t="shared" si="0"/>
        <v>0</v>
      </c>
      <c r="Q17" s="47" t="s">
        <v>42</v>
      </c>
    </row>
    <row r="18" spans="2:17">
      <c r="Q18" s="47" t="s">
        <v>42</v>
      </c>
    </row>
    <row r="19" spans="2:17">
      <c r="Q19" s="47" t="s">
        <v>42</v>
      </c>
    </row>
    <row r="20" spans="2:17" ht="26.4">
      <c r="B20" s="26" t="s">
        <v>3</v>
      </c>
      <c r="C20" s="26" t="s">
        <v>24</v>
      </c>
      <c r="D20" s="26" t="s">
        <v>25</v>
      </c>
      <c r="E20" s="26" t="s">
        <v>26</v>
      </c>
      <c r="F20" s="26" t="s">
        <v>22</v>
      </c>
      <c r="Q20" s="47" t="s">
        <v>42</v>
      </c>
    </row>
    <row r="21" spans="2:17">
      <c r="B21" s="8">
        <v>2005</v>
      </c>
      <c r="C21" s="13">
        <f>L17</f>
        <v>0</v>
      </c>
      <c r="D21" s="27">
        <f>K3/E21</f>
        <v>26640071.250526313</v>
      </c>
      <c r="E21" s="13">
        <v>0.95</v>
      </c>
      <c r="F21" s="27">
        <f>C21*E21*D21</f>
        <v>0</v>
      </c>
      <c r="Q21" s="47" t="s">
        <v>42</v>
      </c>
    </row>
    <row r="22" spans="2:17">
      <c r="B22" s="8">
        <v>2006</v>
      </c>
      <c r="C22" s="13">
        <f>K17</f>
        <v>3.6111973117306517E-3</v>
      </c>
      <c r="D22" s="27">
        <f>D21*1.04</f>
        <v>27705674.100547366</v>
      </c>
      <c r="E22" s="13">
        <f>J4/D22</f>
        <v>0.85662232833133312</v>
      </c>
      <c r="F22" s="27">
        <f>C22*E22*D22</f>
        <v>85705.625749526807</v>
      </c>
      <c r="Q22" s="47" t="s">
        <v>42</v>
      </c>
    </row>
    <row r="23" spans="2:17">
      <c r="B23" s="8">
        <v>2007</v>
      </c>
      <c r="C23" s="13">
        <f>J17</f>
        <v>1.5670537621061298E-2</v>
      </c>
      <c r="D23" s="27">
        <f t="shared" ref="D23:D30" si="1">D22*1.04</f>
        <v>28813901.064569261</v>
      </c>
      <c r="E23" s="13">
        <f>I5/D23</f>
        <v>0.82399629785620387</v>
      </c>
      <c r="F23" s="27">
        <f t="shared" ref="F23:F29" si="2">C23*E23*D23</f>
        <v>372058.48858242837</v>
      </c>
      <c r="Q23" s="47" t="s">
        <v>42</v>
      </c>
    </row>
    <row r="24" spans="2:17">
      <c r="B24" s="8">
        <v>2008</v>
      </c>
      <c r="C24" s="13">
        <f>I17</f>
        <v>3.6594238768718257E-2</v>
      </c>
      <c r="D24" s="27">
        <f t="shared" si="1"/>
        <v>29966457.107152034</v>
      </c>
      <c r="E24" s="13">
        <f>H6/D24</f>
        <v>0.9823157909105793</v>
      </c>
      <c r="F24" s="27">
        <f t="shared" si="2"/>
        <v>1077207.1882894249</v>
      </c>
      <c r="Q24" s="47" t="s">
        <v>42</v>
      </c>
    </row>
    <row r="25" spans="2:17">
      <c r="B25" s="8">
        <v>2009</v>
      </c>
      <c r="C25" s="13">
        <f>H17</f>
        <v>7.9671641347133226E-2</v>
      </c>
      <c r="D25" s="27">
        <f t="shared" si="1"/>
        <v>31165115.391438115</v>
      </c>
      <c r="E25" s="13">
        <f>G7/D25</f>
        <v>1.1236057536183608</v>
      </c>
      <c r="F25" s="27">
        <f t="shared" si="2"/>
        <v>2789886.0028510564</v>
      </c>
      <c r="Q25" s="47" t="s">
        <v>42</v>
      </c>
    </row>
    <row r="26" spans="2:17">
      <c r="B26" s="8">
        <v>2010</v>
      </c>
      <c r="C26" s="13">
        <f>G17</f>
        <v>0.13925288337777364</v>
      </c>
      <c r="D26" s="27">
        <f t="shared" si="1"/>
        <v>32411720.007095642</v>
      </c>
      <c r="E26" s="13">
        <f>F8/D26</f>
        <v>1.0943578674082963</v>
      </c>
      <c r="F26" s="27">
        <f t="shared" si="2"/>
        <v>4939302.6679200642</v>
      </c>
    </row>
    <row r="27" spans="2:17">
      <c r="B27" s="8">
        <v>2011</v>
      </c>
      <c r="C27" s="13">
        <f>F17</f>
        <v>0.24108893576788981</v>
      </c>
      <c r="D27" s="27">
        <f t="shared" si="1"/>
        <v>33708188.807379469</v>
      </c>
      <c r="E27" s="13">
        <f>E9/D27</f>
        <v>0.82107023887147967</v>
      </c>
      <c r="F27" s="27">
        <f t="shared" si="2"/>
        <v>6672567.9999039378</v>
      </c>
    </row>
    <row r="28" spans="2:17">
      <c r="B28" s="8">
        <v>2012</v>
      </c>
      <c r="C28" s="13">
        <f>E17</f>
        <v>0.44093486819082661</v>
      </c>
      <c r="D28" s="27">
        <f t="shared" si="1"/>
        <v>35056516.359674647</v>
      </c>
      <c r="E28" s="13">
        <f>D10/D28</f>
        <v>0.62737452205316946</v>
      </c>
      <c r="F28" s="27">
        <f t="shared" si="2"/>
        <v>9697729.7707446106</v>
      </c>
    </row>
    <row r="29" spans="2:17">
      <c r="B29" s="8">
        <v>2013</v>
      </c>
      <c r="C29" s="13">
        <f>D17</f>
        <v>0.74235074577566063</v>
      </c>
      <c r="D29" s="27">
        <f t="shared" si="1"/>
        <v>36458777.014061637</v>
      </c>
      <c r="E29" s="13">
        <f>C11/D29</f>
        <v>0.35947720355362339</v>
      </c>
      <c r="F29" s="27">
        <f t="shared" si="2"/>
        <v>9729322.5197838936</v>
      </c>
    </row>
    <row r="30" spans="2:17">
      <c r="B30" s="8">
        <v>2014</v>
      </c>
      <c r="C30" s="13">
        <f>C17</f>
        <v>0.95547457911529121</v>
      </c>
      <c r="D30" s="27">
        <f t="shared" si="1"/>
        <v>37917128.094624102</v>
      </c>
      <c r="E30" s="13">
        <f>B12/D30</f>
        <v>9.5466230326479204E-2</v>
      </c>
      <c r="F30" s="27">
        <f>C30*E30*D30</f>
        <v>3458631.9302092073</v>
      </c>
    </row>
    <row r="31" spans="2:17">
      <c r="B31" s="14"/>
      <c r="C31" s="14"/>
      <c r="D31" s="14"/>
      <c r="E31" s="14"/>
      <c r="F31" s="23">
        <f>SUM(F21:F30)</f>
        <v>38822412.194034144</v>
      </c>
    </row>
    <row r="34" spans="1:11">
      <c r="A34" s="8" t="s">
        <v>27</v>
      </c>
      <c r="B34" s="8">
        <v>0</v>
      </c>
      <c r="C34" s="8">
        <v>1</v>
      </c>
      <c r="D34" s="8">
        <v>2</v>
      </c>
      <c r="E34" s="8">
        <v>3</v>
      </c>
      <c r="F34" s="8">
        <v>4</v>
      </c>
      <c r="G34" s="8">
        <v>5</v>
      </c>
      <c r="H34" s="8">
        <v>6</v>
      </c>
      <c r="I34" s="8">
        <v>7</v>
      </c>
      <c r="J34" s="8">
        <v>8</v>
      </c>
      <c r="K34" s="8">
        <v>9</v>
      </c>
    </row>
    <row r="35" spans="1:11">
      <c r="A35" s="8">
        <v>2004</v>
      </c>
      <c r="B35" s="12">
        <f>B3/$D21</f>
        <v>4.3992377309307926E-2</v>
      </c>
      <c r="C35" s="12">
        <f>C3/$D21</f>
        <v>0.29190663714333592</v>
      </c>
      <c r="D35" s="12">
        <f t="shared" ref="D35:K36" si="3">D3/$D21</f>
        <v>0.56397239431944735</v>
      </c>
      <c r="E35" s="12">
        <f t="shared" si="3"/>
        <v>0.73199020740662413</v>
      </c>
      <c r="F35" s="12">
        <f t="shared" si="3"/>
        <v>0.81233360483495176</v>
      </c>
      <c r="G35" s="12">
        <f t="shared" si="3"/>
        <v>0.8617141399554803</v>
      </c>
      <c r="H35" s="12">
        <f t="shared" si="3"/>
        <v>0.91804787547318667</v>
      </c>
      <c r="I35" s="12">
        <f t="shared" si="3"/>
        <v>0.93663912522407511</v>
      </c>
      <c r="J35" s="12">
        <f t="shared" si="3"/>
        <v>0.94656936255385604</v>
      </c>
      <c r="K35" s="12">
        <f t="shared" si="3"/>
        <v>0.95</v>
      </c>
    </row>
    <row r="36" spans="1:11">
      <c r="A36" s="8">
        <v>2005</v>
      </c>
      <c r="B36" s="12">
        <f>B4/$D22</f>
        <v>2.8992299161713257E-2</v>
      </c>
      <c r="C36" s="12">
        <f>C4/$D22</f>
        <v>0.17109075017620129</v>
      </c>
      <c r="D36" s="12">
        <f t="shared" si="3"/>
        <v>0.43155947841614789</v>
      </c>
      <c r="E36" s="12">
        <f t="shared" si="3"/>
        <v>0.63002454495973248</v>
      </c>
      <c r="F36" s="12">
        <f t="shared" si="3"/>
        <v>0.70497429043295212</v>
      </c>
      <c r="G36" s="12">
        <f t="shared" si="3"/>
        <v>0.80514736551958821</v>
      </c>
      <c r="H36" s="12">
        <f t="shared" si="3"/>
        <v>0.83220934247344214</v>
      </c>
      <c r="I36" s="12">
        <f t="shared" si="3"/>
        <v>0.84478714977512814</v>
      </c>
      <c r="J36" s="12">
        <f t="shared" si="3"/>
        <v>0.85662232833133312</v>
      </c>
      <c r="K36" s="16"/>
    </row>
    <row r="37" spans="1:11">
      <c r="A37" s="8">
        <v>2006</v>
      </c>
      <c r="B37" s="12">
        <f t="shared" ref="B37:I44" si="4">B5/$D23</f>
        <v>1.2501073672489363E-2</v>
      </c>
      <c r="C37" s="12">
        <f t="shared" si="4"/>
        <v>0.12720271058703975</v>
      </c>
      <c r="D37" s="12">
        <f t="shared" si="4"/>
        <v>0.40328211185151125</v>
      </c>
      <c r="E37" s="12">
        <f t="shared" si="4"/>
        <v>0.58102226520747124</v>
      </c>
      <c r="F37" s="12">
        <f t="shared" si="4"/>
        <v>0.68981725367415581</v>
      </c>
      <c r="G37" s="12">
        <f t="shared" si="4"/>
        <v>0.74715865136610693</v>
      </c>
      <c r="H37" s="12">
        <f t="shared" si="4"/>
        <v>0.80008878944710959</v>
      </c>
      <c r="I37" s="12">
        <f t="shared" si="4"/>
        <v>0.82399629785620387</v>
      </c>
      <c r="J37" s="16"/>
      <c r="K37" s="16"/>
    </row>
    <row r="38" spans="1:11">
      <c r="A38" s="8">
        <v>2007</v>
      </c>
      <c r="B38" s="28">
        <f t="shared" si="4"/>
        <v>2.1333209184993183E-2</v>
      </c>
      <c r="C38" s="28">
        <f t="shared" si="4"/>
        <v>0.19215575179308383</v>
      </c>
      <c r="D38" s="28">
        <f t="shared" si="4"/>
        <v>0.49068644069006723</v>
      </c>
      <c r="E38" s="28">
        <f t="shared" si="4"/>
        <v>0.77316814420715341</v>
      </c>
      <c r="F38" s="28">
        <f t="shared" si="4"/>
        <v>0.91135683869288453</v>
      </c>
      <c r="G38" s="28">
        <f t="shared" si="4"/>
        <v>0.95909262897616732</v>
      </c>
      <c r="H38" s="28">
        <f t="shared" si="4"/>
        <v>0.9823157909105793</v>
      </c>
      <c r="I38" s="16"/>
      <c r="J38" s="16"/>
      <c r="K38" s="16"/>
    </row>
    <row r="39" spans="1:11">
      <c r="A39" s="8">
        <v>2008</v>
      </c>
      <c r="B39" s="12">
        <f t="shared" si="4"/>
        <v>4.3167533413644772E-2</v>
      </c>
      <c r="C39" s="12">
        <f t="shared" si="4"/>
        <v>0.2799864395944836</v>
      </c>
      <c r="D39" s="12">
        <f t="shared" si="4"/>
        <v>0.71978430556887041</v>
      </c>
      <c r="E39" s="12">
        <f t="shared" si="4"/>
        <v>0.97789083593037451</v>
      </c>
      <c r="F39" s="12">
        <f t="shared" si="4"/>
        <v>1.0825948605108984</v>
      </c>
      <c r="G39" s="12">
        <f t="shared" si="4"/>
        <v>1.1236057536183608</v>
      </c>
      <c r="H39" s="16"/>
      <c r="I39" s="16"/>
      <c r="J39" s="16"/>
      <c r="K39" s="16"/>
    </row>
    <row r="40" spans="1:11">
      <c r="A40" s="8">
        <v>2009</v>
      </c>
      <c r="B40" s="12">
        <f t="shared" si="4"/>
        <v>4.9785283152104905E-2</v>
      </c>
      <c r="C40" s="12">
        <f t="shared" si="4"/>
        <v>0.36046152161755979</v>
      </c>
      <c r="D40" s="12">
        <f t="shared" si="4"/>
        <v>0.77760958204261799</v>
      </c>
      <c r="E40" s="12">
        <f t="shared" si="4"/>
        <v>0.97445552365272847</v>
      </c>
      <c r="F40" s="12">
        <f t="shared" si="4"/>
        <v>1.0943578674082963</v>
      </c>
      <c r="G40" s="16"/>
      <c r="H40" s="16"/>
      <c r="I40" s="16"/>
      <c r="J40" s="16"/>
      <c r="K40" s="16"/>
    </row>
    <row r="41" spans="1:11">
      <c r="A41" s="8">
        <v>2010</v>
      </c>
      <c r="B41" s="12">
        <f t="shared" si="4"/>
        <v>4.4030446384442902E-2</v>
      </c>
      <c r="C41" s="12">
        <f>C9/$D27</f>
        <v>0.32983824979543158</v>
      </c>
      <c r="D41" s="12">
        <f t="shared" si="4"/>
        <v>0.64642672836903403</v>
      </c>
      <c r="E41" s="12">
        <f t="shared" si="4"/>
        <v>0.82107023887147967</v>
      </c>
      <c r="F41" s="16"/>
      <c r="G41" s="16"/>
      <c r="H41" s="16"/>
      <c r="I41" s="16"/>
      <c r="J41" s="16"/>
      <c r="K41" s="16"/>
    </row>
    <row r="42" spans="1:11">
      <c r="A42" s="8">
        <v>2011</v>
      </c>
      <c r="B42" s="12">
        <f t="shared" si="4"/>
        <v>8.2941920302858782E-2</v>
      </c>
      <c r="C42" s="12">
        <f t="shared" si="4"/>
        <v>0.37739196251737278</v>
      </c>
      <c r="D42" s="12">
        <f t="shared" si="4"/>
        <v>0.62737452205316946</v>
      </c>
      <c r="E42" s="16"/>
      <c r="F42" s="16"/>
      <c r="G42" s="16"/>
      <c r="H42" s="16"/>
      <c r="I42" s="16"/>
      <c r="J42" s="16"/>
      <c r="K42" s="16"/>
    </row>
    <row r="43" spans="1:11">
      <c r="A43" s="8">
        <v>2012</v>
      </c>
      <c r="B43" s="12">
        <f t="shared" si="4"/>
        <v>9.5057184081170365E-2</v>
      </c>
      <c r="C43" s="12">
        <f t="shared" si="4"/>
        <v>0.35947720355362339</v>
      </c>
      <c r="D43" s="16"/>
      <c r="E43" s="16"/>
      <c r="F43" s="16"/>
      <c r="G43" s="16"/>
      <c r="H43" s="16"/>
      <c r="I43" s="16"/>
      <c r="J43" s="16"/>
      <c r="K43" s="16"/>
    </row>
    <row r="44" spans="1:11">
      <c r="A44" s="8">
        <v>2013</v>
      </c>
      <c r="B44" s="12">
        <f t="shared" si="4"/>
        <v>9.5466230326479204E-2</v>
      </c>
      <c r="C44" s="16"/>
      <c r="D44" s="16"/>
      <c r="E44" s="16"/>
      <c r="F44" s="16"/>
      <c r="G44" s="16"/>
      <c r="H44" s="16"/>
      <c r="I44" s="16"/>
      <c r="J44" s="16"/>
      <c r="K44" s="16"/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7"/>
  <sheetViews>
    <sheetView tabSelected="1" topLeftCell="A37" zoomScale="80" zoomScaleNormal="80" workbookViewId="0">
      <selection activeCell="B57" sqref="B57"/>
    </sheetView>
  </sheetViews>
  <sheetFormatPr baseColWidth="10" defaultRowHeight="14.4"/>
  <cols>
    <col min="2" max="2" width="12.5546875" customWidth="1"/>
  </cols>
  <sheetData>
    <row r="1" spans="1:17">
      <c r="A1" s="48" t="s">
        <v>2</v>
      </c>
      <c r="B1" s="53"/>
      <c r="C1" s="53"/>
      <c r="D1" s="53"/>
      <c r="E1" s="53"/>
    </row>
    <row r="2" spans="1:17">
      <c r="A2" s="8" t="s">
        <v>3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15" t="s">
        <v>18</v>
      </c>
    </row>
    <row r="3" spans="1:17">
      <c r="A3" s="8">
        <v>2005</v>
      </c>
      <c r="B3" s="10">
        <f>Estimation!B20</f>
        <v>1171960.0660000001</v>
      </c>
      <c r="C3" s="10">
        <f>Estimation!C20</f>
        <v>7776413.6119999997</v>
      </c>
      <c r="D3" s="10">
        <f>Estimation!D20</f>
        <v>15024264.767999999</v>
      </c>
      <c r="E3" s="10">
        <f>Estimation!E20</f>
        <v>19500271.280000001</v>
      </c>
      <c r="F3" s="10">
        <f>Estimation!F20</f>
        <v>21640625.112</v>
      </c>
      <c r="G3" s="10">
        <f>Estimation!G20</f>
        <v>22956126.085999999</v>
      </c>
      <c r="H3" s="10">
        <f>Estimation!H20</f>
        <v>24456860.813999999</v>
      </c>
      <c r="I3" s="10">
        <f>Estimation!I20</f>
        <v>24952133.031999998</v>
      </c>
      <c r="J3" s="10">
        <f>Estimation!J20</f>
        <v>25216675.261999998</v>
      </c>
      <c r="K3" s="10">
        <f>Estimation!K20</f>
        <v>25308067.687999997</v>
      </c>
      <c r="L3" s="10">
        <f>K3-K3</f>
        <v>0</v>
      </c>
    </row>
    <row r="4" spans="1:17">
      <c r="A4" s="8">
        <v>2006</v>
      </c>
      <c r="B4" s="10">
        <f>Estimation!B21</f>
        <v>803251.19200000004</v>
      </c>
      <c r="C4" s="10">
        <f>Estimation!C21</f>
        <v>4740184.5659999996</v>
      </c>
      <c r="D4" s="10">
        <f>Estimation!D21</f>
        <v>11956646.263999999</v>
      </c>
      <c r="E4" s="10">
        <f>Estimation!E21</f>
        <v>17455254.717999998</v>
      </c>
      <c r="F4" s="10">
        <f>Estimation!F21</f>
        <v>19531787.939999998</v>
      </c>
      <c r="G4" s="10">
        <f>Estimation!G21</f>
        <v>22307150.511999998</v>
      </c>
      <c r="H4" s="10">
        <f>Estimation!H21</f>
        <v>23056920.825999998</v>
      </c>
      <c r="I4" s="10">
        <f>Estimation!I21</f>
        <v>23405397.455999997</v>
      </c>
      <c r="J4" s="10">
        <f>Estimation!J21</f>
        <v>23733299.055999998</v>
      </c>
      <c r="K4" s="16">
        <f>Estimation!K21</f>
        <v>23819315.303390868</v>
      </c>
      <c r="L4" s="10">
        <f>K4-J4</f>
        <v>86016.247390870005</v>
      </c>
    </row>
    <row r="5" spans="1:17">
      <c r="A5" s="8">
        <v>2007</v>
      </c>
      <c r="B5" s="10">
        <f>Estimation!B22</f>
        <v>360204.7</v>
      </c>
      <c r="C5" s="10">
        <f>Estimation!C22</f>
        <v>3665206.318</v>
      </c>
      <c r="D5" s="10">
        <f>Estimation!D22</f>
        <v>11620130.872</v>
      </c>
      <c r="E5" s="10">
        <f>Estimation!E22</f>
        <v>16741518.066</v>
      </c>
      <c r="F5" s="10">
        <f>Estimation!F22</f>
        <v>19876326.100000001</v>
      </c>
      <c r="G5" s="10">
        <f>Estimation!G22</f>
        <v>21528555.460000001</v>
      </c>
      <c r="H5" s="10">
        <f>Estimation!H22</f>
        <v>23053679.222000003</v>
      </c>
      <c r="I5" s="10">
        <f>Estimation!I22</f>
        <v>23742547.804000001</v>
      </c>
      <c r="J5" s="16">
        <f>Estimation!J22</f>
        <v>24033425.477301586</v>
      </c>
      <c r="K5" s="16">
        <f>Estimation!K22</f>
        <v>24120529.468475666</v>
      </c>
      <c r="L5" s="10">
        <f>K5-I5</f>
        <v>377981.6644756645</v>
      </c>
    </row>
    <row r="6" spans="1:17">
      <c r="A6" s="8">
        <v>2008</v>
      </c>
      <c r="B6" s="10">
        <f>Estimation!B23</f>
        <v>639280.69799999997</v>
      </c>
      <c r="C6" s="10">
        <f>Estimation!C23</f>
        <v>5758227.0939999996</v>
      </c>
      <c r="D6" s="10">
        <f>Estimation!D23</f>
        <v>14704134.177999999</v>
      </c>
      <c r="E6" s="10">
        <f>Estimation!E23</f>
        <v>23169110.030000001</v>
      </c>
      <c r="F6" s="10">
        <f>Estimation!F23</f>
        <v>27310135.616</v>
      </c>
      <c r="G6" s="10">
        <f>Estimation!G23</f>
        <v>28740608.127999999</v>
      </c>
      <c r="H6" s="10">
        <f>Estimation!H23</f>
        <v>29436524.013999999</v>
      </c>
      <c r="I6" s="16">
        <f>Estimation!I23</f>
        <v>30075840.33956109</v>
      </c>
      <c r="J6" s="16">
        <f>Estimation!J23</f>
        <v>30444309.239056688</v>
      </c>
      <c r="K6" s="16">
        <f>Estimation!K23</f>
        <v>30554648.102144025</v>
      </c>
      <c r="L6" s="10">
        <f>K6-H6</f>
        <v>1118124.0881440267</v>
      </c>
    </row>
    <row r="7" spans="1:17">
      <c r="A7" s="8">
        <v>2009</v>
      </c>
      <c r="B7" s="10">
        <f>Estimation!B24</f>
        <v>1345321.16</v>
      </c>
      <c r="C7" s="10">
        <f>Estimation!C24</f>
        <v>8725809.6979999989</v>
      </c>
      <c r="D7" s="10">
        <f>Estimation!D24</f>
        <v>22432160.939999998</v>
      </c>
      <c r="E7" s="10">
        <f>Estimation!E24</f>
        <v>30476080.741999999</v>
      </c>
      <c r="F7" s="10">
        <f>Estimation!F24</f>
        <v>33739193.75</v>
      </c>
      <c r="G7" s="10">
        <f>Estimation!G24</f>
        <v>35017302.965999998</v>
      </c>
      <c r="H7" s="16">
        <f>Estimation!H24</f>
        <v>36656342.38371902</v>
      </c>
      <c r="I7" s="16">
        <f>Estimation!I24</f>
        <v>37452462.133120231</v>
      </c>
      <c r="J7" s="16">
        <f>Estimation!J24</f>
        <v>37911304.42479974</v>
      </c>
      <c r="K7" s="16">
        <f>Estimation!K24</f>
        <v>38048705.808931783</v>
      </c>
      <c r="L7" s="10">
        <f>K7-G7</f>
        <v>3031402.8429317847</v>
      </c>
    </row>
    <row r="8" spans="1:17">
      <c r="A8" s="8">
        <v>2010</v>
      </c>
      <c r="B8" s="10">
        <f>Estimation!B25</f>
        <v>1613626.6580000001</v>
      </c>
      <c r="C8" s="10">
        <f>Estimation!C25</f>
        <v>11683177.912</v>
      </c>
      <c r="D8" s="10">
        <f>Estimation!D25</f>
        <v>25203664.048</v>
      </c>
      <c r="E8" s="10">
        <f>Estimation!E25</f>
        <v>31583779.592</v>
      </c>
      <c r="F8" s="10">
        <f>Estimation!F25</f>
        <v>35470020.785999998</v>
      </c>
      <c r="G8" s="16">
        <f>Estimation!G25</f>
        <v>37925269.084217705</v>
      </c>
      <c r="H8" s="16">
        <f>Estimation!H25</f>
        <v>39700420.386332221</v>
      </c>
      <c r="I8" s="16">
        <f>Estimation!I25</f>
        <v>40562652.858907759</v>
      </c>
      <c r="J8" s="16">
        <f>Estimation!J25</f>
        <v>41059599.108482167</v>
      </c>
      <c r="K8" s="16">
        <f>Estimation!K25</f>
        <v>41208410.810822904</v>
      </c>
      <c r="L8" s="10">
        <f>K8-F8</f>
        <v>5738390.0248229057</v>
      </c>
    </row>
    <row r="9" spans="1:17">
      <c r="A9" s="8">
        <v>2011</v>
      </c>
      <c r="B9" s="10">
        <f>Estimation!B26</f>
        <v>1484186.6</v>
      </c>
      <c r="C9" s="10">
        <f>Estimation!C26</f>
        <v>11118250</v>
      </c>
      <c r="D9" s="10">
        <f>Estimation!D26</f>
        <v>21789874.210000001</v>
      </c>
      <c r="E9" s="10">
        <f>Estimation!E26</f>
        <v>27676790.636</v>
      </c>
      <c r="F9" s="16">
        <f>Estimation!F26</f>
        <v>31390658.089032613</v>
      </c>
      <c r="G9" s="16">
        <f>Estimation!G26</f>
        <v>33563531.353416242</v>
      </c>
      <c r="H9" s="16">
        <f>Estimation!H26</f>
        <v>35134524.726021536</v>
      </c>
      <c r="I9" s="16">
        <f>Estimation!I26</f>
        <v>35897592.921080582</v>
      </c>
      <c r="J9" s="16">
        <f>Estimation!J26</f>
        <v>36337386.00446029</v>
      </c>
      <c r="K9" s="16">
        <f>Estimation!K26</f>
        <v>36469083.059164822</v>
      </c>
      <c r="L9" s="10">
        <f>K9-E9</f>
        <v>8792292.4231648222</v>
      </c>
    </row>
    <row r="10" spans="1:17">
      <c r="A10" s="8">
        <v>2012</v>
      </c>
      <c r="B10" s="10">
        <f>Estimation!B27</f>
        <v>2907654.7859999998</v>
      </c>
      <c r="C10" s="10">
        <f>Estimation!C27</f>
        <v>13230047.507999999</v>
      </c>
      <c r="D10" s="10">
        <f>Estimation!D27</f>
        <v>21993565.195999999</v>
      </c>
      <c r="E10" s="16">
        <f>Estimation!E27</f>
        <v>29855483.770094749</v>
      </c>
      <c r="F10" s="16">
        <f>Estimation!F27</f>
        <v>33861703.672053844</v>
      </c>
      <c r="G10" s="16">
        <f>Estimation!G27</f>
        <v>36205623.649354145</v>
      </c>
      <c r="H10" s="16">
        <f>Estimation!H27</f>
        <v>37900284.267906353</v>
      </c>
      <c r="I10" s="16">
        <f>Estimation!I27</f>
        <v>38723420.534415089</v>
      </c>
      <c r="J10" s="16">
        <f>Estimation!J27</f>
        <v>39197833.750735193</v>
      </c>
      <c r="K10" s="16">
        <f>Estimation!K27</f>
        <v>39339897.884218439</v>
      </c>
      <c r="L10" s="10">
        <f>K10-D10</f>
        <v>17346332.688218441</v>
      </c>
    </row>
    <row r="11" spans="1:17">
      <c r="A11" s="8">
        <v>2013</v>
      </c>
      <c r="B11" s="10">
        <f>Estimation!B28</f>
        <v>3465668.6779999998</v>
      </c>
      <c r="C11" s="10">
        <f>Estimation!C28</f>
        <v>13106099.206</v>
      </c>
      <c r="D11" s="16">
        <f>Estimation!D28</f>
        <v>28438518.489661966</v>
      </c>
      <c r="E11" s="16">
        <f>Estimation!E28</f>
        <v>38604279.008301005</v>
      </c>
      <c r="F11" s="16">
        <f>Estimation!F28</f>
        <v>43784474.112650715</v>
      </c>
      <c r="G11" s="16">
        <f>Estimation!G28</f>
        <v>46815252.025131486</v>
      </c>
      <c r="H11" s="16">
        <f>Estimation!H28</f>
        <v>49006512.828230567</v>
      </c>
      <c r="I11" s="16">
        <f>Estimation!I28</f>
        <v>50070859.40987879</v>
      </c>
      <c r="J11" s="16">
        <f>Estimation!J28</f>
        <v>50684293.789608777</v>
      </c>
      <c r="K11" s="16">
        <f>Estimation!K28</f>
        <v>50867988.131602764</v>
      </c>
      <c r="L11" s="10">
        <f>K11-C11</f>
        <v>37761888.925602764</v>
      </c>
    </row>
    <row r="12" spans="1:17">
      <c r="A12" s="8">
        <v>2014</v>
      </c>
      <c r="B12" s="10">
        <f>Estimation!B29</f>
        <v>3619805.284</v>
      </c>
      <c r="C12" s="16">
        <f>Estimation!C29</f>
        <v>20946239.548747703</v>
      </c>
      <c r="D12" s="16">
        <f>Estimation!D29</f>
        <v>45450596.041822016</v>
      </c>
      <c r="E12" s="16">
        <f>Estimation!E29</f>
        <v>61697570.192691647</v>
      </c>
      <c r="F12" s="16">
        <f>Estimation!F29</f>
        <v>69976586.386563048</v>
      </c>
      <c r="G12" s="16">
        <f>Estimation!G29</f>
        <v>74820392.249470979</v>
      </c>
      <c r="H12" s="16">
        <f>Estimation!H29</f>
        <v>78322477.269129768</v>
      </c>
      <c r="I12" s="16">
        <f>Estimation!I29</f>
        <v>80023521.806614131</v>
      </c>
      <c r="J12" s="16">
        <f>Estimation!J29</f>
        <v>81003915.992809474</v>
      </c>
      <c r="K12" s="16">
        <f>Estimation!K29</f>
        <v>81297497.296497002</v>
      </c>
      <c r="L12" s="10">
        <f>K12-B12</f>
        <v>77677692.012497008</v>
      </c>
    </row>
    <row r="13" spans="1:17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23">
        <f>SUM(L3:L12)</f>
        <v>151930120.91724828</v>
      </c>
    </row>
    <row r="14" spans="1:17">
      <c r="Q14" s="47" t="s">
        <v>42</v>
      </c>
    </row>
    <row r="15" spans="1:17">
      <c r="Q15" s="47" t="s">
        <v>42</v>
      </c>
    </row>
    <row r="16" spans="1:17">
      <c r="A16" s="8" t="s">
        <v>3</v>
      </c>
      <c r="B16" s="8">
        <v>1</v>
      </c>
      <c r="C16" s="8">
        <v>2</v>
      </c>
      <c r="D16" s="8">
        <v>3</v>
      </c>
      <c r="E16" s="8">
        <v>4</v>
      </c>
      <c r="F16" s="8">
        <v>5</v>
      </c>
      <c r="G16" s="8">
        <v>6</v>
      </c>
      <c r="H16" s="8">
        <v>7</v>
      </c>
      <c r="I16" s="8">
        <v>8</v>
      </c>
      <c r="J16" s="8">
        <v>9</v>
      </c>
      <c r="K16" s="8">
        <v>10</v>
      </c>
      <c r="L16" s="8" t="s">
        <v>28</v>
      </c>
      <c r="Q16" s="47" t="s">
        <v>42</v>
      </c>
    </row>
    <row r="17" spans="1:17">
      <c r="A17" s="8">
        <v>2005</v>
      </c>
      <c r="B17" s="12">
        <f t="shared" ref="B17:K17" si="0">B3/$K$3</f>
        <v>4.6307765588745185E-2</v>
      </c>
      <c r="C17" s="12">
        <f t="shared" si="0"/>
        <v>0.30727014436140626</v>
      </c>
      <c r="D17" s="12">
        <f t="shared" si="0"/>
        <v>0.59365515191520779</v>
      </c>
      <c r="E17" s="12">
        <f t="shared" si="0"/>
        <v>0.77051600779644647</v>
      </c>
      <c r="F17" s="12">
        <f t="shared" si="0"/>
        <v>0.85508800508942284</v>
      </c>
      <c r="G17" s="12">
        <f t="shared" si="0"/>
        <v>0.90706751574261091</v>
      </c>
      <c r="H17" s="12">
        <f t="shared" si="0"/>
        <v>0.96636618470861746</v>
      </c>
      <c r="I17" s="12">
        <f t="shared" si="0"/>
        <v>0.98593592128850005</v>
      </c>
      <c r="J17" s="12">
        <f t="shared" si="0"/>
        <v>0.99638880268826946</v>
      </c>
      <c r="K17" s="12">
        <f t="shared" si="0"/>
        <v>1</v>
      </c>
      <c r="L17" s="40">
        <f>K3</f>
        <v>25308067.687999997</v>
      </c>
      <c r="Q17" s="47" t="s">
        <v>42</v>
      </c>
    </row>
    <row r="18" spans="1:17">
      <c r="A18" s="8">
        <v>2006</v>
      </c>
      <c r="B18" s="12">
        <f t="shared" ref="B18:J18" si="1">B4/$K$4</f>
        <v>3.3722681855831972E-2</v>
      </c>
      <c r="C18" s="12">
        <f t="shared" si="1"/>
        <v>0.19900591203497764</v>
      </c>
      <c r="D18" s="12">
        <f t="shared" si="1"/>
        <v>0.50197271045393466</v>
      </c>
      <c r="E18" s="12">
        <f t="shared" si="1"/>
        <v>0.73281933152440804</v>
      </c>
      <c r="F18" s="12">
        <f t="shared" si="1"/>
        <v>0.8199978753049838</v>
      </c>
      <c r="G18" s="12">
        <f t="shared" si="1"/>
        <v>0.93651518643041765</v>
      </c>
      <c r="H18" s="12">
        <f t="shared" si="1"/>
        <v>0.96799259476269084</v>
      </c>
      <c r="I18" s="12">
        <f t="shared" si="1"/>
        <v>0.98262259674055585</v>
      </c>
      <c r="J18" s="12">
        <f t="shared" si="1"/>
        <v>0.99638880268826935</v>
      </c>
      <c r="K18" s="29">
        <f>J18+K$30*(1-J18)/K$31</f>
        <v>1</v>
      </c>
      <c r="L18" s="40">
        <f t="shared" ref="L18:L26" si="2">K4</f>
        <v>23819315.303390868</v>
      </c>
      <c r="Q18" s="47" t="s">
        <v>42</v>
      </c>
    </row>
    <row r="19" spans="1:17">
      <c r="A19" s="8">
        <v>2007</v>
      </c>
      <c r="B19" s="12">
        <f t="shared" ref="B19:I19" si="3">B5/$K$5</f>
        <v>1.4933532054956325E-2</v>
      </c>
      <c r="C19" s="12">
        <f t="shared" si="3"/>
        <v>0.15195380859239604</v>
      </c>
      <c r="D19" s="12">
        <f t="shared" si="3"/>
        <v>0.48175272798994456</v>
      </c>
      <c r="E19" s="12">
        <f t="shared" si="3"/>
        <v>0.69407755281161354</v>
      </c>
      <c r="F19" s="12">
        <f t="shared" si="3"/>
        <v>0.82404186549791014</v>
      </c>
      <c r="G19" s="12">
        <f t="shared" si="3"/>
        <v>0.89254074990919063</v>
      </c>
      <c r="H19" s="12">
        <f t="shared" si="3"/>
        <v>0.95577003200240762</v>
      </c>
      <c r="I19" s="12">
        <f t="shared" si="3"/>
        <v>0.9843294623789387</v>
      </c>
      <c r="J19" s="29">
        <f>I19+J$30*(1-I19)/J$31</f>
        <v>0.99639649899406024</v>
      </c>
      <c r="K19" s="29">
        <f>J19+K$30*(1-J19)/K$31</f>
        <v>1</v>
      </c>
      <c r="L19" s="40">
        <f t="shared" si="2"/>
        <v>24120529.468475666</v>
      </c>
      <c r="Q19" s="47" t="s">
        <v>42</v>
      </c>
    </row>
    <row r="20" spans="1:17">
      <c r="A20" s="8">
        <v>2008</v>
      </c>
      <c r="B20" s="30">
        <f t="shared" ref="B20:H26" si="4">B6/$K6</f>
        <v>2.0922535120119466E-2</v>
      </c>
      <c r="C20" s="30">
        <f t="shared" si="4"/>
        <v>0.18845666540652922</v>
      </c>
      <c r="D20" s="30">
        <f t="shared" si="4"/>
        <v>0.48124050157096088</v>
      </c>
      <c r="E20" s="30">
        <f t="shared" si="4"/>
        <v>0.75828430268762348</v>
      </c>
      <c r="F20" s="30">
        <f t="shared" si="4"/>
        <v>0.89381280140102948</v>
      </c>
      <c r="G20" s="30">
        <f t="shared" si="4"/>
        <v>0.94062965581931424</v>
      </c>
      <c r="H20" s="30">
        <f t="shared" si="4"/>
        <v>0.96340576123128163</v>
      </c>
      <c r="I20" s="29">
        <f>H20+I$30*(1-H20)/I$31</f>
        <v>0.98430547945075619</v>
      </c>
      <c r="J20" s="29">
        <f>I20+J$30*(1-I20)/J$31</f>
        <v>0.99639098402655102</v>
      </c>
      <c r="K20" s="29">
        <f>J20+K$30*(1-J20)/K$31</f>
        <v>1</v>
      </c>
      <c r="L20" s="40">
        <f t="shared" si="2"/>
        <v>30554648.102144025</v>
      </c>
      <c r="Q20" s="47" t="s">
        <v>42</v>
      </c>
    </row>
    <row r="21" spans="1:17">
      <c r="A21" s="8">
        <v>2009</v>
      </c>
      <c r="B21" s="30">
        <f t="shared" si="4"/>
        <v>3.5357869115332459E-2</v>
      </c>
      <c r="C21" s="30">
        <f t="shared" si="4"/>
        <v>0.22933262807460983</v>
      </c>
      <c r="D21" s="30">
        <f t="shared" si="4"/>
        <v>0.5895643613385172</v>
      </c>
      <c r="E21" s="30">
        <f t="shared" si="4"/>
        <v>0.80097548902296334</v>
      </c>
      <c r="F21" s="30">
        <f t="shared" si="4"/>
        <v>0.88673696076358677</v>
      </c>
      <c r="G21" s="30">
        <f t="shared" si="4"/>
        <v>0.92032835865286711</v>
      </c>
      <c r="H21" s="29">
        <f t="shared" ref="H21:K21" si="5">G21+H$30*(1-G21)/H$31</f>
        <v>0.96379807571330822</v>
      </c>
      <c r="I21" s="29">
        <f t="shared" si="5"/>
        <v>0.98447373510812475</v>
      </c>
      <c r="J21" s="29">
        <f t="shared" si="5"/>
        <v>0.99642967506863556</v>
      </c>
      <c r="K21" s="29">
        <f t="shared" si="5"/>
        <v>1</v>
      </c>
      <c r="L21" s="40">
        <f t="shared" si="2"/>
        <v>38048705.808931783</v>
      </c>
      <c r="Q21" s="47" t="s">
        <v>42</v>
      </c>
    </row>
    <row r="22" spans="1:17">
      <c r="A22" s="8">
        <v>2010</v>
      </c>
      <c r="B22" s="30">
        <f t="shared" si="4"/>
        <v>3.9157701698513452E-2</v>
      </c>
      <c r="C22" s="30">
        <f t="shared" si="4"/>
        <v>0.28351440111666598</v>
      </c>
      <c r="D22" s="30">
        <f t="shared" si="4"/>
        <v>0.61161456003978087</v>
      </c>
      <c r="E22" s="30">
        <f t="shared" si="4"/>
        <v>0.76644012643421067</v>
      </c>
      <c r="F22" s="30">
        <f>F8/$K8</f>
        <v>0.86074711662222647</v>
      </c>
      <c r="G22" s="29">
        <f t="shared" ref="G22:K22" si="6">F22+G$30*(1-F22)/G$31</f>
        <v>0.92167169629162382</v>
      </c>
      <c r="H22" s="29">
        <f t="shared" si="6"/>
        <v>0.96440847367508542</v>
      </c>
      <c r="I22" s="29">
        <f t="shared" si="6"/>
        <v>0.98473552230951666</v>
      </c>
      <c r="J22" s="29">
        <f t="shared" si="6"/>
        <v>0.99648987405263789</v>
      </c>
      <c r="K22" s="29">
        <f t="shared" si="6"/>
        <v>1</v>
      </c>
      <c r="L22" s="40">
        <f t="shared" si="2"/>
        <v>41208410.810822904</v>
      </c>
      <c r="Q22" s="47" t="s">
        <v>42</v>
      </c>
    </row>
    <row r="23" spans="1:17">
      <c r="A23" s="8">
        <v>2011</v>
      </c>
      <c r="B23" s="30">
        <f t="shared" si="4"/>
        <v>4.0697118641347861E-2</v>
      </c>
      <c r="C23" s="30">
        <f t="shared" si="4"/>
        <v>0.30486782412276586</v>
      </c>
      <c r="D23" s="30">
        <f t="shared" si="4"/>
        <v>0.59748895179650319</v>
      </c>
      <c r="E23" s="30">
        <f t="shared" si="4"/>
        <v>0.7589110642321103</v>
      </c>
      <c r="F23" s="29">
        <f t="shared" ref="F23:K23" si="7">E23+F$30*(1-E23)/F$31</f>
        <v>0.85926863150048882</v>
      </c>
      <c r="G23" s="29">
        <f t="shared" si="7"/>
        <v>0.920840063733398</v>
      </c>
      <c r="H23" s="29">
        <f t="shared" si="7"/>
        <v>0.96403058891711912</v>
      </c>
      <c r="I23" s="29">
        <f t="shared" si="7"/>
        <v>0.98457345526566775</v>
      </c>
      <c r="J23" s="29">
        <f t="shared" si="7"/>
        <v>0.99645260610627495</v>
      </c>
      <c r="K23" s="29">
        <f t="shared" si="7"/>
        <v>1</v>
      </c>
      <c r="L23" s="40">
        <f t="shared" si="2"/>
        <v>36469083.059164822</v>
      </c>
      <c r="Q23" s="47" t="s">
        <v>42</v>
      </c>
    </row>
    <row r="24" spans="1:17">
      <c r="A24" s="8">
        <v>2012</v>
      </c>
      <c r="B24" s="30">
        <f t="shared" si="4"/>
        <v>7.3911091344404128E-2</v>
      </c>
      <c r="C24" s="30">
        <f t="shared" si="4"/>
        <v>0.33630101295477316</v>
      </c>
      <c r="D24" s="30">
        <f t="shared" si="4"/>
        <v>0.55906513180917328</v>
      </c>
      <c r="E24" s="29">
        <f t="shared" ref="E24:K24" si="8">D24+E$30*(1-D24)/E$31</f>
        <v>0.75842142031279924</v>
      </c>
      <c r="F24" s="29">
        <f t="shared" si="8"/>
        <v>0.85898281059119397</v>
      </c>
      <c r="G24" s="29">
        <f t="shared" si="8"/>
        <v>0.92067929243411561</v>
      </c>
      <c r="H24" s="29">
        <f t="shared" si="8"/>
        <v>0.96395753619339353</v>
      </c>
      <c r="I24" s="29">
        <f t="shared" si="8"/>
        <v>0.98454212444660261</v>
      </c>
      <c r="J24" s="29">
        <f t="shared" si="8"/>
        <v>0.99644540146271088</v>
      </c>
      <c r="K24" s="29">
        <f t="shared" si="8"/>
        <v>1</v>
      </c>
      <c r="L24" s="40">
        <f t="shared" si="2"/>
        <v>39339897.884218439</v>
      </c>
      <c r="Q24" s="47" t="s">
        <v>42</v>
      </c>
    </row>
    <row r="25" spans="1:17">
      <c r="A25" s="8">
        <v>2013</v>
      </c>
      <c r="B25" s="30">
        <f t="shared" si="4"/>
        <v>6.8130641790546523E-2</v>
      </c>
      <c r="C25" s="30">
        <f t="shared" si="4"/>
        <v>0.25764925422433943</v>
      </c>
      <c r="D25" s="29">
        <f t="shared" ref="D25:K25" si="9">C25+D$30*(1-C25)/D$31</f>
        <v>0.55606369097549291</v>
      </c>
      <c r="E25" s="29">
        <f t="shared" si="9"/>
        <v>0.7567769964626494</v>
      </c>
      <c r="F25" s="29">
        <f t="shared" si="9"/>
        <v>0.85802290748287535</v>
      </c>
      <c r="G25" s="29">
        <f t="shared" si="9"/>
        <v>0.9201393568839481</v>
      </c>
      <c r="H25" s="29">
        <f t="shared" si="9"/>
        <v>0.96371219537228892</v>
      </c>
      <c r="I25" s="29">
        <f t="shared" si="9"/>
        <v>0.98443690278636442</v>
      </c>
      <c r="J25" s="29">
        <f t="shared" si="9"/>
        <v>0.99642120533315337</v>
      </c>
      <c r="K25" s="29">
        <f t="shared" si="9"/>
        <v>1</v>
      </c>
      <c r="L25" s="40">
        <f t="shared" si="2"/>
        <v>50867988.131602764</v>
      </c>
      <c r="Q25" s="47" t="s">
        <v>42</v>
      </c>
    </row>
    <row r="26" spans="1:17">
      <c r="A26" s="8">
        <v>2014</v>
      </c>
      <c r="B26" s="30">
        <f t="shared" si="4"/>
        <v>4.452542088470874E-2</v>
      </c>
      <c r="C26" s="29">
        <f t="shared" ref="C26:K26" si="10">B26+C$30*(1-B26)/C$31</f>
        <v>0.25308456401467228</v>
      </c>
      <c r="D26" s="29">
        <f t="shared" si="10"/>
        <v>0.55333394127826241</v>
      </c>
      <c r="E26" s="29">
        <f t="shared" si="10"/>
        <v>0.75528142624960581</v>
      </c>
      <c r="F26" s="29">
        <f t="shared" si="10"/>
        <v>0.85714989503168859</v>
      </c>
      <c r="G26" s="29">
        <f t="shared" si="10"/>
        <v>0.91964829642789825</v>
      </c>
      <c r="H26" s="29">
        <f t="shared" si="10"/>
        <v>0.96348906286052549</v>
      </c>
      <c r="I26" s="29">
        <f t="shared" si="10"/>
        <v>0.98434120581577822</v>
      </c>
      <c r="J26" s="29">
        <f t="shared" si="10"/>
        <v>0.99639919944298472</v>
      </c>
      <c r="K26" s="29">
        <f t="shared" si="10"/>
        <v>1</v>
      </c>
      <c r="L26" s="40">
        <f t="shared" si="2"/>
        <v>81297497.296497002</v>
      </c>
    </row>
    <row r="28" spans="1:17">
      <c r="A28" s="14"/>
      <c r="B28" s="8">
        <v>0</v>
      </c>
      <c r="C28" s="8">
        <v>1</v>
      </c>
      <c r="D28" s="8">
        <v>2</v>
      </c>
      <c r="E28" s="8">
        <v>3</v>
      </c>
      <c r="F28" s="8">
        <v>4</v>
      </c>
      <c r="G28" s="8">
        <v>5</v>
      </c>
      <c r="H28" s="8">
        <v>6</v>
      </c>
      <c r="I28" s="8">
        <v>7</v>
      </c>
      <c r="J28" s="8">
        <v>8</v>
      </c>
      <c r="K28" s="8">
        <v>9</v>
      </c>
    </row>
    <row r="29" spans="1:17">
      <c r="A29" s="8" t="s">
        <v>29</v>
      </c>
      <c r="B29" s="13">
        <f>AVERAGE(B17:B26)</f>
        <v>4.1766635809450607E-2</v>
      </c>
      <c r="C29" s="13">
        <f>AVERAGE(C17:C25)</f>
        <v>0.25092796120982924</v>
      </c>
      <c r="D29" s="13">
        <f>AVERAGE(D17:D24)</f>
        <v>0.55204426211425273</v>
      </c>
      <c r="E29" s="13">
        <f>AVERAGE(E17:E23)</f>
        <v>0.75457483921562507</v>
      </c>
      <c r="F29" s="13">
        <f>AVERAGE(F17:F22)</f>
        <v>0.85673743744652653</v>
      </c>
      <c r="G29" s="13">
        <f>AVERAGE(G17:G21)</f>
        <v>0.91941629331088015</v>
      </c>
      <c r="H29" s="13">
        <f>AVERAGE(H17:H20)</f>
        <v>0.96338364317624947</v>
      </c>
      <c r="I29" s="13">
        <f>AVERAGE(I17:I19)</f>
        <v>0.9842959934693315</v>
      </c>
      <c r="J29" s="13">
        <f>AVERAGE(J17:J18)</f>
        <v>0.99638880268826946</v>
      </c>
      <c r="K29" s="13">
        <f>K17</f>
        <v>1</v>
      </c>
    </row>
    <row r="30" spans="1:17">
      <c r="A30" s="8" t="s">
        <v>30</v>
      </c>
      <c r="B30" s="13">
        <f>B29</f>
        <v>4.1766635809450607E-2</v>
      </c>
      <c r="C30" s="13">
        <f t="shared" ref="C30:K30" si="11">C29-B29</f>
        <v>0.20916132540037863</v>
      </c>
      <c r="D30" s="13">
        <f t="shared" si="11"/>
        <v>0.30111630090442348</v>
      </c>
      <c r="E30" s="13">
        <f t="shared" si="11"/>
        <v>0.20253057710137234</v>
      </c>
      <c r="F30" s="13">
        <f t="shared" si="11"/>
        <v>0.10216259823090146</v>
      </c>
      <c r="G30" s="13">
        <f t="shared" si="11"/>
        <v>6.2678855864353622E-2</v>
      </c>
      <c r="H30" s="13">
        <f t="shared" si="11"/>
        <v>4.3967349865369321E-2</v>
      </c>
      <c r="I30" s="13">
        <f t="shared" si="11"/>
        <v>2.0912350293082027E-2</v>
      </c>
      <c r="J30" s="13">
        <f t="shared" si="11"/>
        <v>1.2092809218937961E-2</v>
      </c>
      <c r="K30" s="13">
        <f t="shared" si="11"/>
        <v>3.6111973117305407E-3</v>
      </c>
    </row>
    <row r="31" spans="1:17">
      <c r="A31" s="8" t="s">
        <v>31</v>
      </c>
      <c r="B31" s="13">
        <f>$K$29</f>
        <v>1</v>
      </c>
      <c r="C31" s="13">
        <f>$K$29-B30</f>
        <v>0.95823336419054939</v>
      </c>
      <c r="D31" s="13">
        <f t="shared" ref="D31:K31" si="12">$K$29-C29</f>
        <v>0.74907203879017081</v>
      </c>
      <c r="E31" s="13">
        <f t="shared" si="12"/>
        <v>0.44795573788574727</v>
      </c>
      <c r="F31" s="13">
        <f t="shared" si="12"/>
        <v>0.24542516078437493</v>
      </c>
      <c r="G31" s="13">
        <f t="shared" si="12"/>
        <v>0.14326256255347347</v>
      </c>
      <c r="H31" s="13">
        <f t="shared" si="12"/>
        <v>8.0583706689119849E-2</v>
      </c>
      <c r="I31" s="13">
        <f t="shared" si="12"/>
        <v>3.6616356823750529E-2</v>
      </c>
      <c r="J31" s="13">
        <f t="shared" si="12"/>
        <v>1.5704006530668502E-2</v>
      </c>
      <c r="K31" s="13">
        <f t="shared" si="12"/>
        <v>3.6111973117305407E-3</v>
      </c>
    </row>
    <row r="34" spans="1:11">
      <c r="A34" s="8" t="s">
        <v>3</v>
      </c>
      <c r="B34" s="8">
        <v>2017</v>
      </c>
      <c r="C34" s="8">
        <v>2018</v>
      </c>
      <c r="D34" s="8">
        <v>2019</v>
      </c>
      <c r="E34" s="8">
        <v>2020</v>
      </c>
      <c r="F34" s="8">
        <v>2021</v>
      </c>
      <c r="G34" s="8">
        <v>2022</v>
      </c>
      <c r="H34" s="8">
        <v>2023</v>
      </c>
      <c r="I34" s="8">
        <v>2024</v>
      </c>
      <c r="J34" s="8">
        <v>2025</v>
      </c>
      <c r="K34" s="8">
        <v>2026</v>
      </c>
    </row>
    <row r="35" spans="1:11">
      <c r="A35" s="8">
        <v>2005</v>
      </c>
      <c r="B35" s="31">
        <v>0</v>
      </c>
      <c r="C35" s="29"/>
      <c r="D35" s="29"/>
      <c r="E35" s="29"/>
      <c r="F35" s="29"/>
      <c r="G35" s="29"/>
      <c r="H35" s="29"/>
      <c r="I35" s="29"/>
      <c r="J35" s="29"/>
      <c r="K35" s="29"/>
    </row>
    <row r="36" spans="1:11">
      <c r="A36" s="8">
        <v>2006</v>
      </c>
      <c r="B36" s="31">
        <f>$L18*(K18-J18)</f>
        <v>86016.247390869874</v>
      </c>
      <c r="C36" s="31">
        <f>$L18*(K18-K18)</f>
        <v>0</v>
      </c>
      <c r="D36" s="29"/>
      <c r="E36" s="29"/>
      <c r="F36" s="29"/>
      <c r="G36" s="29"/>
      <c r="H36" s="29"/>
      <c r="I36" s="29"/>
      <c r="J36" s="29"/>
      <c r="K36" s="29"/>
    </row>
    <row r="37" spans="1:11">
      <c r="A37" s="8">
        <v>2007</v>
      </c>
      <c r="B37" s="31">
        <f>$L19*(J19-I19)</f>
        <v>291063.31227221398</v>
      </c>
      <c r="C37" s="31">
        <f>$L19*(K19-J19)</f>
        <v>86918.352203451635</v>
      </c>
      <c r="D37" s="31">
        <f>$L19*(K19-K19)</f>
        <v>0</v>
      </c>
      <c r="E37" s="29"/>
      <c r="F37" s="29"/>
      <c r="G37" s="29"/>
      <c r="H37" s="29"/>
      <c r="I37" s="29"/>
      <c r="J37" s="29"/>
      <c r="K37" s="29"/>
    </row>
    <row r="38" spans="1:11">
      <c r="A38" s="8">
        <v>2008</v>
      </c>
      <c r="B38" s="31">
        <f>$L20*(I20-H20)</f>
        <v>638583.53563001333</v>
      </c>
      <c r="C38" s="31">
        <f>$L20*(J20-I20)</f>
        <v>369268.33945026231</v>
      </c>
      <c r="D38" s="31">
        <f>$L20*($K$20-J20)</f>
        <v>110272.21306375039</v>
      </c>
      <c r="E38" s="31">
        <f>$L20*($K$20-K20)</f>
        <v>0</v>
      </c>
      <c r="F38" s="29"/>
      <c r="G38" s="29"/>
      <c r="H38" s="29"/>
      <c r="I38" s="29"/>
      <c r="J38" s="29"/>
      <c r="K38" s="29"/>
    </row>
    <row r="39" spans="1:11">
      <c r="A39" s="8">
        <v>2009</v>
      </c>
      <c r="B39" s="32">
        <f>$L21*(H21-G21)</f>
        <v>1653966.4760302268</v>
      </c>
      <c r="C39" s="32">
        <f>$L21*(I21-H21)</f>
        <v>786682.08171905053</v>
      </c>
      <c r="D39" s="32">
        <f>$L21*(J21-I21)</f>
        <v>454908.04222672724</v>
      </c>
      <c r="E39" s="32">
        <f>$L21*($K$21-J21)</f>
        <v>135846.24295578027</v>
      </c>
      <c r="F39" s="32">
        <f>$L21*($K$21-K21)</f>
        <v>0</v>
      </c>
      <c r="G39" s="29"/>
      <c r="H39" s="29"/>
      <c r="I39" s="29"/>
      <c r="J39" s="29"/>
      <c r="K39" s="29"/>
    </row>
    <row r="40" spans="1:11">
      <c r="A40" s="8">
        <v>2010</v>
      </c>
      <c r="B40" s="31">
        <f>$L22*(G22-F22)</f>
        <v>2510605.1074932353</v>
      </c>
      <c r="C40" s="31">
        <f>$L22*(H22-G22)</f>
        <v>1761114.6791483709</v>
      </c>
      <c r="D40" s="31">
        <f>$L22*(I22-H22)</f>
        <v>837645.37069921941</v>
      </c>
      <c r="E40" s="31">
        <f>$L22*(J22-I22)</f>
        <v>484378.15544545185</v>
      </c>
      <c r="F40" s="31">
        <f>$L22*($K$22-J22)</f>
        <v>144646.71203662668</v>
      </c>
      <c r="G40" s="31">
        <f>$L22*($K$22-K22)</f>
        <v>0</v>
      </c>
      <c r="H40" s="29"/>
      <c r="I40" s="29"/>
      <c r="J40" s="29"/>
      <c r="K40" s="29"/>
    </row>
    <row r="41" spans="1:11">
      <c r="A41" s="8">
        <v>2011</v>
      </c>
      <c r="B41" s="31">
        <f>$L23*(F23-E23)</f>
        <v>3659948.4563262174</v>
      </c>
      <c r="C41" s="31">
        <f>$L23*(G23-F23)</f>
        <v>2245453.6761737028</v>
      </c>
      <c r="D41" s="31">
        <f>$L23*(H23-G23)</f>
        <v>1575118.8502940759</v>
      </c>
      <c r="E41" s="31">
        <f>$L23*(I23-H23)</f>
        <v>749179.49913854187</v>
      </c>
      <c r="F41" s="31">
        <f>$L23*(J23-I23)</f>
        <v>433221.73867845157</v>
      </c>
      <c r="G41" s="31">
        <f>$L23*($K$23-J23)</f>
        <v>129370.20255383289</v>
      </c>
      <c r="H41" s="31">
        <f>$L23*($K$23-K23)</f>
        <v>0</v>
      </c>
      <c r="I41" s="29"/>
      <c r="J41" s="29"/>
      <c r="K41" s="29"/>
    </row>
    <row r="42" spans="1:11">
      <c r="A42" s="8">
        <v>2012</v>
      </c>
      <c r="B42" s="33">
        <f t="shared" ref="B42:G42" si="13">$L24*(E24-D24)</f>
        <v>7842656.0323094362</v>
      </c>
      <c r="C42" s="33">
        <f t="shared" si="13"/>
        <v>3956074.8246470853</v>
      </c>
      <c r="D42" s="33">
        <f t="shared" si="13"/>
        <v>2427133.2955160746</v>
      </c>
      <c r="E42" s="33">
        <f t="shared" si="13"/>
        <v>1702561.6900983071</v>
      </c>
      <c r="F42" s="33">
        <f t="shared" si="13"/>
        <v>809795.59986992762</v>
      </c>
      <c r="G42" s="33">
        <f t="shared" si="13"/>
        <v>468273.70230126375</v>
      </c>
      <c r="H42" s="33">
        <f>$L24*($K$24-J24)</f>
        <v>139837.5434763463</v>
      </c>
      <c r="I42" s="33">
        <f>$L24*($K$24-K24)</f>
        <v>0</v>
      </c>
      <c r="J42" s="29"/>
      <c r="K42" s="29"/>
    </row>
    <row r="43" spans="1:11">
      <c r="A43" s="8">
        <v>2013</v>
      </c>
      <c r="B43" s="32">
        <f t="shared" ref="B43:H43" si="14">$L25*(D25-C25)</f>
        <v>15179742.026956599</v>
      </c>
      <c r="C43" s="32">
        <f t="shared" si="14"/>
        <v>10209882.041375436</v>
      </c>
      <c r="D43" s="32">
        <f t="shared" si="14"/>
        <v>5150175.8001501635</v>
      </c>
      <c r="E43" s="32">
        <f t="shared" si="14"/>
        <v>3159738.8109110724</v>
      </c>
      <c r="F43" s="32">
        <f t="shared" si="14"/>
        <v>2216462.6310851648</v>
      </c>
      <c r="G43" s="32">
        <f t="shared" si="14"/>
        <v>1054224.1707701327</v>
      </c>
      <c r="H43" s="32">
        <f t="shared" si="14"/>
        <v>609617.35971559712</v>
      </c>
      <c r="I43" s="32">
        <f>$L25*($K$25-J25)</f>
        <v>182046.08463859762</v>
      </c>
      <c r="J43" s="32">
        <f>$L25*($K$25-K25)</f>
        <v>0</v>
      </c>
      <c r="K43" s="29"/>
    </row>
    <row r="44" spans="1:11">
      <c r="A44" s="8">
        <v>2014</v>
      </c>
      <c r="B44" s="32">
        <f t="shared" ref="B44:I44" si="15">$L26*(C26-B26)</f>
        <v>16955336.374767944</v>
      </c>
      <c r="C44" s="32">
        <f t="shared" si="15"/>
        <v>24409522.936361626</v>
      </c>
      <c r="D44" s="32">
        <f t="shared" si="15"/>
        <v>16417825.113492159</v>
      </c>
      <c r="E44" s="32">
        <f t="shared" si="15"/>
        <v>8281651.5654096641</v>
      </c>
      <c r="F44" s="32">
        <f t="shared" si="15"/>
        <v>5080963.6185437394</v>
      </c>
      <c r="G44" s="32">
        <f t="shared" si="15"/>
        <v>3564144.5905328696</v>
      </c>
      <c r="H44" s="32">
        <f t="shared" si="15"/>
        <v>1695227.0355308277</v>
      </c>
      <c r="I44" s="32">
        <f t="shared" si="15"/>
        <v>980284.70430899831</v>
      </c>
      <c r="J44" s="32">
        <f>$L26*($K$26-J26)</f>
        <v>292736.07354917482</v>
      </c>
      <c r="K44" s="32">
        <f>$L26*($K$26-K26)</f>
        <v>0</v>
      </c>
    </row>
    <row r="46" spans="1:11">
      <c r="A46" s="8" t="s">
        <v>32</v>
      </c>
      <c r="B46" s="10">
        <f t="shared" ref="B46:K46" si="16">SUM(B35:B44)</f>
        <v>48817917.569176756</v>
      </c>
      <c r="C46" s="10">
        <f t="shared" si="16"/>
        <v>43824916.931078985</v>
      </c>
      <c r="D46" s="10">
        <f t="shared" si="16"/>
        <v>26973078.685442172</v>
      </c>
      <c r="E46" s="10">
        <f t="shared" si="16"/>
        <v>14513355.963958818</v>
      </c>
      <c r="F46" s="10">
        <f t="shared" si="16"/>
        <v>8685090.3002139106</v>
      </c>
      <c r="G46" s="10">
        <f t="shared" si="16"/>
        <v>5216012.6661580987</v>
      </c>
      <c r="H46" s="10">
        <f t="shared" si="16"/>
        <v>2444681.9387227711</v>
      </c>
      <c r="I46" s="10">
        <f t="shared" si="16"/>
        <v>1162330.788947596</v>
      </c>
      <c r="J46" s="10">
        <f t="shared" si="16"/>
        <v>292736.07354917482</v>
      </c>
      <c r="K46" s="10">
        <f t="shared" si="16"/>
        <v>0</v>
      </c>
    </row>
    <row r="48" spans="1:11">
      <c r="A48" s="8" t="s">
        <v>33</v>
      </c>
      <c r="B48" s="42" t="s">
        <v>34</v>
      </c>
      <c r="C48" s="42" t="s">
        <v>35</v>
      </c>
      <c r="D48" s="41" t="s">
        <v>36</v>
      </c>
      <c r="E48" s="41" t="s">
        <v>37</v>
      </c>
      <c r="F48" s="41" t="s">
        <v>38</v>
      </c>
      <c r="G48" s="41" t="s">
        <v>39</v>
      </c>
    </row>
    <row r="49" spans="1:7">
      <c r="A49" s="8">
        <v>2017</v>
      </c>
      <c r="B49" s="13">
        <v>5.9999999999999995E-4</v>
      </c>
      <c r="C49" s="13">
        <f>B49</f>
        <v>5.9999999999999995E-4</v>
      </c>
      <c r="D49" s="34">
        <v>0.999</v>
      </c>
      <c r="E49" s="34">
        <f>1/(1+C49)^0.5</f>
        <v>0.9997001349325354</v>
      </c>
      <c r="F49" s="10">
        <f>B$46</f>
        <v>48817917.569176756</v>
      </c>
      <c r="G49" s="10">
        <f>F49*E49</f>
        <v>48803278.781031393</v>
      </c>
    </row>
    <row r="50" spans="1:7">
      <c r="A50" s="8">
        <v>2018</v>
      </c>
      <c r="B50" s="13">
        <v>8.0000000000000004E-4</v>
      </c>
      <c r="C50" s="13">
        <f>((1+B50)^2/(1+B49)^1)-1</f>
        <v>1.0000399760143885E-3</v>
      </c>
      <c r="D50" s="34">
        <f>(1/(1+B50)^2)</f>
        <v>0.99840191795404609</v>
      </c>
      <c r="E50" s="34">
        <f>D49/(1+C50)^0.5</f>
        <v>0.99850085437498137</v>
      </c>
      <c r="F50" s="10">
        <f>C46</f>
        <v>43824916.931078985</v>
      </c>
      <c r="G50" s="10">
        <f t="shared" ref="G50:G57" si="17">F50*E50</f>
        <v>43759216.998594955</v>
      </c>
    </row>
    <row r="51" spans="1:7">
      <c r="A51" s="8">
        <v>2019</v>
      </c>
      <c r="B51" s="13">
        <v>1.1999999999999999E-3</v>
      </c>
      <c r="C51" s="13">
        <f>((1+B51)^3/(1+B50)^2)-1</f>
        <v>2.0004796802048919E-3</v>
      </c>
      <c r="D51" s="34">
        <f t="shared" ref="D51:D57" si="18">(1/(1+B51)^2)</f>
        <v>0.99760431309835296</v>
      </c>
      <c r="E51" s="34">
        <f t="shared" ref="E51:E57" si="19">D50/(1+C51)^0.5</f>
        <v>0.99740477240717063</v>
      </c>
      <c r="F51" s="10">
        <f>D46</f>
        <v>26973078.685442172</v>
      </c>
      <c r="G51" s="10">
        <f t="shared" si="17"/>
        <v>26903077.407374155</v>
      </c>
    </row>
    <row r="52" spans="1:7">
      <c r="A52" s="8">
        <v>2020</v>
      </c>
      <c r="B52" s="13">
        <v>1.8E-3</v>
      </c>
      <c r="C52" s="13">
        <f>((1+B52)^4/(1+B51)^3)-1</f>
        <v>3.6021582731660118E-3</v>
      </c>
      <c r="D52" s="34">
        <f t="shared" si="18"/>
        <v>0.99640969672437474</v>
      </c>
      <c r="E52" s="34">
        <f t="shared" si="19"/>
        <v>0.99581238843007935</v>
      </c>
      <c r="F52" s="10">
        <f>E46</f>
        <v>14513355.963958818</v>
      </c>
      <c r="G52" s="10">
        <f t="shared" si="17"/>
        <v>14452579.666605767</v>
      </c>
    </row>
    <row r="53" spans="1:7">
      <c r="A53" s="8">
        <v>2021</v>
      </c>
      <c r="B53" s="13">
        <v>2.5999999999999999E-3</v>
      </c>
      <c r="C53" s="13">
        <f>((1+B53)^5/(1+B52)^4)-1</f>
        <v>5.8063936043530884E-3</v>
      </c>
      <c r="D53" s="34">
        <f t="shared" si="18"/>
        <v>0.9948202099237774</v>
      </c>
      <c r="E53" s="34">
        <f t="shared" si="19"/>
        <v>0.99352946006846043</v>
      </c>
      <c r="F53" s="10">
        <f>F46</f>
        <v>8685090.3002139106</v>
      </c>
      <c r="G53" s="10">
        <f t="shared" si="17"/>
        <v>8628893.0766173489</v>
      </c>
    </row>
    <row r="54" spans="1:7">
      <c r="A54" s="8">
        <v>2022</v>
      </c>
      <c r="B54" s="13">
        <v>3.3999999999999998E-3</v>
      </c>
      <c r="C54" s="13">
        <f>((1+B54)^6/(1+B53)^5)-1</f>
        <v>7.4095852977855703E-3</v>
      </c>
      <c r="D54" s="34">
        <f t="shared" si="18"/>
        <v>0.99323452344945262</v>
      </c>
      <c r="E54" s="34">
        <f t="shared" si="19"/>
        <v>0.99115496326097552</v>
      </c>
      <c r="F54" s="10">
        <f>G46</f>
        <v>5216012.6661580987</v>
      </c>
      <c r="G54" s="10">
        <f t="shared" si="17"/>
        <v>5169876.8424947131</v>
      </c>
    </row>
    <row r="55" spans="1:7">
      <c r="A55" s="8">
        <v>2023</v>
      </c>
      <c r="B55" s="13">
        <v>4.3E-3</v>
      </c>
      <c r="C55" s="13">
        <f>((1+B55)^7/(1+B54)^6)-1</f>
        <v>9.716977727090903E-3</v>
      </c>
      <c r="D55" s="34">
        <f t="shared" si="18"/>
        <v>0.99145515367262416</v>
      </c>
      <c r="E55" s="34">
        <f t="shared" si="19"/>
        <v>0.98844379003114036</v>
      </c>
      <c r="F55" s="10">
        <f>H46</f>
        <v>2444681.9387227711</v>
      </c>
      <c r="G55" s="10">
        <f t="shared" si="17"/>
        <v>2416430.6809318122</v>
      </c>
    </row>
    <row r="56" spans="1:7">
      <c r="A56" s="8">
        <v>2024</v>
      </c>
      <c r="B56" s="13">
        <v>5.1999999999999998E-3</v>
      </c>
      <c r="C56" s="13">
        <f>((1+B56)^8/(1+B55)^7)-1</f>
        <v>1.1522623414095712E-2</v>
      </c>
      <c r="D56" s="34">
        <f t="shared" si="18"/>
        <v>0.98968056120113312</v>
      </c>
      <c r="E56" s="34">
        <f t="shared" si="19"/>
        <v>0.9857919658488915</v>
      </c>
      <c r="F56" s="10">
        <f>I46</f>
        <v>1162330.788947596</v>
      </c>
      <c r="G56" s="10">
        <f t="shared" si="17"/>
        <v>1145816.3534033436</v>
      </c>
    </row>
    <row r="57" spans="1:7">
      <c r="A57" s="8">
        <v>2025</v>
      </c>
      <c r="B57" s="13">
        <v>6.1999999999999998E-3</v>
      </c>
      <c r="C57" s="13">
        <f>((1+B57)^9/(1+B56)^8)-1</f>
        <v>1.4235897025748789E-2</v>
      </c>
      <c r="D57" s="34">
        <f t="shared" si="18"/>
        <v>0.9877143740215949</v>
      </c>
      <c r="E57" s="34">
        <f t="shared" si="19"/>
        <v>0.98271039815159966</v>
      </c>
      <c r="F57" s="10">
        <f>J46</f>
        <v>292736.07354917482</v>
      </c>
      <c r="G57" s="10">
        <f t="shared" si="17"/>
        <v>287674.78339084552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Triangles</vt:lpstr>
      <vt:lpstr>Triangles Analyse</vt:lpstr>
      <vt:lpstr>Estimation</vt:lpstr>
      <vt:lpstr>Estimation_BF</vt:lpstr>
      <vt:lpstr>Cash_Flow_Bonus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2020-11-17T10:46:28Z</dcterms:modified>
</cp:coreProperties>
</file>