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itk\Desktop\aapt\"/>
    </mc:Choice>
  </mc:AlternateContent>
  <xr:revisionPtr revIDLastSave="0" documentId="13_ncr:1_{1E6884A5-7BD3-4EB5-B07F-AA8DF37F90F6}" xr6:coauthVersionLast="47" xr6:coauthVersionMax="47" xr10:uidLastSave="{00000000-0000-0000-0000-000000000000}"/>
  <bookViews>
    <workbookView xWindow="2865" yWindow="6990" windowWidth="22890" windowHeight="14445" xr2:uid="{1B631313-4316-41CF-B141-85DFBB4DC0A2}"/>
  </bookViews>
  <sheets>
    <sheet name="Sheet2" sheetId="12" r:id="rId1"/>
    <sheet name="Data" sheetId="1" r:id="rId2"/>
    <sheet name="1D" sheetId="2" r:id="rId3"/>
    <sheet name="2D" sheetId="6" r:id="rId4"/>
    <sheet name="Opt model" sheetId="7" r:id="rId5"/>
    <sheet name="Revis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0" l="1"/>
  <c r="D27" i="10"/>
  <c r="C27" i="10"/>
  <c r="B27" i="10"/>
  <c r="C20" i="10"/>
  <c r="B20" i="10"/>
  <c r="B19" i="10"/>
  <c r="B18" i="10"/>
  <c r="B17" i="10"/>
  <c r="B13" i="10"/>
  <c r="B15" i="10"/>
  <c r="B14" i="10"/>
  <c r="A3" i="10"/>
  <c r="B3" i="10"/>
  <c r="C3" i="10"/>
  <c r="D3" i="10"/>
  <c r="E3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3" i="10"/>
  <c r="A14" i="10"/>
  <c r="A15" i="10"/>
  <c r="A17" i="10"/>
  <c r="A18" i="10"/>
  <c r="A19" i="10"/>
  <c r="A20" i="10"/>
  <c r="A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B36" i="7"/>
  <c r="C36" i="7"/>
  <c r="D36" i="7"/>
  <c r="E36" i="7"/>
  <c r="F36" i="7"/>
  <c r="C30" i="2"/>
  <c r="D30" i="2"/>
  <c r="E30" i="2"/>
  <c r="F30" i="2"/>
  <c r="B30" i="2"/>
  <c r="C35" i="7"/>
  <c r="D35" i="7"/>
  <c r="E35" i="7"/>
  <c r="F35" i="7"/>
  <c r="B35" i="7"/>
  <c r="C19" i="1"/>
  <c r="D19" i="1"/>
  <c r="E19" i="1"/>
  <c r="F19" i="1"/>
  <c r="B19" i="1"/>
  <c r="F4" i="1"/>
  <c r="E4" i="1"/>
  <c r="D4" i="1"/>
  <c r="C4" i="1"/>
  <c r="B4" i="1"/>
  <c r="B21" i="7"/>
  <c r="C28" i="7" s="1"/>
  <c r="C5" i="7"/>
  <c r="D5" i="7"/>
  <c r="E5" i="7"/>
  <c r="F5" i="7"/>
  <c r="B5" i="7"/>
  <c r="F8" i="7"/>
  <c r="F14" i="7" s="1"/>
  <c r="E8" i="7"/>
  <c r="E14" i="7" s="1"/>
  <c r="D8" i="7"/>
  <c r="D14" i="7" s="1"/>
  <c r="C8" i="7"/>
  <c r="C14" i="7" s="1"/>
  <c r="B8" i="7"/>
  <c r="B14" i="7" s="1"/>
  <c r="B20" i="7" s="1"/>
  <c r="C4" i="7"/>
  <c r="C7" i="7" s="1"/>
  <c r="C10" i="7" s="1"/>
  <c r="D4" i="7"/>
  <c r="D7" i="7" s="1"/>
  <c r="D10" i="7" s="1"/>
  <c r="E4" i="7"/>
  <c r="E7" i="7" s="1"/>
  <c r="E10" i="7" s="1"/>
  <c r="F4" i="7"/>
  <c r="F7" i="7" s="1"/>
  <c r="F10" i="7" s="1"/>
  <c r="B4" i="7"/>
  <c r="B7" i="7" s="1"/>
  <c r="B10" i="7" s="1"/>
  <c r="C15" i="1"/>
  <c r="B15" i="1"/>
  <c r="F5" i="6"/>
  <c r="E5" i="6"/>
  <c r="D5" i="6"/>
  <c r="F4" i="6"/>
  <c r="E4" i="6"/>
  <c r="D4" i="6"/>
  <c r="F8" i="6"/>
  <c r="F14" i="6" s="1"/>
  <c r="E8" i="6"/>
  <c r="E14" i="6" s="1"/>
  <c r="D8" i="6"/>
  <c r="D14" i="6" s="1"/>
  <c r="F13" i="6"/>
  <c r="E13" i="6"/>
  <c r="D13" i="6"/>
  <c r="F3" i="7" l="1"/>
  <c r="F6" i="7" s="1"/>
  <c r="F9" i="7" s="1"/>
  <c r="F3" i="6"/>
  <c r="F12" i="6" s="1"/>
  <c r="E3" i="7"/>
  <c r="E6" i="7" s="1"/>
  <c r="E9" i="7" s="1"/>
  <c r="E3" i="6"/>
  <c r="E12" i="6" s="1"/>
  <c r="D3" i="7"/>
  <c r="D6" i="7" s="1"/>
  <c r="D9" i="7" s="1"/>
  <c r="D3" i="6"/>
  <c r="D12" i="6" s="1"/>
  <c r="C3" i="7"/>
  <c r="C6" i="7" s="1"/>
  <c r="C9" i="7" s="1"/>
  <c r="C3" i="6"/>
  <c r="B3" i="7"/>
  <c r="B6" i="7" s="1"/>
  <c r="B9" i="7" s="1"/>
  <c r="B3" i="6"/>
  <c r="B15" i="7"/>
  <c r="B24" i="7" s="1"/>
  <c r="B28" i="7"/>
  <c r="B16" i="7"/>
  <c r="B26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6" i="6"/>
  <c r="C6" i="6"/>
  <c r="D6" i="6"/>
  <c r="D9" i="6" s="1"/>
  <c r="E6" i="6"/>
  <c r="E9" i="6" s="1"/>
  <c r="F6" i="6"/>
  <c r="F9" i="6" s="1"/>
  <c r="D7" i="6"/>
  <c r="D10" i="6" s="1"/>
  <c r="E7" i="6"/>
  <c r="E10" i="6" s="1"/>
  <c r="F7" i="6"/>
  <c r="F10" i="6" s="1"/>
  <c r="D11" i="6"/>
  <c r="E11" i="6"/>
  <c r="F11" i="6"/>
  <c r="B19" i="7" l="1"/>
  <c r="B18" i="7"/>
  <c r="B17" i="7"/>
  <c r="F26" i="2"/>
  <c r="E26" i="2"/>
  <c r="D26" i="2"/>
  <c r="C26" i="2"/>
  <c r="B26" i="2"/>
  <c r="F25" i="2"/>
  <c r="E25" i="2"/>
  <c r="D25" i="2"/>
  <c r="F24" i="2"/>
  <c r="E24" i="2"/>
  <c r="D24" i="2"/>
  <c r="F5" i="2"/>
  <c r="E5" i="2"/>
  <c r="D5" i="2"/>
  <c r="F4" i="2"/>
  <c r="E4" i="2"/>
  <c r="D4" i="2"/>
  <c r="F23" i="2"/>
  <c r="E23" i="2"/>
  <c r="D23" i="2"/>
  <c r="C23" i="2"/>
  <c r="B23" i="2"/>
  <c r="F3" i="2"/>
  <c r="E3" i="2"/>
  <c r="D3" i="2"/>
  <c r="C3" i="2"/>
  <c r="B3" i="2"/>
  <c r="C20" i="2"/>
  <c r="C16" i="1"/>
  <c r="D16" i="1"/>
  <c r="D8" i="2" s="1"/>
  <c r="E16" i="1"/>
  <c r="F16" i="1"/>
  <c r="F8" i="2" s="1"/>
  <c r="B16" i="1"/>
  <c r="D15" i="1"/>
  <c r="D7" i="2" s="1"/>
  <c r="D10" i="2" s="1"/>
  <c r="E15" i="1"/>
  <c r="F15" i="1"/>
  <c r="F7" i="2" s="1"/>
  <c r="F10" i="2" s="1"/>
  <c r="B27" i="7" l="1"/>
  <c r="B23" i="7"/>
  <c r="B25" i="7"/>
  <c r="B20" i="2"/>
  <c r="B20" i="1"/>
  <c r="F20" i="1"/>
  <c r="E20" i="1"/>
  <c r="E7" i="2" s="1"/>
  <c r="D20" i="1"/>
  <c r="C20" i="1"/>
  <c r="B21" i="1"/>
  <c r="F21" i="1"/>
  <c r="E21" i="1"/>
  <c r="E8" i="2" s="1"/>
  <c r="E11" i="2" s="1"/>
  <c r="D21" i="1"/>
  <c r="C21" i="1"/>
  <c r="F11" i="2"/>
  <c r="D11" i="2"/>
  <c r="B6" i="2"/>
  <c r="F6" i="2"/>
  <c r="F9" i="2" s="1"/>
  <c r="E6" i="2"/>
  <c r="D6" i="2"/>
  <c r="D9" i="2" s="1"/>
  <c r="C6" i="2"/>
  <c r="B29" i="7" l="1"/>
  <c r="C32" i="7"/>
  <c r="D32" i="7"/>
  <c r="E32" i="7"/>
  <c r="F32" i="7"/>
  <c r="B32" i="7"/>
  <c r="C5" i="6"/>
  <c r="C8" i="6" s="1"/>
  <c r="C25" i="2"/>
  <c r="C5" i="2"/>
  <c r="C8" i="2" s="1"/>
  <c r="C4" i="6"/>
  <c r="C24" i="2"/>
  <c r="C4" i="2"/>
  <c r="C7" i="2" s="1"/>
  <c r="C10" i="2" s="1"/>
  <c r="B5" i="6"/>
  <c r="B8" i="6" s="1"/>
  <c r="B25" i="2"/>
  <c r="B5" i="2"/>
  <c r="B8" i="2" s="1"/>
  <c r="B9" i="2" s="1"/>
  <c r="B4" i="6"/>
  <c r="B24" i="2"/>
  <c r="B4" i="2"/>
  <c r="E10" i="2"/>
  <c r="E9" i="2"/>
  <c r="C11" i="2" l="1"/>
  <c r="C9" i="2"/>
  <c r="B13" i="2"/>
  <c r="B18" i="2" s="1"/>
  <c r="C13" i="6"/>
  <c r="C7" i="6"/>
  <c r="C10" i="6" s="1"/>
  <c r="C11" i="6"/>
  <c r="C14" i="6"/>
  <c r="C12" i="6"/>
  <c r="C9" i="6"/>
  <c r="B7" i="2"/>
  <c r="B10" i="2" s="1"/>
  <c r="B14" i="2" s="1"/>
  <c r="B11" i="2"/>
  <c r="B15" i="2" s="1"/>
  <c r="B13" i="6"/>
  <c r="B19" i="6" s="1"/>
  <c r="B7" i="6"/>
  <c r="B10" i="6" s="1"/>
  <c r="B11" i="6"/>
  <c r="B17" i="6" s="1"/>
  <c r="B14" i="6"/>
  <c r="B20" i="6" s="1"/>
  <c r="B12" i="6"/>
  <c r="B18" i="6" s="1"/>
  <c r="B9" i="6"/>
  <c r="B15" i="6" s="1"/>
  <c r="B23" i="6" s="1"/>
  <c r="B17" i="2"/>
  <c r="B19" i="2" l="1"/>
  <c r="B25" i="6"/>
  <c r="B22" i="6"/>
  <c r="C27" i="6"/>
  <c r="B27" i="6"/>
  <c r="B16" i="6"/>
  <c r="B26" i="6" s="1"/>
  <c r="B24" i="6"/>
  <c r="C27" i="2"/>
  <c r="D27" i="2"/>
  <c r="E27" i="2"/>
  <c r="F27" i="2"/>
  <c r="B27" i="2"/>
  <c r="C31" i="6" l="1"/>
  <c r="D31" i="6"/>
  <c r="E31" i="6"/>
  <c r="F31" i="6"/>
  <c r="B31" i="6"/>
</calcChain>
</file>

<file path=xl/sharedStrings.xml><?xml version="1.0" encoding="utf-8"?>
<sst xmlns="http://schemas.openxmlformats.org/spreadsheetml/2006/main" count="104" uniqueCount="59">
  <si>
    <t>X</t>
  </si>
  <si>
    <t>Y</t>
  </si>
  <si>
    <t>DATA</t>
  </si>
  <si>
    <t>Syy</t>
  </si>
  <si>
    <t>Sxx</t>
  </si>
  <si>
    <t>Sxy</t>
  </si>
  <si>
    <t>X^2</t>
  </si>
  <si>
    <t>Y^2</t>
  </si>
  <si>
    <t>A_best</t>
  </si>
  <si>
    <t>sigma_A</t>
  </si>
  <si>
    <t>min_chi2</t>
  </si>
  <si>
    <t>Y_err</t>
  </si>
  <si>
    <t>(Y_err)^2</t>
  </si>
  <si>
    <t>X^2/(Y_err)^2</t>
  </si>
  <si>
    <t>Y^2/(Y_err)^2</t>
  </si>
  <si>
    <t>Y*X/(Y_err)^2</t>
  </si>
  <si>
    <t>Good fit range</t>
  </si>
  <si>
    <t xml:space="preserve">ONE PARAMETER CHI-SQUARED </t>
  </si>
  <si>
    <t>TWO PARAMETER CHI-SQUARED</t>
  </si>
  <si>
    <t>Sx</t>
  </si>
  <si>
    <t>Sy</t>
  </si>
  <si>
    <t>S0</t>
  </si>
  <si>
    <t>X/(Y_err)^2</t>
  </si>
  <si>
    <t>Y/(Y_err)^2</t>
  </si>
  <si>
    <t>1/(Y_err)^2</t>
  </si>
  <si>
    <t>B_best</t>
  </si>
  <si>
    <t>sigma_B</t>
  </si>
  <si>
    <t>minchi2</t>
  </si>
  <si>
    <t>DATA FOR PLOTTING</t>
  </si>
  <si>
    <t>v_mean</t>
  </si>
  <si>
    <t>N</t>
  </si>
  <si>
    <t>MODEL</t>
  </si>
  <si>
    <t>MEAN and STANDARD ERROR</t>
  </si>
  <si>
    <t>ONE-PARAMETER CHI-SQUARED</t>
  </si>
  <si>
    <t>X=ln(mg)</t>
  </si>
  <si>
    <t>Y=ln(v_mean)</t>
  </si>
  <si>
    <t>Y_err = sigma_y/v_mean</t>
  </si>
  <si>
    <t>sigma_v</t>
  </si>
  <si>
    <t>n_best = 1/A_best</t>
  </si>
  <si>
    <t>v (m/s)</t>
  </si>
  <si>
    <t>m (kg)</t>
  </si>
  <si>
    <t>Y_best_fit = Ax + B</t>
  </si>
  <si>
    <t>Y_best_fit = AX</t>
  </si>
  <si>
    <t>Y_best_fit = AX+B</t>
  </si>
  <si>
    <t>MINCHI2 PT CONTRIBUTIONS</t>
  </si>
  <si>
    <t>Ln(v) model</t>
  </si>
  <si>
    <r>
      <t>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model</t>
    </r>
  </si>
  <si>
    <t>FIND THE OPTIMAL MODEL</t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</si>
  <si>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 v^2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</si>
  <si>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mg </t>
    </r>
  </si>
  <si>
    <r>
      <rPr>
        <b/>
        <sz val="11"/>
        <color theme="1"/>
        <rFont val="Calibri"/>
        <family val="2"/>
        <scheme val="minor"/>
      </rPr>
      <t xml:space="preserve">Y_err </t>
    </r>
    <r>
      <rPr>
        <sz val="11"/>
        <color theme="1"/>
        <rFont val="Calibri"/>
        <family val="2"/>
        <scheme val="minor"/>
      </rPr>
      <t>= 2*v_mean*sigma_y</t>
    </r>
  </si>
  <si>
    <t>Dr. Carey Witkov</t>
  </si>
  <si>
    <t>Assistant Professor of the Practice</t>
  </si>
  <si>
    <t xml:space="preserve">Embry-Riddle Aeronautical University </t>
  </si>
  <si>
    <t>Worldwide Campus</t>
  </si>
  <si>
    <t>Model Testing using Excel</t>
  </si>
  <si>
    <t>1D and 2D Chi-Squared Curve-fitting and</t>
  </si>
  <si>
    <t>Start with Data Sheet tab</t>
  </si>
  <si>
    <t>Example is the Falling Coffee Filter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</si>
</sst>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5" xfId="0" applyBorder="1"/>
    <xf numFmtId="11" fontId="0" fillId="0" borderId="0" xfId="0" applyNumberFormat="1"/>
    <xf numFmtId="164" fontId="0" fillId="3" borderId="5" xfId="0" applyNumberFormat="1" applyFill="1" applyBorder="1" applyAlignment="1">
      <alignment horizontal="center"/>
    </xf>
    <xf numFmtId="164" fontId="0" fillId="8" borderId="5" xfId="0" applyNumberFormat="1" applyFill="1" applyBorder="1"/>
    <xf numFmtId="2" fontId="0" fillId="8" borderId="5" xfId="0" applyNumberFormat="1" applyFill="1" applyBorder="1"/>
    <xf numFmtId="11" fontId="0" fillId="0" borderId="5" xfId="0" applyNumberFormat="1" applyBorder="1"/>
    <xf numFmtId="164" fontId="0" fillId="8" borderId="6" xfId="0" applyNumberFormat="1" applyFill="1" applyBorder="1"/>
    <xf numFmtId="2" fontId="0" fillId="3" borderId="0" xfId="0" applyNumberFormat="1" applyFill="1" applyBorder="1"/>
    <xf numFmtId="2" fontId="0" fillId="8" borderId="12" xfId="0" applyNumberFormat="1" applyFill="1" applyBorder="1"/>
    <xf numFmtId="2" fontId="0" fillId="0" borderId="12" xfId="0" applyNumberFormat="1" applyBorder="1"/>
    <xf numFmtId="2" fontId="0" fillId="0" borderId="5" xfId="0" applyNumberFormat="1" applyBorder="1"/>
    <xf numFmtId="0" fontId="0" fillId="3" borderId="9" xfId="0" applyFont="1" applyFill="1" applyBorder="1"/>
    <xf numFmtId="0" fontId="0" fillId="3" borderId="4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1" fontId="0" fillId="3" borderId="5" xfId="0" applyNumberFormat="1" applyFill="1" applyBorder="1"/>
    <xf numFmtId="11" fontId="0" fillId="0" borderId="13" xfId="0" applyNumberFormat="1" applyBorder="1"/>
    <xf numFmtId="11" fontId="0" fillId="0" borderId="12" xfId="0" applyNumberFormat="1" applyBorder="1"/>
    <xf numFmtId="11" fontId="0" fillId="2" borderId="12" xfId="0" applyNumberFormat="1" applyFill="1" applyBorder="1"/>
    <xf numFmtId="11" fontId="0" fillId="2" borderId="5" xfId="0" applyNumberFormat="1" applyFill="1" applyBorder="1"/>
    <xf numFmtId="11" fontId="0" fillId="2" borderId="5" xfId="0" applyNumberFormat="1" applyFill="1" applyBorder="1" applyAlignment="1">
      <alignment horizontal="center"/>
    </xf>
    <xf numFmtId="1" fontId="0" fillId="0" borderId="5" xfId="0" applyNumberFormat="1" applyBorder="1"/>
    <xf numFmtId="2" fontId="0" fillId="8" borderId="13" xfId="0" applyNumberFormat="1" applyFill="1" applyBorder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1" fontId="0" fillId="9" borderId="2" xfId="0" applyNumberFormat="1" applyFont="1" applyFill="1" applyBorder="1" applyAlignment="1">
      <alignment horizontal="center"/>
    </xf>
    <xf numFmtId="11" fontId="0" fillId="9" borderId="3" xfId="0" applyNumberFormat="1" applyFont="1" applyFill="1" applyBorder="1" applyAlignment="1">
      <alignment horizontal="center"/>
    </xf>
    <xf numFmtId="11" fontId="0" fillId="9" borderId="8" xfId="0" applyNumberFormat="1" applyFont="1" applyFill="1" applyBorder="1" applyAlignment="1">
      <alignment horizontal="center"/>
    </xf>
    <xf numFmtId="11" fontId="0" fillId="9" borderId="5" xfId="0" applyNumberFormat="1" applyFont="1" applyFill="1" applyBorder="1" applyAlignment="1">
      <alignment horizontal="center"/>
    </xf>
    <xf numFmtId="11" fontId="0" fillId="5" borderId="15" xfId="0" applyNumberFormat="1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65" fontId="0" fillId="0" borderId="0" xfId="0" applyNumberFormat="1"/>
    <xf numFmtId="0" fontId="1" fillId="6" borderId="0" xfId="0" applyFont="1" applyFill="1" applyAlignment="1">
      <alignment horizontal="center"/>
    </xf>
    <xf numFmtId="0" fontId="0" fillId="6" borderId="0" xfId="0" applyFill="1" applyAlignment="1"/>
    <xf numFmtId="0" fontId="1" fillId="7" borderId="6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7" borderId="11" xfId="0" applyFill="1" applyBorder="1" applyAlignment="1"/>
    <xf numFmtId="0" fontId="1" fillId="7" borderId="0" xfId="0" applyFont="1" applyFill="1" applyAlignment="1">
      <alignment horizontal="center"/>
    </xf>
    <xf numFmtId="0" fontId="0" fillId="7" borderId="0" xfId="0" applyFill="1" applyAlignment="1"/>
    <xf numFmtId="0" fontId="0" fillId="0" borderId="0" xfId="0" applyAlignment="1"/>
    <xf numFmtId="0" fontId="0" fillId="6" borderId="0" xfId="0" applyFill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0" xfId="0" applyFont="1" applyFill="1" applyAlignment="1"/>
    <xf numFmtId="0" fontId="3" fillId="10" borderId="0" xfId="0" applyFont="1" applyFill="1" applyAlignment="1"/>
    <xf numFmtId="0" fontId="3" fillId="10" borderId="0" xfId="0" applyFont="1" applyFill="1" applyBorder="1" applyAlignment="1"/>
    <xf numFmtId="0" fontId="0" fillId="10" borderId="0" xfId="0" applyFill="1" applyBorder="1" applyAlignment="1"/>
    <xf numFmtId="0" fontId="0" fillId="11" borderId="0" xfId="0" applyFill="1" applyBorder="1" applyAlignment="1"/>
    <xf numFmtId="0" fontId="0" fillId="11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One parameter</a:t>
            </a:r>
            <a:r>
              <a:rPr lang="en-US" sz="1800" b="1" baseline="0"/>
              <a:t> model data and line of best fit</a:t>
            </a:r>
            <a:r>
              <a:rPr lang="en-US" sz="18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'1D'!$B$25:$F$25</c:f>
                <c:numCache>
                  <c:formatCode>General</c:formatCode>
                  <c:ptCount val="5"/>
                  <c:pt idx="0">
                    <c:v>6.5963790415093579E-2</c:v>
                  </c:pt>
                  <c:pt idx="1">
                    <c:v>8.7618126745554137E-2</c:v>
                  </c:pt>
                  <c:pt idx="2">
                    <c:v>0.10800620512799447</c:v>
                  </c:pt>
                  <c:pt idx="3">
                    <c:v>0.11214816987539303</c:v>
                  </c:pt>
                  <c:pt idx="4">
                    <c:v>0.20254080842376052</c:v>
                  </c:pt>
                </c:numCache>
              </c:numRef>
            </c:plus>
            <c:minus>
              <c:numRef>
                <c:f>'1D'!$B$25:$F$25</c:f>
                <c:numCache>
                  <c:formatCode>General</c:formatCode>
                  <c:ptCount val="5"/>
                  <c:pt idx="0">
                    <c:v>6.5963790415093579E-2</c:v>
                  </c:pt>
                  <c:pt idx="1">
                    <c:v>8.7618126745554137E-2</c:v>
                  </c:pt>
                  <c:pt idx="2">
                    <c:v>0.10800620512799447</c:v>
                  </c:pt>
                  <c:pt idx="3">
                    <c:v>0.11214816987539303</c:v>
                  </c:pt>
                  <c:pt idx="4">
                    <c:v>0.20254080842376052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'1D'!$B$23:$F$23</c:f>
              <c:numCache>
                <c:formatCode>0.00E+00</c:formatCode>
                <c:ptCount val="5"/>
                <c:pt idx="0">
                  <c:v>8.7309000000000015E-3</c:v>
                </c:pt>
                <c:pt idx="1">
                  <c:v>1.7658000000000004E-2</c:v>
                </c:pt>
                <c:pt idx="2">
                  <c:v>2.6192700000000003E-2</c:v>
                </c:pt>
                <c:pt idx="3">
                  <c:v>3.5021700000000003E-2</c:v>
                </c:pt>
                <c:pt idx="4">
                  <c:v>4.375260000000001E-2</c:v>
                </c:pt>
              </c:numCache>
            </c:numRef>
          </c:xVal>
          <c:yVal>
            <c:numRef>
              <c:f>'1D'!$B$24:$F$24</c:f>
              <c:numCache>
                <c:formatCode>0.00E+00</c:formatCode>
                <c:ptCount val="5"/>
                <c:pt idx="0">
                  <c:v>1.13806224</c:v>
                </c:pt>
                <c:pt idx="1">
                  <c:v>2.3531560000000002</c:v>
                </c:pt>
                <c:pt idx="2">
                  <c:v>3.9354624400000002</c:v>
                </c:pt>
                <c:pt idx="3">
                  <c:v>4.8048639999999985</c:v>
                </c:pt>
                <c:pt idx="4">
                  <c:v>5.5065315599999982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8-4E87-A4EA-7187F2FF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55055"/>
        <c:axId val="350457967"/>
      </c:scatterChart>
      <c:scatterChart>
        <c:scatterStyle val="smoothMarker"/>
        <c:varyColors val="0"/>
        <c:ser>
          <c:idx val="1"/>
          <c:order val="1"/>
          <c:tx>
            <c:v>Best-fit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'1D'!$B$26:$F$26</c:f>
              <c:numCache>
                <c:formatCode>0.00E+00</c:formatCode>
                <c:ptCount val="5"/>
                <c:pt idx="0">
                  <c:v>8.7309000000000015E-3</c:v>
                </c:pt>
                <c:pt idx="1">
                  <c:v>1.7658000000000004E-2</c:v>
                </c:pt>
                <c:pt idx="2">
                  <c:v>2.6192700000000003E-2</c:v>
                </c:pt>
                <c:pt idx="3">
                  <c:v>3.5021700000000003E-2</c:v>
                </c:pt>
                <c:pt idx="4">
                  <c:v>4.375260000000001E-2</c:v>
                </c:pt>
              </c:numCache>
            </c:numRef>
          </c:xVal>
          <c:yVal>
            <c:numRef>
              <c:f>'1D'!$B$27:$F$27</c:f>
              <c:numCache>
                <c:formatCode>0.00E+00</c:formatCode>
                <c:ptCount val="5"/>
                <c:pt idx="0">
                  <c:v>1.1964721826984284</c:v>
                </c:pt>
                <c:pt idx="1">
                  <c:v>2.4198313807383944</c:v>
                </c:pt>
                <c:pt idx="2">
                  <c:v>3.5894165480952851</c:v>
                </c:pt>
                <c:pt idx="3">
                  <c:v>4.7993322384644816</c:v>
                </c:pt>
                <c:pt idx="4">
                  <c:v>5.9958044211629113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58-4E87-A4EA-7187F2FF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55055"/>
        <c:axId val="350457967"/>
      </c:scatterChart>
      <c:valAx>
        <c:axId val="35045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X 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57967"/>
        <c:crosses val="autoZero"/>
        <c:crossBetween val="midCat"/>
      </c:valAx>
      <c:valAx>
        <c:axId val="3504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   [m</a:t>
                </a:r>
                <a:r>
                  <a:rPr lang="en-US" sz="1400" b="1" baseline="30000"/>
                  <a:t>2</a:t>
                </a:r>
                <a:r>
                  <a:rPr lang="en-US" sz="1400" b="1"/>
                  <a:t>/s</a:t>
                </a:r>
                <a:r>
                  <a:rPr lang="en-US" sz="1400" b="1" baseline="30000"/>
                  <a:t>2</a:t>
                </a:r>
                <a:r>
                  <a:rPr lang="en-US" sz="1400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5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Two</a:t>
            </a:r>
            <a:r>
              <a:rPr lang="en-US" sz="1800" b="1" baseline="0"/>
              <a:t> parameter model data and line of best fit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'2D'!$B$5:$F$5</c:f>
                <c:numCache>
                  <c:formatCode>General</c:formatCode>
                  <c:ptCount val="5"/>
                  <c:pt idx="0">
                    <c:v>6.5963790415093579E-2</c:v>
                  </c:pt>
                  <c:pt idx="1">
                    <c:v>8.7618126745554137E-2</c:v>
                  </c:pt>
                  <c:pt idx="2">
                    <c:v>0.10800620512799447</c:v>
                  </c:pt>
                  <c:pt idx="3">
                    <c:v>0.11214816987539303</c:v>
                  </c:pt>
                  <c:pt idx="4">
                    <c:v>0.20254080842376052</c:v>
                  </c:pt>
                </c:numCache>
              </c:numRef>
            </c:plus>
            <c:minus>
              <c:numRef>
                <c:f>'2D'!$B$5:$F$5</c:f>
                <c:numCache>
                  <c:formatCode>General</c:formatCode>
                  <c:ptCount val="5"/>
                  <c:pt idx="0">
                    <c:v>6.5963790415093579E-2</c:v>
                  </c:pt>
                  <c:pt idx="1">
                    <c:v>8.7618126745554137E-2</c:v>
                  </c:pt>
                  <c:pt idx="2">
                    <c:v>0.10800620512799447</c:v>
                  </c:pt>
                  <c:pt idx="3">
                    <c:v>0.11214816987539303</c:v>
                  </c:pt>
                  <c:pt idx="4">
                    <c:v>0.20254080842376052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'2D'!$B$3:$F$3</c:f>
              <c:numCache>
                <c:formatCode>0.00E+00</c:formatCode>
                <c:ptCount val="5"/>
                <c:pt idx="0">
                  <c:v>8.7309000000000015E-3</c:v>
                </c:pt>
                <c:pt idx="1">
                  <c:v>1.7658000000000004E-2</c:v>
                </c:pt>
                <c:pt idx="2">
                  <c:v>2.6192700000000003E-2</c:v>
                </c:pt>
                <c:pt idx="3">
                  <c:v>3.5021700000000003E-2</c:v>
                </c:pt>
                <c:pt idx="4">
                  <c:v>4.375260000000001E-2</c:v>
                </c:pt>
              </c:numCache>
            </c:numRef>
          </c:xVal>
          <c:yVal>
            <c:numRef>
              <c:f>'2D'!$B$4:$F$4</c:f>
              <c:numCache>
                <c:formatCode>0.00E+00</c:formatCode>
                <c:ptCount val="5"/>
                <c:pt idx="0">
                  <c:v>1.13806224</c:v>
                </c:pt>
                <c:pt idx="1">
                  <c:v>2.3531560000000002</c:v>
                </c:pt>
                <c:pt idx="2">
                  <c:v>3.9354624400000002</c:v>
                </c:pt>
                <c:pt idx="3">
                  <c:v>4.8048639999999985</c:v>
                </c:pt>
                <c:pt idx="4">
                  <c:v>5.5065315599999982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95A-9E4A-0035CF1AF8C6}"/>
            </c:ext>
          </c:extLst>
        </c:ser>
        <c:ser>
          <c:idx val="1"/>
          <c:order val="1"/>
          <c:tx>
            <c:v>Best_fit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'2D'!$B$3:$F$3</c:f>
              <c:numCache>
                <c:formatCode>0.00E+00</c:formatCode>
                <c:ptCount val="5"/>
                <c:pt idx="0">
                  <c:v>8.7309000000000015E-3</c:v>
                </c:pt>
                <c:pt idx="1">
                  <c:v>1.7658000000000004E-2</c:v>
                </c:pt>
                <c:pt idx="2">
                  <c:v>2.6192700000000003E-2</c:v>
                </c:pt>
                <c:pt idx="3">
                  <c:v>3.5021700000000003E-2</c:v>
                </c:pt>
                <c:pt idx="4">
                  <c:v>4.375260000000001E-2</c:v>
                </c:pt>
              </c:numCache>
            </c:numRef>
          </c:xVal>
          <c:yVal>
            <c:numRef>
              <c:f>'2D'!$B$31:$F$31</c:f>
              <c:numCache>
                <c:formatCode>0.00E+00</c:formatCode>
                <c:ptCount val="5"/>
                <c:pt idx="0">
                  <c:v>1.1775134238314324</c:v>
                </c:pt>
                <c:pt idx="1">
                  <c:v>2.4112113111945073</c:v>
                </c:pt>
                <c:pt idx="2">
                  <c:v>3.590680719992172</c:v>
                </c:pt>
                <c:pt idx="3">
                  <c:v>4.810821487713894</c:v>
                </c:pt>
                <c:pt idx="4">
                  <c:v>6.0174051357942648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5-495A-9E4A-0035CF1A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17983"/>
        <c:axId val="720117567"/>
      </c:scatterChart>
      <c:valAx>
        <c:axId val="72011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X  [N]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200" b="1" i="0" baseline="0"/>
              </a:p>
            </c:rich>
          </c:tx>
          <c:layout>
            <c:manualLayout>
              <c:xMode val="edge"/>
              <c:yMode val="edge"/>
              <c:x val="0.49303977155067519"/>
              <c:y val="0.9174054147798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17567"/>
        <c:crosses val="autoZero"/>
        <c:crossBetween val="midCat"/>
      </c:valAx>
      <c:valAx>
        <c:axId val="7201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Y   [m</a:t>
                </a:r>
                <a:r>
                  <a:rPr lang="en-US" sz="1800" b="1" i="0" baseline="30000">
                    <a:effectLst/>
                  </a:rPr>
                  <a:t>2</a:t>
                </a:r>
                <a:r>
                  <a:rPr lang="en-US" sz="1800" b="1" i="0" baseline="0">
                    <a:effectLst/>
                  </a:rPr>
                  <a:t>/s</a:t>
                </a:r>
                <a:r>
                  <a:rPr lang="en-US" sz="1800" b="1" i="0" baseline="30000">
                    <a:effectLst/>
                  </a:rPr>
                  <a:t>2</a:t>
                </a:r>
                <a:r>
                  <a:rPr lang="en-US" sz="1800" b="1" i="0" baseline="0">
                    <a:effectLst/>
                  </a:rPr>
                  <a:t>]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1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Data and line of best fit for v</a:t>
            </a:r>
            <a:r>
              <a:rPr lang="en-US" sz="1800" b="1" i="0" baseline="30000"/>
              <a:t>n</a:t>
            </a:r>
            <a:r>
              <a:rPr lang="en-US" sz="1800" b="1" i="0" baseline="0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8035119901369"/>
          <c:y val="0.11077549625204626"/>
          <c:w val="0.79488269065011896"/>
          <c:h val="0.78795631701816171"/>
        </c:manualLayout>
      </c:layout>
      <c:scatterChart>
        <c:scatterStyle val="smoothMarker"/>
        <c:varyColors val="0"/>
        <c:ser>
          <c:idx val="1"/>
          <c:order val="1"/>
          <c:tx>
            <c:v>Best_fit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'Opt model'!$B$3:$F$3</c:f>
              <c:numCache>
                <c:formatCode>0.00E+00</c:formatCode>
                <c:ptCount val="5"/>
                <c:pt idx="0">
                  <c:v>-4.7408868216608164</c:v>
                </c:pt>
                <c:pt idx="1">
                  <c:v>-4.0365663405027465</c:v>
                </c:pt>
                <c:pt idx="2">
                  <c:v>-3.6422745329927069</c:v>
                </c:pt>
                <c:pt idx="3">
                  <c:v>-3.3517874096133173</c:v>
                </c:pt>
                <c:pt idx="4">
                  <c:v>-3.1292042393728923</c:v>
                </c:pt>
              </c:numCache>
            </c:numRef>
          </c:xVal>
          <c:yVal>
            <c:numRef>
              <c:f>'Opt model'!$B$32:$F$32</c:f>
              <c:numCache>
                <c:formatCode>0.00E+00</c:formatCode>
                <c:ptCount val="5"/>
                <c:pt idx="0">
                  <c:v>9.8844179634714369E-2</c:v>
                </c:pt>
                <c:pt idx="1">
                  <c:v>0.44706964187367326</c:v>
                </c:pt>
                <c:pt idx="2">
                  <c:v>0.64201278295834019</c:v>
                </c:pt>
                <c:pt idx="3">
                  <c:v>0.78563350040067625</c:v>
                </c:pt>
                <c:pt idx="4">
                  <c:v>0.89568159557482407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E-4920-98B1-D0B9E4A13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5935"/>
        <c:axId val="680430911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'Opt model'!$B$5:$F$5</c:f>
                <c:numCache>
                  <c:formatCode>General</c:formatCode>
                  <c:ptCount val="5"/>
                  <c:pt idx="0">
                    <c:v>2.8980748194885012E-2</c:v>
                  </c:pt>
                  <c:pt idx="1">
                    <c:v>1.8617152187435541E-2</c:v>
                  </c:pt>
                  <c:pt idx="2">
                    <c:v>1.3722174556949204E-2</c:v>
                  </c:pt>
                  <c:pt idx="3">
                    <c:v>1.1670275149868244E-2</c:v>
                  </c:pt>
                  <c:pt idx="4">
                    <c:v>1.839096046366441E-2</c:v>
                  </c:pt>
                </c:numCache>
              </c:numRef>
            </c:plus>
            <c:minus>
              <c:numRef>
                <c:f>'Opt model'!$B$5:$F$5</c:f>
                <c:numCache>
                  <c:formatCode>General</c:formatCode>
                  <c:ptCount val="5"/>
                  <c:pt idx="0">
                    <c:v>2.8980748194885012E-2</c:v>
                  </c:pt>
                  <c:pt idx="1">
                    <c:v>1.8617152187435541E-2</c:v>
                  </c:pt>
                  <c:pt idx="2">
                    <c:v>1.3722174556949204E-2</c:v>
                  </c:pt>
                  <c:pt idx="3">
                    <c:v>1.1670275149868244E-2</c:v>
                  </c:pt>
                  <c:pt idx="4">
                    <c:v>1.839096046366441E-2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'Opt model'!$B$3:$F$3</c:f>
              <c:numCache>
                <c:formatCode>0.00E+00</c:formatCode>
                <c:ptCount val="5"/>
                <c:pt idx="0">
                  <c:v>-4.7408868216608164</c:v>
                </c:pt>
                <c:pt idx="1">
                  <c:v>-4.0365663405027465</c:v>
                </c:pt>
                <c:pt idx="2">
                  <c:v>-3.6422745329927069</c:v>
                </c:pt>
                <c:pt idx="3">
                  <c:v>-3.3517874096133173</c:v>
                </c:pt>
                <c:pt idx="4">
                  <c:v>-3.1292042393728923</c:v>
                </c:pt>
              </c:numCache>
            </c:numRef>
          </c:xVal>
          <c:yVal>
            <c:numRef>
              <c:f>'Opt model'!$B$4:$F$4</c:f>
              <c:numCache>
                <c:formatCode>0.00E+00</c:formatCode>
                <c:ptCount val="5"/>
                <c:pt idx="0">
                  <c:v>6.4663513325722122E-2</c:v>
                </c:pt>
                <c:pt idx="1">
                  <c:v>0.42787870294506447</c:v>
                </c:pt>
                <c:pt idx="2">
                  <c:v>0.68501419732975632</c:v>
                </c:pt>
                <c:pt idx="3">
                  <c:v>0.78481436908576896</c:v>
                </c:pt>
                <c:pt idx="4">
                  <c:v>0.85296747200738621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E-4920-98B1-D0B9E4A13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5935"/>
        <c:axId val="680430911"/>
      </c:scatterChart>
      <c:valAx>
        <c:axId val="680415935"/>
        <c:scaling>
          <c:orientation val="minMax"/>
          <c:max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ln(m) [ln(kg)]</a:t>
                </a:r>
              </a:p>
            </c:rich>
          </c:tx>
          <c:layout>
            <c:manualLayout>
              <c:xMode val="edge"/>
              <c:yMode val="edge"/>
              <c:x val="0.44707354592854931"/>
              <c:y val="0.95929078014184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0911"/>
        <c:crosses val="autoZero"/>
        <c:crossBetween val="midCat"/>
      </c:valAx>
      <c:valAx>
        <c:axId val="6804309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ln(v)</a:t>
                </a:r>
                <a:r>
                  <a:rPr lang="en-US" sz="1400" b="1" baseline="0"/>
                  <a:t> [ln(m/s)]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988340217441311E-2"/>
              <c:y val="0.4362374973398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5935"/>
        <c:crossesAt val="-5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Revised one</a:t>
            </a:r>
            <a:r>
              <a:rPr lang="en-US" sz="1800" b="1" baseline="0"/>
              <a:t> parameter data and line of best fit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Best_fit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Revise!$B$26:$E$26</c:f>
              <c:numCache>
                <c:formatCode>General</c:formatCode>
                <c:ptCount val="4"/>
                <c:pt idx="0">
                  <c:v>8.7309000000000015E-3</c:v>
                </c:pt>
                <c:pt idx="1">
                  <c:v>1.7658000000000004E-2</c:v>
                </c:pt>
                <c:pt idx="2">
                  <c:v>3.5021700000000003E-2</c:v>
                </c:pt>
                <c:pt idx="3">
                  <c:v>4.375260000000001E-2</c:v>
                </c:pt>
              </c:numCache>
            </c:numRef>
          </c:xVal>
          <c:yVal>
            <c:numRef>
              <c:f>Revise!$B$27:$E$27</c:f>
              <c:numCache>
                <c:formatCode>0.00E+00</c:formatCode>
                <c:ptCount val="4"/>
                <c:pt idx="0">
                  <c:v>1.1629415990057685</c:v>
                </c:pt>
                <c:pt idx="1">
                  <c:v>2.3520167170903186</c:v>
                </c:pt>
                <c:pt idx="2">
                  <c:v>4.6648331555624649</c:v>
                </c:pt>
                <c:pt idx="3">
                  <c:v>5.8277747545682343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C2-41F5-9926-B1CAA44C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15903"/>
        <c:axId val="720122559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Revise!$B$25:$E$25</c:f>
                <c:numCache>
                  <c:formatCode>General</c:formatCode>
                  <c:ptCount val="4"/>
                  <c:pt idx="0">
                    <c:v>6.5963790415093579E-2</c:v>
                  </c:pt>
                  <c:pt idx="1">
                    <c:v>8.7618126745554137E-2</c:v>
                  </c:pt>
                  <c:pt idx="2">
                    <c:v>0.11214816987539303</c:v>
                  </c:pt>
                  <c:pt idx="3">
                    <c:v>0.20254080842376052</c:v>
                  </c:pt>
                </c:numCache>
              </c:numRef>
            </c:plus>
            <c:minus>
              <c:numRef>
                <c:f>Revise!$B$25:$E$25</c:f>
                <c:numCache>
                  <c:formatCode>General</c:formatCode>
                  <c:ptCount val="4"/>
                  <c:pt idx="0">
                    <c:v>6.5963790415093579E-2</c:v>
                  </c:pt>
                  <c:pt idx="1">
                    <c:v>8.7618126745554137E-2</c:v>
                  </c:pt>
                  <c:pt idx="2">
                    <c:v>0.11214816987539303</c:v>
                  </c:pt>
                  <c:pt idx="3">
                    <c:v>0.20254080842376052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Revise!$B$23:$E$23</c:f>
              <c:numCache>
                <c:formatCode>General</c:formatCode>
                <c:ptCount val="4"/>
                <c:pt idx="0">
                  <c:v>8.7309000000000015E-3</c:v>
                </c:pt>
                <c:pt idx="1">
                  <c:v>1.7658000000000004E-2</c:v>
                </c:pt>
                <c:pt idx="2">
                  <c:v>3.5021700000000003E-2</c:v>
                </c:pt>
                <c:pt idx="3">
                  <c:v>4.375260000000001E-2</c:v>
                </c:pt>
              </c:numCache>
            </c:numRef>
          </c:xVal>
          <c:yVal>
            <c:numRef>
              <c:f>Revise!$B$24:$E$24</c:f>
              <c:numCache>
                <c:formatCode>General</c:formatCode>
                <c:ptCount val="4"/>
                <c:pt idx="0">
                  <c:v>1.13806224</c:v>
                </c:pt>
                <c:pt idx="1">
                  <c:v>2.3531560000000002</c:v>
                </c:pt>
                <c:pt idx="2">
                  <c:v>4.8048639999999985</c:v>
                </c:pt>
                <c:pt idx="3">
                  <c:v>5.5065315599999982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1F5-9926-B1CAA44C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15903"/>
        <c:axId val="720122559"/>
      </c:scatterChart>
      <c:valAx>
        <c:axId val="7201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X  [N]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22559"/>
        <c:crosses val="autoZero"/>
        <c:crossBetween val="midCat"/>
      </c:valAx>
      <c:valAx>
        <c:axId val="7201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Y   [m</a:t>
                </a:r>
                <a:r>
                  <a:rPr lang="en-US" sz="1800" b="1" i="0" baseline="30000">
                    <a:effectLst/>
                  </a:rPr>
                  <a:t>2</a:t>
                </a:r>
                <a:r>
                  <a:rPr lang="en-US" sz="1800" b="1" i="0" baseline="0">
                    <a:effectLst/>
                  </a:rPr>
                  <a:t>/s</a:t>
                </a:r>
                <a:r>
                  <a:rPr lang="en-US" sz="1800" b="1" i="0" baseline="30000">
                    <a:effectLst/>
                  </a:rPr>
                  <a:t>2</a:t>
                </a:r>
                <a:r>
                  <a:rPr lang="en-US" sz="1800" b="1" i="0" baseline="0">
                    <a:effectLst/>
                  </a:rPr>
                  <a:t>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0</xdr:row>
      <xdr:rowOff>0</xdr:rowOff>
    </xdr:from>
    <xdr:to>
      <xdr:col>19</xdr:col>
      <xdr:colOff>581026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05EA3-7E45-4C02-A715-6A505A303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</xdr:rowOff>
    </xdr:from>
    <xdr:to>
      <xdr:col>20</xdr:col>
      <xdr:colOff>57150</xdr:colOff>
      <xdr:row>31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21FCE-C42C-4596-8364-698DFB69D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18</xdr:col>
      <xdr:colOff>581025</xdr:colOff>
      <xdr:row>35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D5FD-A865-4328-BEC4-B0868E863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2</xdr:row>
      <xdr:rowOff>4761</xdr:rowOff>
    </xdr:from>
    <xdr:to>
      <xdr:col>16</xdr:col>
      <xdr:colOff>180975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CEC2F-6077-4ECF-AE60-53AE65E78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E926-8299-471C-8474-34FC04A3272F}">
  <dimension ref="A1:E10"/>
  <sheetViews>
    <sheetView tabSelected="1" workbookViewId="0">
      <selection activeCell="G10" sqref="G10"/>
    </sheetView>
  </sheetViews>
  <sheetFormatPr defaultRowHeight="15" x14ac:dyDescent="0.25"/>
  <sheetData>
    <row r="1" spans="1:5" x14ac:dyDescent="0.25">
      <c r="A1" s="63" t="s">
        <v>51</v>
      </c>
      <c r="B1" s="63"/>
      <c r="C1" s="63"/>
      <c r="D1" s="63"/>
      <c r="E1" s="63"/>
    </row>
    <row r="2" spans="1:5" x14ac:dyDescent="0.25">
      <c r="A2" s="63" t="s">
        <v>52</v>
      </c>
      <c r="B2" s="63"/>
      <c r="C2" s="63"/>
      <c r="D2" s="63"/>
      <c r="E2" s="63"/>
    </row>
    <row r="3" spans="1:5" x14ac:dyDescent="0.25">
      <c r="A3" s="63" t="s">
        <v>53</v>
      </c>
      <c r="B3" s="63"/>
      <c r="C3" s="63"/>
      <c r="D3" s="63"/>
      <c r="E3" s="63"/>
    </row>
    <row r="4" spans="1:5" x14ac:dyDescent="0.25">
      <c r="A4" s="64" t="s">
        <v>54</v>
      </c>
      <c r="B4" s="64"/>
      <c r="C4" s="64"/>
      <c r="D4" s="64"/>
      <c r="E4" s="64"/>
    </row>
    <row r="5" spans="1:5" x14ac:dyDescent="0.25">
      <c r="A5" s="59"/>
      <c r="B5" s="59"/>
      <c r="C5" s="59"/>
      <c r="D5" s="59"/>
      <c r="E5" s="59"/>
    </row>
    <row r="6" spans="1:5" x14ac:dyDescent="0.25">
      <c r="A6" s="65" t="s">
        <v>56</v>
      </c>
      <c r="B6" s="65"/>
      <c r="C6" s="65"/>
      <c r="D6" s="65"/>
      <c r="E6" s="65"/>
    </row>
    <row r="7" spans="1:5" x14ac:dyDescent="0.25">
      <c r="A7" s="65" t="s">
        <v>55</v>
      </c>
      <c r="B7" s="65"/>
      <c r="C7" s="65"/>
      <c r="D7" s="65"/>
      <c r="E7" s="65"/>
    </row>
    <row r="9" spans="1:5" x14ac:dyDescent="0.25">
      <c r="A9" s="66" t="s">
        <v>57</v>
      </c>
      <c r="B9" s="66"/>
      <c r="C9" s="66"/>
      <c r="D9" s="66"/>
      <c r="E9" s="66"/>
    </row>
    <row r="10" spans="1:5" x14ac:dyDescent="0.25">
      <c r="A10" s="67" t="s">
        <v>58</v>
      </c>
      <c r="B10" s="67"/>
      <c r="C10" s="67"/>
      <c r="D10" s="67"/>
      <c r="E10" s="67"/>
    </row>
  </sheetData>
  <mergeCells count="9">
    <mergeCell ref="A7:E7"/>
    <mergeCell ref="A9:E9"/>
    <mergeCell ref="A10:E10"/>
    <mergeCell ref="A1:E1"/>
    <mergeCell ref="A2:E2"/>
    <mergeCell ref="A3:E3"/>
    <mergeCell ref="A4:E4"/>
    <mergeCell ref="A5:E5"/>
    <mergeCell ref="A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53D5-64A1-4335-8029-10DD7D37C7E5}">
  <dimension ref="A1:F21"/>
  <sheetViews>
    <sheetView workbookViewId="0">
      <selection activeCell="B36" sqref="B36"/>
    </sheetView>
  </sheetViews>
  <sheetFormatPr defaultRowHeight="15" x14ac:dyDescent="0.25"/>
  <cols>
    <col min="1" max="1" width="32.5703125" style="19" customWidth="1"/>
    <col min="2" max="2" width="10.5703125" style="1" bestFit="1" customWidth="1"/>
  </cols>
  <sheetData>
    <row r="1" spans="1:6" x14ac:dyDescent="0.25">
      <c r="A1" s="50" t="s">
        <v>33</v>
      </c>
      <c r="B1" s="51"/>
      <c r="C1" s="51"/>
      <c r="D1" s="51"/>
      <c r="E1" s="51"/>
      <c r="F1" s="51"/>
    </row>
    <row r="3" spans="1:6" x14ac:dyDescent="0.25">
      <c r="A3" s="57" t="s">
        <v>2</v>
      </c>
      <c r="B3" s="58"/>
      <c r="C3" s="58"/>
      <c r="D3" s="58"/>
      <c r="E3" s="58"/>
      <c r="F3" s="58"/>
    </row>
    <row r="4" spans="1:6" s="2" customFormat="1" x14ac:dyDescent="0.25">
      <c r="A4" s="21" t="s">
        <v>40</v>
      </c>
      <c r="B4" s="45">
        <f>0.89*0.001</f>
        <v>8.9000000000000006E-4</v>
      </c>
      <c r="C4" s="46">
        <f>1.8*0.001</f>
        <v>1.8000000000000002E-3</v>
      </c>
      <c r="D4" s="46">
        <f>2.67*0.001</f>
        <v>2.6700000000000001E-3</v>
      </c>
      <c r="E4" s="46">
        <f>3.57*0.001</f>
        <v>3.5699999999999998E-3</v>
      </c>
      <c r="F4" s="46">
        <f>4.46*0.001</f>
        <v>4.4600000000000004E-3</v>
      </c>
    </row>
    <row r="5" spans="1:6" x14ac:dyDescent="0.25">
      <c r="A5" s="20" t="s">
        <v>39</v>
      </c>
      <c r="B5" s="41">
        <v>1.1499999999999999</v>
      </c>
      <c r="C5" s="42">
        <v>1.4430000000000001</v>
      </c>
      <c r="D5" s="42">
        <v>2.0310000000000001</v>
      </c>
      <c r="E5" s="42">
        <v>2.181</v>
      </c>
      <c r="F5" s="42">
        <v>2.5070000000000001</v>
      </c>
    </row>
    <row r="6" spans="1:6" x14ac:dyDescent="0.25">
      <c r="A6" s="14"/>
      <c r="B6" s="43">
        <v>1.026</v>
      </c>
      <c r="C6" s="44">
        <v>1.492</v>
      </c>
      <c r="D6" s="44">
        <v>1.9390000000000001</v>
      </c>
      <c r="E6" s="44">
        <v>2.202</v>
      </c>
      <c r="F6" s="44">
        <v>2.2919999999999998</v>
      </c>
    </row>
    <row r="7" spans="1:6" x14ac:dyDescent="0.25">
      <c r="A7" s="15"/>
      <c r="B7" s="43">
        <v>1.014</v>
      </c>
      <c r="C7" s="44">
        <v>1.583</v>
      </c>
      <c r="D7" s="44">
        <v>1.9410000000000001</v>
      </c>
      <c r="E7" s="44">
        <v>2.1989999999999998</v>
      </c>
      <c r="F7" s="44">
        <v>2.3029999999999999</v>
      </c>
    </row>
    <row r="8" spans="1:6" x14ac:dyDescent="0.25">
      <c r="A8" s="15"/>
      <c r="B8" s="43">
        <v>1.1339999999999999</v>
      </c>
      <c r="C8" s="44">
        <v>1.5629999999999999</v>
      </c>
      <c r="D8" s="44">
        <v>2.0670000000000002</v>
      </c>
      <c r="E8" s="44">
        <v>2.109</v>
      </c>
      <c r="F8" s="44">
        <v>2.3639999999999999</v>
      </c>
    </row>
    <row r="9" spans="1:6" x14ac:dyDescent="0.25">
      <c r="A9" s="15"/>
      <c r="B9" s="43">
        <v>1.01</v>
      </c>
      <c r="C9" s="44">
        <v>1.589</v>
      </c>
      <c r="D9" s="44">
        <v>1.9410000000000001</v>
      </c>
      <c r="E9" s="44">
        <v>2.2690000000000001</v>
      </c>
      <c r="F9" s="44">
        <v>2.2669999999999999</v>
      </c>
    </row>
    <row r="11" spans="1:6" x14ac:dyDescent="0.25">
      <c r="C11" s="1"/>
      <c r="D11" s="1"/>
      <c r="E11" s="1"/>
      <c r="F11" s="1"/>
    </row>
    <row r="14" spans="1:6" x14ac:dyDescent="0.25">
      <c r="A14" s="55" t="s">
        <v>32</v>
      </c>
      <c r="B14" s="56"/>
      <c r="C14" s="56"/>
      <c r="D14" s="56"/>
      <c r="E14" s="56"/>
      <c r="F14" s="56"/>
    </row>
    <row r="15" spans="1:6" x14ac:dyDescent="0.25">
      <c r="A15" s="16" t="s">
        <v>29</v>
      </c>
      <c r="B15" s="47">
        <f>AVERAGE(B5:B9)</f>
        <v>1.0668</v>
      </c>
      <c r="C15" s="47">
        <f>AVERAGE(C5:C9)</f>
        <v>1.534</v>
      </c>
      <c r="D15" s="47">
        <f>AVERAGE(D5:D9)</f>
        <v>1.9838</v>
      </c>
      <c r="E15" s="47">
        <f>AVERAGE(E5:E9)</f>
        <v>2.1919999999999997</v>
      </c>
      <c r="F15" s="47">
        <f>AVERAGE(F5:F9)</f>
        <v>2.3465999999999996</v>
      </c>
    </row>
    <row r="16" spans="1:6" ht="15.75" customHeight="1" x14ac:dyDescent="0.25">
      <c r="A16" s="17" t="s">
        <v>37</v>
      </c>
      <c r="B16" s="48">
        <f>STDEV(B5:B9)/SQRT(COUNT(B5:B9))</f>
        <v>3.091666217430333E-2</v>
      </c>
      <c r="C16" s="48">
        <f>STDEV(C5:C9)/SQRT(COUNT(C5:C9))</f>
        <v>2.8558711455526121E-2</v>
      </c>
      <c r="D16" s="48">
        <f>STDEV(D5:D9)/SQRT(COUNT(D5:D9))</f>
        <v>2.7222049886075832E-2</v>
      </c>
      <c r="E16" s="48">
        <f>STDEV(E5:E9)/SQRT(COUNT(E5:E9))</f>
        <v>2.5581243128511188E-2</v>
      </c>
      <c r="F16" s="48">
        <f>STDEV(F5:F9)/SQRT(COUNT(F5:F9))</f>
        <v>4.3156227824034894E-2</v>
      </c>
    </row>
    <row r="17" spans="1:6" ht="15.75" customHeight="1" x14ac:dyDescent="0.25">
      <c r="A17" s="18"/>
      <c r="B17" s="22"/>
      <c r="C17" s="5"/>
      <c r="D17" s="5"/>
      <c r="E17" s="5"/>
      <c r="F17" s="5"/>
    </row>
    <row r="18" spans="1:6" x14ac:dyDescent="0.25">
      <c r="A18" s="52" t="s">
        <v>31</v>
      </c>
      <c r="B18" s="53"/>
      <c r="C18" s="53"/>
      <c r="D18" s="53"/>
      <c r="E18" s="53"/>
      <c r="F18" s="54"/>
    </row>
    <row r="19" spans="1:6" x14ac:dyDescent="0.25">
      <c r="A19" s="23" t="s">
        <v>49</v>
      </c>
      <c r="B19" s="29">
        <f>B4*9.81</f>
        <v>8.7309000000000015E-3</v>
      </c>
      <c r="C19" s="29">
        <f t="shared" ref="C19:F19" si="0">C4*9.81</f>
        <v>1.7658000000000004E-2</v>
      </c>
      <c r="D19" s="29">
        <f t="shared" si="0"/>
        <v>2.6192700000000003E-2</v>
      </c>
      <c r="E19" s="29">
        <f t="shared" si="0"/>
        <v>3.5021700000000003E-2</v>
      </c>
      <c r="F19" s="29">
        <f t="shared" si="0"/>
        <v>4.375260000000001E-2</v>
      </c>
    </row>
    <row r="20" spans="1:6" x14ac:dyDescent="0.25">
      <c r="A20" s="23" t="s">
        <v>48</v>
      </c>
      <c r="B20" s="29">
        <f>B15^2</f>
        <v>1.13806224</v>
      </c>
      <c r="C20" s="29">
        <f t="shared" ref="C20:F20" si="1">C15^2</f>
        <v>2.3531560000000002</v>
      </c>
      <c r="D20" s="29">
        <f t="shared" si="1"/>
        <v>3.9354624400000002</v>
      </c>
      <c r="E20" s="29">
        <f t="shared" si="1"/>
        <v>4.8048639999999985</v>
      </c>
      <c r="F20" s="29">
        <f t="shared" si="1"/>
        <v>5.5065315599999982</v>
      </c>
    </row>
    <row r="21" spans="1:6" x14ac:dyDescent="0.25">
      <c r="A21" s="23" t="s">
        <v>50</v>
      </c>
      <c r="B21" s="29">
        <f>2*B15*B16</f>
        <v>6.5963790415093579E-2</v>
      </c>
      <c r="C21" s="29">
        <f t="shared" ref="C21:F21" si="2">2*C15*C16</f>
        <v>8.7618126745554137E-2</v>
      </c>
      <c r="D21" s="29">
        <f t="shared" si="2"/>
        <v>0.10800620512799447</v>
      </c>
      <c r="E21" s="29">
        <f t="shared" si="2"/>
        <v>0.11214816987539303</v>
      </c>
      <c r="F21" s="29">
        <f t="shared" si="2"/>
        <v>0.20254080842376052</v>
      </c>
    </row>
  </sheetData>
  <mergeCells count="4">
    <mergeCell ref="A1:F1"/>
    <mergeCell ref="A18:F18"/>
    <mergeCell ref="A14:F14"/>
    <mergeCell ref="A3:F3"/>
  </mergeCells>
  <pageMargins left="0.7" right="0.7" top="0.75" bottom="0.75" header="0.3" footer="0.3"/>
  <pageSetup orientation="portrait" r:id="rId1"/>
  <ignoredErrors>
    <ignoredError sqref="B15:F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8B8D-6F10-4534-B9D1-5F2AB3FDB947}">
  <dimension ref="A1:F30"/>
  <sheetViews>
    <sheetView workbookViewId="0">
      <selection activeCell="E15" sqref="E15"/>
    </sheetView>
  </sheetViews>
  <sheetFormatPr defaultRowHeight="15" x14ac:dyDescent="0.25"/>
  <cols>
    <col min="1" max="1" width="20.140625" style="1" customWidth="1"/>
    <col min="2" max="2" width="9.5703125" bestFit="1" customWidth="1"/>
    <col min="3" max="5" width="9.28515625" bestFit="1" customWidth="1"/>
    <col min="6" max="6" width="9.5703125" bestFit="1" customWidth="1"/>
  </cols>
  <sheetData>
    <row r="1" spans="1:6" s="1" customFormat="1" x14ac:dyDescent="0.25">
      <c r="A1" s="50" t="s">
        <v>17</v>
      </c>
      <c r="B1" s="50"/>
      <c r="C1" s="50"/>
      <c r="D1" s="50"/>
      <c r="E1" s="50"/>
      <c r="F1" s="50"/>
    </row>
    <row r="2" spans="1:6" x14ac:dyDescent="0.25">
      <c r="A2" s="59"/>
      <c r="B2" s="59"/>
      <c r="C2" s="59"/>
      <c r="D2" s="59"/>
      <c r="E2" s="59"/>
      <c r="F2" s="59"/>
    </row>
    <row r="3" spans="1:6" x14ac:dyDescent="0.25">
      <c r="A3" s="37" t="s">
        <v>0</v>
      </c>
      <c r="B3" s="27">
        <f>Data!$B$19</f>
        <v>8.7309000000000015E-3</v>
      </c>
      <c r="C3" s="27">
        <f>Data!$C$19</f>
        <v>1.7658000000000004E-2</v>
      </c>
      <c r="D3" s="27">
        <f>Data!$D$19</f>
        <v>2.6192700000000003E-2</v>
      </c>
      <c r="E3" s="27">
        <f>Data!$E$19</f>
        <v>3.5021700000000003E-2</v>
      </c>
      <c r="F3" s="27">
        <f>Data!$F$19</f>
        <v>4.375260000000001E-2</v>
      </c>
    </row>
    <row r="4" spans="1:6" x14ac:dyDescent="0.25">
      <c r="A4" s="37" t="s">
        <v>1</v>
      </c>
      <c r="B4" s="28">
        <f>Data!$B$20</f>
        <v>1.13806224</v>
      </c>
      <c r="C4" s="28">
        <f>Data!$C$20</f>
        <v>2.3531560000000002</v>
      </c>
      <c r="D4" s="28">
        <f>Data!$D$20</f>
        <v>3.9354624400000002</v>
      </c>
      <c r="E4" s="28">
        <f>Data!$E$20</f>
        <v>4.8048639999999985</v>
      </c>
      <c r="F4" s="28">
        <f>Data!$F$20</f>
        <v>5.5065315599999982</v>
      </c>
    </row>
    <row r="5" spans="1:6" x14ac:dyDescent="0.25">
      <c r="A5" s="37" t="s">
        <v>11</v>
      </c>
      <c r="B5" s="28">
        <f>Data!$B$21</f>
        <v>6.5963790415093579E-2</v>
      </c>
      <c r="C5" s="28">
        <f>Data!$C$21</f>
        <v>8.7618126745554137E-2</v>
      </c>
      <c r="D5" s="28">
        <f>Data!$D$21</f>
        <v>0.10800620512799447</v>
      </c>
      <c r="E5" s="28">
        <f>Data!$E$21</f>
        <v>0.11214816987539303</v>
      </c>
      <c r="F5" s="28">
        <f>Data!$F$21</f>
        <v>0.20254080842376052</v>
      </c>
    </row>
    <row r="6" spans="1:6" x14ac:dyDescent="0.25">
      <c r="A6" s="33" t="s">
        <v>6</v>
      </c>
      <c r="B6" s="24">
        <f>B3^2</f>
        <v>7.6228614810000032E-5</v>
      </c>
      <c r="C6" s="24">
        <f t="shared" ref="C6:F6" si="0">C3^2</f>
        <v>3.118049640000001E-4</v>
      </c>
      <c r="D6" s="24">
        <f t="shared" si="0"/>
        <v>6.8605753329000017E-4</v>
      </c>
      <c r="E6" s="24">
        <f t="shared" si="0"/>
        <v>1.2265194708900003E-3</v>
      </c>
      <c r="F6" s="24">
        <f t="shared" si="0"/>
        <v>1.9142900067600009E-3</v>
      </c>
    </row>
    <row r="7" spans="1:6" x14ac:dyDescent="0.25">
      <c r="A7" s="33" t="s">
        <v>7</v>
      </c>
      <c r="B7" s="25">
        <f>B4^2</f>
        <v>1.2951856621138176</v>
      </c>
      <c r="C7" s="25">
        <f t="shared" ref="C7:F7" si="1">C4^2</f>
        <v>5.5373431603360013</v>
      </c>
      <c r="D7" s="25">
        <f t="shared" si="1"/>
        <v>15.487864616650755</v>
      </c>
      <c r="E7" s="25">
        <f t="shared" si="1"/>
        <v>23.086718058495986</v>
      </c>
      <c r="F7" s="25">
        <f t="shared" si="1"/>
        <v>30.321889821276013</v>
      </c>
    </row>
    <row r="8" spans="1:6" x14ac:dyDescent="0.25">
      <c r="A8" s="33" t="s">
        <v>12</v>
      </c>
      <c r="B8" s="4">
        <f>B5^2</f>
        <v>4.3512216459263911E-3</v>
      </c>
      <c r="C8" s="4">
        <f t="shared" ref="C8:F8" si="2">C5^2</f>
        <v>7.6769361343999891E-3</v>
      </c>
      <c r="D8" s="4">
        <f t="shared" si="2"/>
        <v>1.1665340346150419E-2</v>
      </c>
      <c r="E8" s="4">
        <f t="shared" si="2"/>
        <v>1.2577212006400012E-2</v>
      </c>
      <c r="F8" s="4">
        <f t="shared" si="2"/>
        <v>4.1022779076950455E-2</v>
      </c>
    </row>
    <row r="9" spans="1:6" x14ac:dyDescent="0.25">
      <c r="A9" s="33" t="s">
        <v>13</v>
      </c>
      <c r="B9" s="4">
        <f>B6/B8</f>
        <v>1.7518899521325276E-2</v>
      </c>
      <c r="C9" s="4">
        <f t="shared" ref="C9:F9" si="3">C6/C8</f>
        <v>4.0615807991786823E-2</v>
      </c>
      <c r="D9" s="4">
        <f t="shared" si="3"/>
        <v>5.8811617400978809E-2</v>
      </c>
      <c r="E9" s="4">
        <f t="shared" si="3"/>
        <v>9.7519185513122969E-2</v>
      </c>
      <c r="F9" s="4">
        <f t="shared" si="3"/>
        <v>4.666407420056011E-2</v>
      </c>
    </row>
    <row r="10" spans="1:6" x14ac:dyDescent="0.25">
      <c r="A10" s="33" t="s">
        <v>14</v>
      </c>
      <c r="B10" s="4">
        <f>B7/B8</f>
        <v>297.6602360227659</v>
      </c>
      <c r="C10" s="4">
        <f t="shared" ref="C10:F10" si="4">C7/C8</f>
        <v>721.29597842079568</v>
      </c>
      <c r="D10" s="4">
        <f t="shared" si="4"/>
        <v>1327.6821898952803</v>
      </c>
      <c r="E10" s="4">
        <f t="shared" si="4"/>
        <v>1835.5990220048873</v>
      </c>
      <c r="F10" s="4">
        <f t="shared" si="4"/>
        <v>739.14762733159216</v>
      </c>
    </row>
    <row r="11" spans="1:6" x14ac:dyDescent="0.25">
      <c r="A11" s="33" t="s">
        <v>15</v>
      </c>
      <c r="B11" s="4">
        <f>(B3*B4)/B8</f>
        <v>2.2835673334449331</v>
      </c>
      <c r="C11" s="4">
        <f t="shared" ref="C11:F11" si="5">(C3*C4)/C8</f>
        <v>5.4125796959293861</v>
      </c>
      <c r="D11" s="4">
        <f t="shared" si="5"/>
        <v>8.8364663176076732</v>
      </c>
      <c r="E11" s="4">
        <f t="shared" si="5"/>
        <v>13.379316931540327</v>
      </c>
      <c r="F11" s="4">
        <f t="shared" si="5"/>
        <v>5.872958345414121</v>
      </c>
    </row>
    <row r="12" spans="1:6" x14ac:dyDescent="0.25">
      <c r="A12" s="33"/>
      <c r="B12" s="4"/>
      <c r="C12" s="4"/>
      <c r="D12" s="4"/>
      <c r="E12" s="4"/>
      <c r="F12" s="4"/>
    </row>
    <row r="13" spans="1:6" x14ac:dyDescent="0.25">
      <c r="A13" s="33" t="s">
        <v>4</v>
      </c>
      <c r="B13" s="4">
        <f>SUM(B9:F9)</f>
        <v>0.26112958462777397</v>
      </c>
      <c r="C13" s="4"/>
      <c r="D13" s="4"/>
      <c r="E13" s="4"/>
      <c r="F13" s="4"/>
    </row>
    <row r="14" spans="1:6" x14ac:dyDescent="0.25">
      <c r="A14" s="33" t="s">
        <v>3</v>
      </c>
      <c r="B14" s="4">
        <f>SUM(B10:F10)</f>
        <v>4921.3850536753207</v>
      </c>
      <c r="C14" s="4"/>
      <c r="D14" s="4"/>
      <c r="E14" s="4"/>
      <c r="F14" s="4"/>
    </row>
    <row r="15" spans="1:6" x14ac:dyDescent="0.25">
      <c r="A15" s="33" t="s">
        <v>5</v>
      </c>
      <c r="B15" s="4">
        <f>SUM(B11:F11)</f>
        <v>35.784888623936439</v>
      </c>
      <c r="C15" s="4"/>
      <c r="D15" s="4"/>
      <c r="E15" s="4"/>
      <c r="F15" s="4"/>
    </row>
    <row r="16" spans="1:6" x14ac:dyDescent="0.25">
      <c r="A16" s="32"/>
    </row>
    <row r="17" spans="1:6" x14ac:dyDescent="0.25">
      <c r="A17" s="38" t="s">
        <v>8</v>
      </c>
      <c r="B17" s="11">
        <f>B15/B13</f>
        <v>137.03881417705256</v>
      </c>
      <c r="C17" s="12"/>
    </row>
    <row r="18" spans="1:6" x14ac:dyDescent="0.25">
      <c r="A18" s="38" t="s">
        <v>9</v>
      </c>
      <c r="B18" s="7">
        <f>1/SQRT(B13)</f>
        <v>1.9569149948706843</v>
      </c>
      <c r="C18" s="13"/>
    </row>
    <row r="19" spans="1:6" x14ac:dyDescent="0.25">
      <c r="A19" s="38" t="s">
        <v>10</v>
      </c>
      <c r="B19" s="7">
        <f>B14  - ( (B15^2)/B13)</f>
        <v>17.466351193173068</v>
      </c>
      <c r="C19" s="13"/>
    </row>
    <row r="20" spans="1:6" x14ac:dyDescent="0.25">
      <c r="A20" s="38" t="s">
        <v>16</v>
      </c>
      <c r="B20" s="7">
        <f>COUNT(B3:Z3)-SQRT(2*COUNT(B3:Z3))</f>
        <v>1.8377223398316205</v>
      </c>
      <c r="C20" s="7">
        <f>COUNT(B3:Z3)+SQRT(2*COUNT(B3:Z3))</f>
        <v>8.16227766016838</v>
      </c>
    </row>
    <row r="21" spans="1:6" x14ac:dyDescent="0.25">
      <c r="A21" s="39"/>
      <c r="B21" s="10"/>
      <c r="C21" s="10"/>
    </row>
    <row r="22" spans="1:6" s="1" customFormat="1" x14ac:dyDescent="0.25">
      <c r="A22" s="57" t="s">
        <v>28</v>
      </c>
      <c r="B22" s="57"/>
      <c r="C22" s="57"/>
      <c r="D22" s="57"/>
      <c r="E22" s="57"/>
      <c r="F22" s="57"/>
    </row>
    <row r="23" spans="1:6" x14ac:dyDescent="0.25">
      <c r="A23" s="37" t="s">
        <v>0</v>
      </c>
      <c r="B23" s="27">
        <f>Data!$B$19</f>
        <v>8.7309000000000015E-3</v>
      </c>
      <c r="C23" s="27">
        <f>Data!$C$19</f>
        <v>1.7658000000000004E-2</v>
      </c>
      <c r="D23" s="27">
        <f>Data!$D$19</f>
        <v>2.6192700000000003E-2</v>
      </c>
      <c r="E23" s="27">
        <f>Data!$E$19</f>
        <v>3.5021700000000003E-2</v>
      </c>
      <c r="F23" s="27">
        <f>Data!$F$19</f>
        <v>4.375260000000001E-2</v>
      </c>
    </row>
    <row r="24" spans="1:6" x14ac:dyDescent="0.25">
      <c r="A24" s="37" t="s">
        <v>1</v>
      </c>
      <c r="B24" s="28">
        <f>Data!$B$20</f>
        <v>1.13806224</v>
      </c>
      <c r="C24" s="28">
        <f>Data!$C$20</f>
        <v>2.3531560000000002</v>
      </c>
      <c r="D24" s="28">
        <f>Data!$D$20</f>
        <v>3.9354624400000002</v>
      </c>
      <c r="E24" s="28">
        <f>Data!$E$20</f>
        <v>4.8048639999999985</v>
      </c>
      <c r="F24" s="28">
        <f>Data!$F$20</f>
        <v>5.5065315599999982</v>
      </c>
    </row>
    <row r="25" spans="1:6" x14ac:dyDescent="0.25">
      <c r="A25" s="37" t="s">
        <v>11</v>
      </c>
      <c r="B25" s="28">
        <f>Data!$B$21</f>
        <v>6.5963790415093579E-2</v>
      </c>
      <c r="C25" s="28">
        <f>Data!$C$21</f>
        <v>8.7618126745554137E-2</v>
      </c>
      <c r="D25" s="28">
        <f>Data!$D$21</f>
        <v>0.10800620512799447</v>
      </c>
      <c r="E25" s="28">
        <f>Data!$E$21</f>
        <v>0.11214816987539303</v>
      </c>
      <c r="F25" s="28">
        <f>Data!$F$21</f>
        <v>0.20254080842376052</v>
      </c>
    </row>
    <row r="26" spans="1:6" x14ac:dyDescent="0.25">
      <c r="A26" s="37" t="s">
        <v>0</v>
      </c>
      <c r="B26" s="27">
        <f>Data!$B$19</f>
        <v>8.7309000000000015E-3</v>
      </c>
      <c r="C26" s="27">
        <f>Data!$C$19</f>
        <v>1.7658000000000004E-2</v>
      </c>
      <c r="D26" s="27">
        <f>Data!$D$19</f>
        <v>2.6192700000000003E-2</v>
      </c>
      <c r="E26" s="27">
        <f>Data!$E$19</f>
        <v>3.5021700000000003E-2</v>
      </c>
      <c r="F26" s="27">
        <f>Data!$F$19</f>
        <v>4.375260000000001E-2</v>
      </c>
    </row>
    <row r="27" spans="1:6" x14ac:dyDescent="0.25">
      <c r="A27" s="1" t="s">
        <v>42</v>
      </c>
      <c r="B27" s="8">
        <f>$B$17*B23</f>
        <v>1.1964721826984284</v>
      </c>
      <c r="C27" s="8">
        <f t="shared" ref="C27:F27" si="6">$B$17*C23</f>
        <v>2.4198313807383944</v>
      </c>
      <c r="D27" s="8">
        <f t="shared" si="6"/>
        <v>3.5894165480952851</v>
      </c>
      <c r="E27" s="8">
        <f t="shared" si="6"/>
        <v>4.7993322384644816</v>
      </c>
      <c r="F27" s="8">
        <f t="shared" si="6"/>
        <v>5.9958044211629113</v>
      </c>
    </row>
    <row r="29" spans="1:6" x14ac:dyDescent="0.25">
      <c r="A29" s="57" t="s">
        <v>44</v>
      </c>
      <c r="B29" s="58"/>
      <c r="C29" s="58"/>
      <c r="D29" s="58"/>
      <c r="E29" s="58"/>
      <c r="F29" s="58"/>
    </row>
    <row r="30" spans="1:6" ht="17.25" x14ac:dyDescent="0.25">
      <c r="A30" s="1" t="s">
        <v>46</v>
      </c>
      <c r="B30" s="49">
        <f>((B4-$B$17*B3)/B5)^2</f>
        <v>0.78408357092719805</v>
      </c>
      <c r="C30" s="49">
        <f t="shared" ref="C30:F30" si="7">((C4-$B$17*C3)/C5)^2</f>
        <v>0.57908602061820913</v>
      </c>
      <c r="D30" s="49">
        <f t="shared" si="7"/>
        <v>10.265260656852309</v>
      </c>
      <c r="E30" s="49">
        <f t="shared" si="7"/>
        <v>2.4330022957593602E-3</v>
      </c>
      <c r="F30" s="49">
        <f t="shared" si="7"/>
        <v>5.8354879424794657</v>
      </c>
    </row>
  </sheetData>
  <mergeCells count="4">
    <mergeCell ref="A1:F1"/>
    <mergeCell ref="A2:F2"/>
    <mergeCell ref="A22:F22"/>
    <mergeCell ref="A29:F29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DC59-DB73-4550-A372-7B15BAFD17FB}">
  <dimension ref="A1:F31"/>
  <sheetViews>
    <sheetView workbookViewId="0">
      <selection activeCell="V12" sqref="V12"/>
    </sheetView>
  </sheetViews>
  <sheetFormatPr defaultRowHeight="15" x14ac:dyDescent="0.25"/>
  <cols>
    <col min="1" max="1" width="18.7109375" style="1" customWidth="1"/>
  </cols>
  <sheetData>
    <row r="1" spans="1:6" x14ac:dyDescent="0.25">
      <c r="A1" s="60" t="s">
        <v>18</v>
      </c>
      <c r="B1" s="60"/>
      <c r="C1" s="60"/>
      <c r="D1" s="60"/>
      <c r="E1" s="60"/>
      <c r="F1" s="60"/>
    </row>
    <row r="3" spans="1:6" x14ac:dyDescent="0.25">
      <c r="A3" s="40" t="s">
        <v>0</v>
      </c>
      <c r="B3" s="27">
        <f>Data!$B$19</f>
        <v>8.7309000000000015E-3</v>
      </c>
      <c r="C3" s="27">
        <f>Data!$C$19</f>
        <v>1.7658000000000004E-2</v>
      </c>
      <c r="D3" s="27">
        <f>Data!$D$19</f>
        <v>2.6192700000000003E-2</v>
      </c>
      <c r="E3" s="27">
        <f>Data!$E$19</f>
        <v>3.5021700000000003E-2</v>
      </c>
      <c r="F3" s="27">
        <f>Data!$F$19</f>
        <v>4.375260000000001E-2</v>
      </c>
    </row>
    <row r="4" spans="1:6" x14ac:dyDescent="0.25">
      <c r="A4" s="40" t="s">
        <v>1</v>
      </c>
      <c r="B4" s="28">
        <f>Data!$B$20</f>
        <v>1.13806224</v>
      </c>
      <c r="C4" s="28">
        <f>Data!$C$20</f>
        <v>2.3531560000000002</v>
      </c>
      <c r="D4" s="28">
        <f>Data!$D$20</f>
        <v>3.9354624400000002</v>
      </c>
      <c r="E4" s="28">
        <f>Data!$E$20</f>
        <v>4.8048639999999985</v>
      </c>
      <c r="F4" s="28">
        <f>Data!$F$20</f>
        <v>5.5065315599999982</v>
      </c>
    </row>
    <row r="5" spans="1:6" x14ac:dyDescent="0.25">
      <c r="A5" s="40" t="s">
        <v>11</v>
      </c>
      <c r="B5" s="28">
        <f>Data!$B$21</f>
        <v>6.5963790415093579E-2</v>
      </c>
      <c r="C5" s="28">
        <f>Data!$C$21</f>
        <v>8.7618126745554137E-2</v>
      </c>
      <c r="D5" s="28">
        <f>Data!$D$21</f>
        <v>0.10800620512799447</v>
      </c>
      <c r="E5" s="28">
        <f>Data!$E$21</f>
        <v>0.11214816987539303</v>
      </c>
      <c r="F5" s="28">
        <f>Data!$F$21</f>
        <v>0.20254080842376052</v>
      </c>
    </row>
    <row r="6" spans="1:6" x14ac:dyDescent="0.25">
      <c r="A6" s="33" t="s">
        <v>6</v>
      </c>
      <c r="B6" s="24">
        <f t="shared" ref="B6:F8" si="0">B3^2</f>
        <v>7.6228614810000032E-5</v>
      </c>
      <c r="C6" s="24">
        <f t="shared" si="0"/>
        <v>3.118049640000001E-4</v>
      </c>
      <c r="D6" s="24">
        <f t="shared" si="0"/>
        <v>6.8605753329000017E-4</v>
      </c>
      <c r="E6" s="24">
        <f t="shared" si="0"/>
        <v>1.2265194708900003E-3</v>
      </c>
      <c r="F6" s="24">
        <f t="shared" si="0"/>
        <v>1.9142900067600009E-3</v>
      </c>
    </row>
    <row r="7" spans="1:6" x14ac:dyDescent="0.25">
      <c r="A7" s="33" t="s">
        <v>7</v>
      </c>
      <c r="B7" s="25">
        <f t="shared" si="0"/>
        <v>1.2951856621138176</v>
      </c>
      <c r="C7" s="25">
        <f t="shared" si="0"/>
        <v>5.5373431603360013</v>
      </c>
      <c r="D7" s="25">
        <f t="shared" si="0"/>
        <v>15.487864616650755</v>
      </c>
      <c r="E7" s="25">
        <f t="shared" si="0"/>
        <v>23.086718058495986</v>
      </c>
      <c r="F7" s="25">
        <f t="shared" si="0"/>
        <v>30.321889821276013</v>
      </c>
    </row>
    <row r="8" spans="1:6" x14ac:dyDescent="0.25">
      <c r="A8" s="33" t="s">
        <v>12</v>
      </c>
      <c r="B8" s="4">
        <f t="shared" si="0"/>
        <v>4.3512216459263911E-3</v>
      </c>
      <c r="C8" s="4">
        <f t="shared" si="0"/>
        <v>7.6769361343999891E-3</v>
      </c>
      <c r="D8" s="4">
        <f t="shared" si="0"/>
        <v>1.1665340346150419E-2</v>
      </c>
      <c r="E8" s="4">
        <f t="shared" si="0"/>
        <v>1.2577212006400012E-2</v>
      </c>
      <c r="F8" s="4">
        <f t="shared" si="0"/>
        <v>4.1022779076950455E-2</v>
      </c>
    </row>
    <row r="9" spans="1:6" x14ac:dyDescent="0.25">
      <c r="A9" s="33" t="s">
        <v>13</v>
      </c>
      <c r="B9" s="4">
        <f>B6/B8</f>
        <v>1.7518899521325276E-2</v>
      </c>
      <c r="C9" s="4">
        <f t="shared" ref="C9:F9" si="1">C6/C8</f>
        <v>4.0615807991786823E-2</v>
      </c>
      <c r="D9" s="4">
        <f t="shared" si="1"/>
        <v>5.8811617400978809E-2</v>
      </c>
      <c r="E9" s="4">
        <f t="shared" si="1"/>
        <v>9.7519185513122969E-2</v>
      </c>
      <c r="F9" s="4">
        <f t="shared" si="1"/>
        <v>4.666407420056011E-2</v>
      </c>
    </row>
    <row r="10" spans="1:6" x14ac:dyDescent="0.25">
      <c r="A10" s="33" t="s">
        <v>14</v>
      </c>
      <c r="B10" s="4">
        <f>B7/B8</f>
        <v>297.6602360227659</v>
      </c>
      <c r="C10" s="4">
        <f t="shared" ref="C10:F10" si="2">C7/C8</f>
        <v>721.29597842079568</v>
      </c>
      <c r="D10" s="4">
        <f t="shared" si="2"/>
        <v>1327.6821898952803</v>
      </c>
      <c r="E10" s="4">
        <f t="shared" si="2"/>
        <v>1835.5990220048873</v>
      </c>
      <c r="F10" s="4">
        <f t="shared" si="2"/>
        <v>739.14762733159216</v>
      </c>
    </row>
    <row r="11" spans="1:6" x14ac:dyDescent="0.25">
      <c r="A11" s="33" t="s">
        <v>15</v>
      </c>
      <c r="B11" s="4">
        <f>(B3*B4)/B8</f>
        <v>2.2835673334449331</v>
      </c>
      <c r="C11" s="4">
        <f>(C3*C4)/C8</f>
        <v>5.4125796959293861</v>
      </c>
      <c r="D11" s="4">
        <f>(D3*D4)/D8</f>
        <v>8.8364663176076732</v>
      </c>
      <c r="E11" s="4">
        <f>(E3*E4)/E8</f>
        <v>13.379316931540327</v>
      </c>
      <c r="F11" s="4">
        <f>(F3*F4)/F8</f>
        <v>5.872958345414121</v>
      </c>
    </row>
    <row r="12" spans="1:6" x14ac:dyDescent="0.25">
      <c r="A12" s="33" t="s">
        <v>22</v>
      </c>
      <c r="B12" s="4">
        <f>B3/B8</f>
        <v>2.0065399353245681</v>
      </c>
      <c r="C12" s="4">
        <f>C3/C8</f>
        <v>2.3001363683195613</v>
      </c>
      <c r="D12" s="4">
        <f>D3/D8</f>
        <v>2.2453438324792327</v>
      </c>
      <c r="E12" s="4">
        <f>E3/E8</f>
        <v>2.784536030892931</v>
      </c>
      <c r="F12" s="4">
        <f>F3/F8</f>
        <v>1.0665440271106197</v>
      </c>
    </row>
    <row r="13" spans="1:6" x14ac:dyDescent="0.25">
      <c r="A13" s="33" t="s">
        <v>23</v>
      </c>
      <c r="B13" s="4">
        <f>B4/B8</f>
        <v>261.55005021761019</v>
      </c>
      <c r="C13" s="4">
        <f>C4/C8</f>
        <v>306.52280529671452</v>
      </c>
      <c r="D13" s="4">
        <f>D4/D8</f>
        <v>337.36370506315399</v>
      </c>
      <c r="E13" s="4">
        <f>E4/E8</f>
        <v>382.02933985330026</v>
      </c>
      <c r="F13" s="4">
        <f>F4/F8</f>
        <v>134.23107073440482</v>
      </c>
    </row>
    <row r="14" spans="1:6" x14ac:dyDescent="0.25">
      <c r="A14" s="33" t="s">
        <v>24</v>
      </c>
      <c r="B14" s="4">
        <f>1/B8</f>
        <v>229.82051510434979</v>
      </c>
      <c r="C14" s="4">
        <f t="shared" ref="C14:F14" si="3">1/C8</f>
        <v>130.26029948576061</v>
      </c>
      <c r="D14" s="4">
        <f t="shared" si="3"/>
        <v>85.724031217829122</v>
      </c>
      <c r="E14" s="4">
        <f t="shared" si="3"/>
        <v>79.508876807605873</v>
      </c>
      <c r="F14" s="4">
        <f t="shared" si="3"/>
        <v>24.376700518611912</v>
      </c>
    </row>
    <row r="15" spans="1:6" x14ac:dyDescent="0.25">
      <c r="A15" s="33" t="s">
        <v>4</v>
      </c>
      <c r="B15" s="4">
        <f t="shared" ref="B15:B20" si="4">SUM(B9:F9)</f>
        <v>0.26112958462777397</v>
      </c>
      <c r="C15" s="4"/>
      <c r="D15" s="4"/>
      <c r="E15" s="4"/>
      <c r="F15" s="4"/>
    </row>
    <row r="16" spans="1:6" x14ac:dyDescent="0.25">
      <c r="A16" s="33" t="s">
        <v>3</v>
      </c>
      <c r="B16" s="4">
        <f t="shared" si="4"/>
        <v>4921.3850536753207</v>
      </c>
      <c r="C16" s="4"/>
      <c r="D16" s="4"/>
      <c r="E16" s="4"/>
      <c r="F16" s="4"/>
    </row>
    <row r="17" spans="1:6" x14ac:dyDescent="0.25">
      <c r="A17" s="33" t="s">
        <v>5</v>
      </c>
      <c r="B17" s="4">
        <f t="shared" si="4"/>
        <v>35.784888623936439</v>
      </c>
      <c r="C17" s="4"/>
      <c r="D17" s="4"/>
      <c r="E17" s="4"/>
      <c r="F17" s="4"/>
    </row>
    <row r="18" spans="1:6" x14ac:dyDescent="0.25">
      <c r="A18" s="33" t="s">
        <v>19</v>
      </c>
      <c r="B18" s="26">
        <f t="shared" si="4"/>
        <v>10.403100194126914</v>
      </c>
      <c r="C18" s="4"/>
      <c r="D18" s="4"/>
      <c r="E18" s="4"/>
      <c r="F18" s="4"/>
    </row>
    <row r="19" spans="1:6" x14ac:dyDescent="0.25">
      <c r="A19" s="33" t="s">
        <v>20</v>
      </c>
      <c r="B19" s="8">
        <f t="shared" si="4"/>
        <v>1421.6969711651839</v>
      </c>
      <c r="C19" s="4"/>
      <c r="D19" s="4"/>
      <c r="E19" s="4"/>
      <c r="F19" s="4"/>
    </row>
    <row r="20" spans="1:6" x14ac:dyDescent="0.25">
      <c r="A20" s="33" t="s">
        <v>21</v>
      </c>
      <c r="B20" s="8">
        <f t="shared" si="4"/>
        <v>549.6904231341573</v>
      </c>
      <c r="C20" s="4"/>
      <c r="D20" s="4"/>
      <c r="E20" s="4"/>
      <c r="F20" s="4"/>
    </row>
    <row r="21" spans="1:6" x14ac:dyDescent="0.25">
      <c r="A21" s="34"/>
      <c r="B21" s="3"/>
    </row>
    <row r="22" spans="1:6" x14ac:dyDescent="0.25">
      <c r="A22" s="33" t="s">
        <v>8</v>
      </c>
      <c r="B22" s="6">
        <f>(B20*B17-B18*B19)/(B20*B15-B18^2)</f>
        <v>138.19693824008633</v>
      </c>
    </row>
    <row r="23" spans="1:6" x14ac:dyDescent="0.25">
      <c r="A23" s="32" t="s">
        <v>9</v>
      </c>
      <c r="B23" s="6">
        <f>1/SQRT(B15)</f>
        <v>1.9569149948706843</v>
      </c>
    </row>
    <row r="24" spans="1:6" x14ac:dyDescent="0.25">
      <c r="A24" s="35" t="s">
        <v>25</v>
      </c>
      <c r="B24" s="9">
        <f>(B19*B15-B18*B17)/(B20*B15-B18^2)</f>
        <v>-2.907022424893764E-2</v>
      </c>
    </row>
    <row r="25" spans="1:6" x14ac:dyDescent="0.25">
      <c r="A25" s="34" t="s">
        <v>26</v>
      </c>
      <c r="B25" s="9">
        <f>1/SQRT(B20)</f>
        <v>4.2652148704832395E-2</v>
      </c>
    </row>
    <row r="26" spans="1:6" x14ac:dyDescent="0.25">
      <c r="A26" s="35" t="s">
        <v>27</v>
      </c>
      <c r="B26" s="9">
        <f>(B20*B17^2-2*B18*B19*B17+B19^2*B15)/(B18^2-B20*B15)+B16</f>
        <v>17.352060350616739</v>
      </c>
    </row>
    <row r="27" spans="1:6" x14ac:dyDescent="0.25">
      <c r="A27" s="36" t="s">
        <v>16</v>
      </c>
      <c r="B27" s="7">
        <f>COUNT(B10:Z10)-SQRT(2*COUNT(B10:Z10))</f>
        <v>1.8377223398316205</v>
      </c>
      <c r="C27" s="7">
        <f>COUNT(B10:Z10)+SQRT(2*COUNT(B10:Z10))</f>
        <v>8.16227766016838</v>
      </c>
    </row>
    <row r="30" spans="1:6" x14ac:dyDescent="0.25">
      <c r="A30" s="57" t="s">
        <v>28</v>
      </c>
      <c r="B30" s="58"/>
      <c r="C30" s="58"/>
      <c r="D30" s="58"/>
      <c r="E30" s="58"/>
      <c r="F30" s="58"/>
    </row>
    <row r="31" spans="1:6" x14ac:dyDescent="0.25">
      <c r="A31" s="1" t="s">
        <v>43</v>
      </c>
      <c r="B31" s="4">
        <f>$B$22*B3 +$B$24</f>
        <v>1.1775134238314324</v>
      </c>
      <c r="C31" s="4">
        <f t="shared" ref="C31:F31" si="5">$B$22*C3 +$B$24</f>
        <v>2.4112113111945073</v>
      </c>
      <c r="D31" s="4">
        <f t="shared" si="5"/>
        <v>3.590680719992172</v>
      </c>
      <c r="E31" s="4">
        <f t="shared" si="5"/>
        <v>4.810821487713894</v>
      </c>
      <c r="F31" s="4">
        <f t="shared" si="5"/>
        <v>6.0174051357942648</v>
      </c>
    </row>
  </sheetData>
  <mergeCells count="2">
    <mergeCell ref="A1:F1"/>
    <mergeCell ref="A30:F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6321-CD9C-4815-980D-9FC9FB647E15}">
  <dimension ref="A1:F36"/>
  <sheetViews>
    <sheetView workbookViewId="0">
      <selection activeCell="T9" sqref="T9"/>
    </sheetView>
  </sheetViews>
  <sheetFormatPr defaultRowHeight="15" x14ac:dyDescent="0.25"/>
  <cols>
    <col min="1" max="1" width="26.7109375" style="1" customWidth="1"/>
    <col min="2" max="6" width="9.5703125" bestFit="1" customWidth="1"/>
  </cols>
  <sheetData>
    <row r="1" spans="1:6" x14ac:dyDescent="0.25">
      <c r="A1" s="50" t="s">
        <v>47</v>
      </c>
      <c r="B1" s="51"/>
      <c r="C1" s="51"/>
      <c r="D1" s="51"/>
      <c r="E1" s="51"/>
      <c r="F1" s="51"/>
    </row>
    <row r="3" spans="1:6" x14ac:dyDescent="0.25">
      <c r="A3" s="1" t="s">
        <v>34</v>
      </c>
      <c r="B3" s="4">
        <f>LN(Data!B19)</f>
        <v>-4.7408868216608164</v>
      </c>
      <c r="C3" s="4">
        <f>LN(Data!C19)</f>
        <v>-4.0365663405027465</v>
      </c>
      <c r="D3" s="4">
        <f>LN(Data!D19)</f>
        <v>-3.6422745329927069</v>
      </c>
      <c r="E3" s="4">
        <f>LN(Data!E19)</f>
        <v>-3.3517874096133173</v>
      </c>
      <c r="F3" s="4">
        <f>LN(Data!F19)</f>
        <v>-3.1292042393728923</v>
      </c>
    </row>
    <row r="4" spans="1:6" x14ac:dyDescent="0.25">
      <c r="A4" s="1" t="s">
        <v>35</v>
      </c>
      <c r="B4" s="4">
        <f>LN(Data!B15)</f>
        <v>6.4663513325722122E-2</v>
      </c>
      <c r="C4" s="4">
        <f>LN(Data!C15)</f>
        <v>0.42787870294506447</v>
      </c>
      <c r="D4" s="4">
        <f>LN(Data!D15)</f>
        <v>0.68501419732975632</v>
      </c>
      <c r="E4" s="4">
        <f>LN(Data!E15)</f>
        <v>0.78481436908576896</v>
      </c>
      <c r="F4" s="4">
        <f>LN(Data!F15)</f>
        <v>0.85296747200738621</v>
      </c>
    </row>
    <row r="5" spans="1:6" x14ac:dyDescent="0.25">
      <c r="A5" s="1" t="s">
        <v>36</v>
      </c>
      <c r="B5" s="4">
        <f>Data!B16/Data!B15</f>
        <v>2.8980748194885012E-2</v>
      </c>
      <c r="C5" s="4">
        <f>Data!C16/Data!C15</f>
        <v>1.8617152187435541E-2</v>
      </c>
      <c r="D5" s="4">
        <f>Data!D16/Data!D15</f>
        <v>1.3722174556949204E-2</v>
      </c>
      <c r="E5" s="4">
        <f>Data!E16/Data!E15</f>
        <v>1.1670275149868244E-2</v>
      </c>
      <c r="F5" s="4">
        <f>Data!F16/Data!F15</f>
        <v>1.839096046366441E-2</v>
      </c>
    </row>
    <row r="6" spans="1:6" x14ac:dyDescent="0.25">
      <c r="A6" s="33" t="s">
        <v>6</v>
      </c>
      <c r="B6" s="24">
        <f t="shared" ref="B6:F8" si="0">B3^2</f>
        <v>22.476007855797199</v>
      </c>
      <c r="C6" s="24">
        <f t="shared" si="0"/>
        <v>16.293867821279736</v>
      </c>
      <c r="D6" s="24">
        <f t="shared" si="0"/>
        <v>13.266163773687241</v>
      </c>
      <c r="E6" s="24">
        <f t="shared" si="0"/>
        <v>11.234478839242351</v>
      </c>
      <c r="F6" s="24">
        <f t="shared" si="0"/>
        <v>9.7919191717092815</v>
      </c>
    </row>
    <row r="7" spans="1:6" x14ac:dyDescent="0.25">
      <c r="A7" s="33" t="s">
        <v>7</v>
      </c>
      <c r="B7" s="25">
        <f t="shared" si="0"/>
        <v>4.1813699556258422E-3</v>
      </c>
      <c r="C7" s="25">
        <f t="shared" si="0"/>
        <v>0.18308018443395072</v>
      </c>
      <c r="D7" s="25">
        <f t="shared" si="0"/>
        <v>0.46924445054333036</v>
      </c>
      <c r="E7" s="25">
        <f t="shared" si="0"/>
        <v>0.61593359392349356</v>
      </c>
      <c r="F7" s="25">
        <f t="shared" si="0"/>
        <v>0.72755350830267118</v>
      </c>
    </row>
    <row r="8" spans="1:6" x14ac:dyDescent="0.25">
      <c r="A8" s="33" t="s">
        <v>12</v>
      </c>
      <c r="B8" s="4">
        <f t="shared" si="0"/>
        <v>8.3988376593533082E-4</v>
      </c>
      <c r="C8" s="4">
        <f t="shared" si="0"/>
        <v>3.4659835557013593E-4</v>
      </c>
      <c r="D8" s="4">
        <f t="shared" si="0"/>
        <v>1.8829807457138408E-4</v>
      </c>
      <c r="E8" s="4">
        <f t="shared" si="0"/>
        <v>1.3619532207363226E-4</v>
      </c>
      <c r="F8" s="4">
        <f t="shared" si="0"/>
        <v>3.3822742677606747E-4</v>
      </c>
    </row>
    <row r="9" spans="1:6" x14ac:dyDescent="0.25">
      <c r="A9" s="33" t="s">
        <v>13</v>
      </c>
      <c r="B9" s="4">
        <f>B6/B8</f>
        <v>26760.855212824536</v>
      </c>
      <c r="C9" s="4">
        <f t="shared" ref="C9:F9" si="1">C6/C8</f>
        <v>47010.805329636336</v>
      </c>
      <c r="D9" s="4">
        <f t="shared" si="1"/>
        <v>70452.997482234045</v>
      </c>
      <c r="E9" s="4">
        <f t="shared" si="1"/>
        <v>82487.99348019145</v>
      </c>
      <c r="F9" s="4">
        <f t="shared" si="1"/>
        <v>28950.695291166568</v>
      </c>
    </row>
    <row r="10" spans="1:6" x14ac:dyDescent="0.25">
      <c r="A10" s="33" t="s">
        <v>14</v>
      </c>
      <c r="B10" s="4">
        <f>B7/B8</f>
        <v>4.9785102715603609</v>
      </c>
      <c r="C10" s="4">
        <f t="shared" ref="C10:F10" si="2">C7/C8</f>
        <v>528.22000304298479</v>
      </c>
      <c r="D10" s="4">
        <f t="shared" si="2"/>
        <v>2492.0299987743056</v>
      </c>
      <c r="E10" s="4">
        <f t="shared" si="2"/>
        <v>4522.4284105036804</v>
      </c>
      <c r="F10" s="4">
        <f t="shared" si="2"/>
        <v>2151.07779767478</v>
      </c>
    </row>
    <row r="11" spans="1:6" x14ac:dyDescent="0.25">
      <c r="A11" s="33" t="s">
        <v>15</v>
      </c>
      <c r="B11" s="4">
        <f>(B3*B4)/B8</f>
        <v>-365.00574317781155</v>
      </c>
      <c r="C11" s="4">
        <f>(C3*C4)/C8</f>
        <v>-4983.1764703122508</v>
      </c>
      <c r="D11" s="4">
        <f>(D3*D4)/D8</f>
        <v>-13250.320117993295</v>
      </c>
      <c r="E11" s="4">
        <f>(E3*E4)/E8</f>
        <v>-19314.399945125402</v>
      </c>
      <c r="F11" s="4">
        <f>(F3*F4)/F8</f>
        <v>-7891.4636074733444</v>
      </c>
    </row>
    <row r="12" spans="1:6" x14ac:dyDescent="0.25">
      <c r="A12" s="33" t="s">
        <v>22</v>
      </c>
      <c r="B12" s="4">
        <f>B3/B8</f>
        <v>-5644.693961171115</v>
      </c>
      <c r="C12" s="4">
        <f>C3/C8</f>
        <v>-11646.236272133516</v>
      </c>
      <c r="D12" s="4">
        <f>D3/D8</f>
        <v>-19343.132112654264</v>
      </c>
      <c r="E12" s="4">
        <f>E3/E8</f>
        <v>-24610.150764218</v>
      </c>
      <c r="F12" s="4">
        <f>F3/F8</f>
        <v>-9251.7755558737281</v>
      </c>
    </row>
    <row r="13" spans="1:6" x14ac:dyDescent="0.25">
      <c r="A13" s="33" t="s">
        <v>23</v>
      </c>
      <c r="B13" s="4">
        <f>B4/B8</f>
        <v>76.991026554382842</v>
      </c>
      <c r="C13" s="4">
        <f>C4/C8</f>
        <v>1234.5087507447249</v>
      </c>
      <c r="D13" s="4">
        <f>D4/D8</f>
        <v>3637.9245984805139</v>
      </c>
      <c r="E13" s="4">
        <f>E4/E8</f>
        <v>5762.4179533968809</v>
      </c>
      <c r="F13" s="4">
        <f>F4/F8</f>
        <v>2521.8755325011421</v>
      </c>
    </row>
    <row r="14" spans="1:6" x14ac:dyDescent="0.25">
      <c r="A14" s="33" t="s">
        <v>24</v>
      </c>
      <c r="B14" s="4">
        <f>1/B8</f>
        <v>1190.6409440910634</v>
      </c>
      <c r="C14" s="4">
        <f t="shared" ref="C14:F14" si="3">1/C8</f>
        <v>2885.1839136831823</v>
      </c>
      <c r="D14" s="4">
        <f t="shared" si="3"/>
        <v>5310.7287595811213</v>
      </c>
      <c r="E14" s="4">
        <f t="shared" si="3"/>
        <v>7342.3960880195491</v>
      </c>
      <c r="F14" s="4">
        <f t="shared" si="3"/>
        <v>2956.5905093263673</v>
      </c>
    </row>
    <row r="15" spans="1:6" x14ac:dyDescent="0.25">
      <c r="A15" s="33" t="s">
        <v>4</v>
      </c>
      <c r="B15" s="4">
        <f t="shared" ref="B15:B20" si="4">SUM(B9:F9)</f>
        <v>255663.34679605294</v>
      </c>
      <c r="C15" s="4"/>
      <c r="D15" s="4"/>
      <c r="E15" s="4"/>
      <c r="F15" s="4"/>
    </row>
    <row r="16" spans="1:6" x14ac:dyDescent="0.25">
      <c r="A16" s="33" t="s">
        <v>3</v>
      </c>
      <c r="B16" s="4">
        <f t="shared" si="4"/>
        <v>9698.7347202673118</v>
      </c>
      <c r="C16" s="4"/>
      <c r="D16" s="4"/>
      <c r="E16" s="4"/>
      <c r="F16" s="4"/>
    </row>
    <row r="17" spans="1:6" x14ac:dyDescent="0.25">
      <c r="A17" s="33" t="s">
        <v>5</v>
      </c>
      <c r="B17" s="4">
        <f t="shared" si="4"/>
        <v>-45804.365884082101</v>
      </c>
      <c r="C17" s="4"/>
      <c r="D17" s="4"/>
      <c r="E17" s="4"/>
      <c r="F17" s="4"/>
    </row>
    <row r="18" spans="1:6" x14ac:dyDescent="0.25">
      <c r="A18" s="33" t="s">
        <v>19</v>
      </c>
      <c r="B18" s="26">
        <f t="shared" si="4"/>
        <v>-70495.988666050631</v>
      </c>
      <c r="C18" s="4"/>
      <c r="D18" s="4"/>
      <c r="E18" s="4"/>
      <c r="F18" s="4"/>
    </row>
    <row r="19" spans="1:6" x14ac:dyDescent="0.25">
      <c r="A19" s="33" t="s">
        <v>20</v>
      </c>
      <c r="B19" s="8">
        <f t="shared" si="4"/>
        <v>13233.717861677645</v>
      </c>
      <c r="C19" s="4"/>
      <c r="D19" s="4"/>
      <c r="E19" s="4"/>
      <c r="F19" s="4"/>
    </row>
    <row r="20" spans="1:6" x14ac:dyDescent="0.25">
      <c r="A20" s="33" t="s">
        <v>21</v>
      </c>
      <c r="B20" s="8">
        <f t="shared" si="4"/>
        <v>19685.540214701283</v>
      </c>
      <c r="C20" s="4"/>
      <c r="D20" s="4"/>
      <c r="E20" s="4"/>
      <c r="F20" s="4"/>
    </row>
    <row r="21" spans="1:6" x14ac:dyDescent="0.25">
      <c r="A21" s="34" t="s">
        <v>30</v>
      </c>
      <c r="B21" s="30">
        <f>Data!B17</f>
        <v>0</v>
      </c>
    </row>
    <row r="22" spans="1:6" x14ac:dyDescent="0.25">
      <c r="A22" s="34"/>
      <c r="B22" s="30"/>
    </row>
    <row r="23" spans="1:6" x14ac:dyDescent="0.25">
      <c r="A23" s="33" t="s">
        <v>8</v>
      </c>
      <c r="B23" s="6">
        <f>(B20*B17-B18*B19)/(B20*B15-B18^2)</f>
        <v>0.49441336941727654</v>
      </c>
    </row>
    <row r="24" spans="1:6" x14ac:dyDescent="0.25">
      <c r="A24" s="32" t="s">
        <v>9</v>
      </c>
      <c r="B24" s="6">
        <f>1/SQRT(B15)</f>
        <v>1.9777243701882673E-3</v>
      </c>
    </row>
    <row r="25" spans="1:6" x14ac:dyDescent="0.25">
      <c r="A25" s="35" t="s">
        <v>25</v>
      </c>
      <c r="B25" s="9">
        <f>(B19*B15-B18*B17)/(B20*B15-B18^2)</f>
        <v>2.4428020071580017</v>
      </c>
    </row>
    <row r="26" spans="1:6" x14ac:dyDescent="0.25">
      <c r="A26" s="34" t="s">
        <v>26</v>
      </c>
      <c r="B26" s="9">
        <f>1/SQRT(B20)</f>
        <v>7.1273212031742611E-3</v>
      </c>
    </row>
    <row r="27" spans="1:6" x14ac:dyDescent="0.25">
      <c r="A27" s="35" t="s">
        <v>27</v>
      </c>
      <c r="B27" s="9">
        <f>(B20*B17^2-2*B18*B19*B17+B19^2*B15)/(B18^2-B20*B15)+B16</f>
        <v>17.673036369114925</v>
      </c>
    </row>
    <row r="28" spans="1:6" x14ac:dyDescent="0.25">
      <c r="A28" s="36" t="s">
        <v>16</v>
      </c>
      <c r="B28" s="31">
        <f>B21-SQRT(2*B21)</f>
        <v>0</v>
      </c>
      <c r="C28" s="7">
        <f>B21+SQRT(2*B21)</f>
        <v>0</v>
      </c>
    </row>
    <row r="29" spans="1:6" x14ac:dyDescent="0.25">
      <c r="A29" s="38" t="s">
        <v>38</v>
      </c>
      <c r="B29" s="7">
        <f>1/B23</f>
        <v>2.0225990271634764</v>
      </c>
    </row>
    <row r="31" spans="1:6" x14ac:dyDescent="0.25">
      <c r="A31" s="61" t="s">
        <v>28</v>
      </c>
      <c r="B31" s="62"/>
      <c r="C31" s="62"/>
      <c r="D31" s="62"/>
      <c r="E31" s="62"/>
      <c r="F31" s="62"/>
    </row>
    <row r="32" spans="1:6" x14ac:dyDescent="0.25">
      <c r="A32" s="1" t="s">
        <v>41</v>
      </c>
      <c r="B32" s="4">
        <f>$B$23*B3+$B$25</f>
        <v>9.8844179634714369E-2</v>
      </c>
      <c r="C32" s="4">
        <f t="shared" ref="C32:F32" si="5">$B$23*C3+$B$25</f>
        <v>0.44706964187367326</v>
      </c>
      <c r="D32" s="4">
        <f t="shared" si="5"/>
        <v>0.64201278295834019</v>
      </c>
      <c r="E32" s="4">
        <f t="shared" si="5"/>
        <v>0.78563350040067625</v>
      </c>
      <c r="F32" s="4">
        <f t="shared" si="5"/>
        <v>0.89568159557482407</v>
      </c>
    </row>
    <row r="34" spans="1:6" x14ac:dyDescent="0.25">
      <c r="A34" s="57" t="s">
        <v>44</v>
      </c>
      <c r="B34" s="58"/>
      <c r="C34" s="58"/>
      <c r="D34" s="58"/>
      <c r="E34" s="58"/>
      <c r="F34" s="58"/>
    </row>
    <row r="35" spans="1:6" x14ac:dyDescent="0.25">
      <c r="A35" s="1" t="s">
        <v>45</v>
      </c>
      <c r="B35" s="49">
        <f>((B4-($B$23*B3+$B$25))/B5)^2</f>
        <v>1.3910471861848503</v>
      </c>
      <c r="C35" s="49">
        <f t="shared" ref="C35:F35" si="6">((C4-($B$23*C3+$B$25))/C5)^2</f>
        <v>1.0625905490975895</v>
      </c>
      <c r="D35" s="49">
        <f t="shared" si="6"/>
        <v>9.8201834625835716</v>
      </c>
      <c r="E35" s="49">
        <f t="shared" si="6"/>
        <v>4.9265723730143977E-3</v>
      </c>
      <c r="F35" s="49">
        <f t="shared" si="6"/>
        <v>5.3942885990210012</v>
      </c>
    </row>
    <row r="36" spans="1:6" ht="17.25" x14ac:dyDescent="0.25">
      <c r="A36" s="1" t="s">
        <v>46</v>
      </c>
      <c r="B36">
        <f>'1D'!B30</f>
        <v>0.78408357092719805</v>
      </c>
      <c r="C36">
        <f>'1D'!C30</f>
        <v>0.57908602061820913</v>
      </c>
      <c r="D36">
        <f>'1D'!D30</f>
        <v>10.265260656852309</v>
      </c>
      <c r="E36">
        <f>'1D'!E30</f>
        <v>2.4330022957593602E-3</v>
      </c>
      <c r="F36">
        <f>'1D'!F30</f>
        <v>5.8354879424794657</v>
      </c>
    </row>
  </sheetData>
  <mergeCells count="3">
    <mergeCell ref="A1:F1"/>
    <mergeCell ref="A31:F31"/>
    <mergeCell ref="A34:F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F755-956A-46C7-B449-E2621E33E390}">
  <dimension ref="A3:F27"/>
  <sheetViews>
    <sheetView workbookViewId="0">
      <selection activeCell="K33" sqref="K33"/>
    </sheetView>
  </sheetViews>
  <sheetFormatPr defaultRowHeight="15" x14ac:dyDescent="0.25"/>
  <cols>
    <col min="1" max="1" width="16.28515625" customWidth="1"/>
  </cols>
  <sheetData>
    <row r="3" spans="1:5" x14ac:dyDescent="0.25">
      <c r="A3" t="str">
        <f>'1D'!A3</f>
        <v>X</v>
      </c>
      <c r="B3">
        <f>'1D'!B3</f>
        <v>8.7309000000000015E-3</v>
      </c>
      <c r="C3">
        <f>'1D'!C3</f>
        <v>1.7658000000000004E-2</v>
      </c>
      <c r="D3">
        <f>'1D'!E3</f>
        <v>3.5021700000000003E-2</v>
      </c>
      <c r="E3">
        <f>'1D'!F3</f>
        <v>4.375260000000001E-2</v>
      </c>
    </row>
    <row r="4" spans="1:5" x14ac:dyDescent="0.25">
      <c r="A4" t="str">
        <f>'1D'!A4</f>
        <v>Y</v>
      </c>
      <c r="B4">
        <f>'1D'!B4</f>
        <v>1.13806224</v>
      </c>
      <c r="C4">
        <f>'1D'!C4</f>
        <v>2.3531560000000002</v>
      </c>
      <c r="D4">
        <f>'1D'!E4</f>
        <v>4.8048639999999985</v>
      </c>
      <c r="E4">
        <f>'1D'!F4</f>
        <v>5.5065315599999982</v>
      </c>
    </row>
    <row r="5" spans="1:5" x14ac:dyDescent="0.25">
      <c r="A5" t="str">
        <f>'1D'!A5</f>
        <v>Y_err</v>
      </c>
      <c r="B5">
        <f>'1D'!B5</f>
        <v>6.5963790415093579E-2</v>
      </c>
      <c r="C5">
        <f>'1D'!C5</f>
        <v>8.7618126745554137E-2</v>
      </c>
      <c r="D5">
        <f>'1D'!E5</f>
        <v>0.11214816987539303</v>
      </c>
      <c r="E5">
        <f>'1D'!F5</f>
        <v>0.20254080842376052</v>
      </c>
    </row>
    <row r="6" spans="1:5" x14ac:dyDescent="0.25">
      <c r="A6" t="str">
        <f>'1D'!A6</f>
        <v>X^2</v>
      </c>
      <c r="B6">
        <f>'1D'!B6</f>
        <v>7.6228614810000032E-5</v>
      </c>
      <c r="C6">
        <f>'1D'!C6</f>
        <v>3.118049640000001E-4</v>
      </c>
      <c r="D6">
        <f>'1D'!E6</f>
        <v>1.2265194708900003E-3</v>
      </c>
      <c r="E6">
        <f>'1D'!F6</f>
        <v>1.9142900067600009E-3</v>
      </c>
    </row>
    <row r="7" spans="1:5" x14ac:dyDescent="0.25">
      <c r="A7" t="str">
        <f>'1D'!A7</f>
        <v>Y^2</v>
      </c>
      <c r="B7">
        <f>'1D'!B7</f>
        <v>1.2951856621138176</v>
      </c>
      <c r="C7">
        <f>'1D'!C7</f>
        <v>5.5373431603360013</v>
      </c>
      <c r="D7">
        <f>'1D'!E7</f>
        <v>23.086718058495986</v>
      </c>
      <c r="E7">
        <f>'1D'!F7</f>
        <v>30.321889821276013</v>
      </c>
    </row>
    <row r="8" spans="1:5" x14ac:dyDescent="0.25">
      <c r="A8" t="str">
        <f>'1D'!A8</f>
        <v>(Y_err)^2</v>
      </c>
      <c r="B8">
        <f>'1D'!B8</f>
        <v>4.3512216459263911E-3</v>
      </c>
      <c r="C8">
        <f>'1D'!C8</f>
        <v>7.6769361343999891E-3</v>
      </c>
      <c r="D8">
        <f>'1D'!E8</f>
        <v>1.2577212006400012E-2</v>
      </c>
      <c r="E8">
        <f>'1D'!F8</f>
        <v>4.1022779076950455E-2</v>
      </c>
    </row>
    <row r="9" spans="1:5" x14ac:dyDescent="0.25">
      <c r="A9" t="str">
        <f>'1D'!A9</f>
        <v>X^2/(Y_err)^2</v>
      </c>
      <c r="B9">
        <f>'1D'!B9</f>
        <v>1.7518899521325276E-2</v>
      </c>
      <c r="C9">
        <f>'1D'!C9</f>
        <v>4.0615807991786823E-2</v>
      </c>
      <c r="D9">
        <f>'1D'!E9</f>
        <v>9.7519185513122969E-2</v>
      </c>
      <c r="E9">
        <f>'1D'!F9</f>
        <v>4.666407420056011E-2</v>
      </c>
    </row>
    <row r="10" spans="1:5" x14ac:dyDescent="0.25">
      <c r="A10" t="str">
        <f>'1D'!A10</f>
        <v>Y^2/(Y_err)^2</v>
      </c>
      <c r="B10">
        <f>'1D'!B10</f>
        <v>297.6602360227659</v>
      </c>
      <c r="C10">
        <f>'1D'!C10</f>
        <v>721.29597842079568</v>
      </c>
      <c r="D10">
        <f>'1D'!E10</f>
        <v>1835.5990220048873</v>
      </c>
      <c r="E10">
        <f>'1D'!F10</f>
        <v>739.14762733159216</v>
      </c>
    </row>
    <row r="11" spans="1:5" x14ac:dyDescent="0.25">
      <c r="A11" t="str">
        <f>'1D'!A11</f>
        <v>Y*X/(Y_err)^2</v>
      </c>
      <c r="B11">
        <f>'1D'!B11</f>
        <v>2.2835673334449331</v>
      </c>
      <c r="C11">
        <f>'1D'!C11</f>
        <v>5.4125796959293861</v>
      </c>
      <c r="D11">
        <f>'1D'!E11</f>
        <v>13.379316931540327</v>
      </c>
      <c r="E11">
        <f>'1D'!F11</f>
        <v>5.872958345414121</v>
      </c>
    </row>
    <row r="13" spans="1:5" x14ac:dyDescent="0.25">
      <c r="A13" t="str">
        <f>'1D'!A13</f>
        <v>Sxx</v>
      </c>
      <c r="B13" s="4">
        <f>SUM(B9:F9)</f>
        <v>0.20231796722679518</v>
      </c>
    </row>
    <row r="14" spans="1:5" x14ac:dyDescent="0.25">
      <c r="A14" t="str">
        <f>'1D'!A14</f>
        <v>Syy</v>
      </c>
      <c r="B14" s="4">
        <f>SUM(B10:F10)</f>
        <v>3593.7028637800408</v>
      </c>
    </row>
    <row r="15" spans="1:5" x14ac:dyDescent="0.25">
      <c r="A15" t="str">
        <f>'1D'!A15</f>
        <v>Sxy</v>
      </c>
      <c r="B15" s="4">
        <f>SUM(B11:F11)</f>
        <v>26.948422306328766</v>
      </c>
    </row>
    <row r="17" spans="1:6" x14ac:dyDescent="0.25">
      <c r="A17" t="str">
        <f>'1D'!A17</f>
        <v>A_best</v>
      </c>
      <c r="B17" s="11">
        <f>B15/B13</f>
        <v>133.19836431590883</v>
      </c>
      <c r="C17" s="12"/>
    </row>
    <row r="18" spans="1:6" x14ac:dyDescent="0.25">
      <c r="A18" t="str">
        <f>'1D'!A18</f>
        <v>sigma_A</v>
      </c>
      <c r="B18" s="7">
        <f>1/SQRT(B13)</f>
        <v>2.223221704202361</v>
      </c>
      <c r="C18" s="13"/>
    </row>
    <row r="19" spans="1:6" x14ac:dyDescent="0.25">
      <c r="A19" t="str">
        <f>'1D'!A19</f>
        <v>min_chi2</v>
      </c>
      <c r="B19" s="7">
        <f>B14  - ( (B15^2)/B13)</f>
        <v>4.2170916826976281</v>
      </c>
      <c r="C19" s="13"/>
    </row>
    <row r="20" spans="1:6" x14ac:dyDescent="0.25">
      <c r="A20" t="str">
        <f>'1D'!A20</f>
        <v>Good fit range</v>
      </c>
      <c r="B20" s="7">
        <f>COUNT(B3:Z3)-SQRT(2*COUNT(B3:Z3))</f>
        <v>1.1715728752538097</v>
      </c>
      <c r="C20" s="7">
        <f>COUNT(B3:Z3)+SQRT(2*COUNT(B3:Z3))</f>
        <v>6.8284271247461898</v>
      </c>
    </row>
    <row r="22" spans="1:6" x14ac:dyDescent="0.25">
      <c r="A22" t="str">
        <f>'1D'!A22</f>
        <v>DATA FOR PLOTTING</v>
      </c>
    </row>
    <row r="23" spans="1:6" x14ac:dyDescent="0.25">
      <c r="A23" t="str">
        <f>'1D'!A23</f>
        <v>X</v>
      </c>
      <c r="B23">
        <f>'1D'!B23</f>
        <v>8.7309000000000015E-3</v>
      </c>
      <c r="C23">
        <f>'1D'!C23</f>
        <v>1.7658000000000004E-2</v>
      </c>
      <c r="D23">
        <f>'1D'!E23</f>
        <v>3.5021700000000003E-2</v>
      </c>
      <c r="E23">
        <f>'1D'!F23</f>
        <v>4.375260000000001E-2</v>
      </c>
    </row>
    <row r="24" spans="1:6" x14ac:dyDescent="0.25">
      <c r="A24" t="str">
        <f>'1D'!A24</f>
        <v>Y</v>
      </c>
      <c r="B24">
        <f>'1D'!B24</f>
        <v>1.13806224</v>
      </c>
      <c r="C24">
        <f>'1D'!C24</f>
        <v>2.3531560000000002</v>
      </c>
      <c r="D24">
        <f>'1D'!E24</f>
        <v>4.8048639999999985</v>
      </c>
      <c r="E24">
        <f>'1D'!F24</f>
        <v>5.5065315599999982</v>
      </c>
    </row>
    <row r="25" spans="1:6" x14ac:dyDescent="0.25">
      <c r="A25" t="str">
        <f>'1D'!A25</f>
        <v>Y_err</v>
      </c>
      <c r="B25">
        <f>'1D'!B25</f>
        <v>6.5963790415093579E-2</v>
      </c>
      <c r="C25">
        <f>'1D'!C25</f>
        <v>8.7618126745554137E-2</v>
      </c>
      <c r="D25">
        <f>'1D'!E25</f>
        <v>0.11214816987539303</v>
      </c>
      <c r="E25">
        <f>'1D'!F25</f>
        <v>0.20254080842376052</v>
      </c>
    </row>
    <row r="26" spans="1:6" x14ac:dyDescent="0.25">
      <c r="A26" t="str">
        <f>'1D'!A26</f>
        <v>X</v>
      </c>
      <c r="B26">
        <f>'1D'!B26</f>
        <v>8.7309000000000015E-3</v>
      </c>
      <c r="C26">
        <f>'1D'!C26</f>
        <v>1.7658000000000004E-2</v>
      </c>
      <c r="D26">
        <f>'1D'!E26</f>
        <v>3.5021700000000003E-2</v>
      </c>
      <c r="E26">
        <f>'1D'!F26</f>
        <v>4.375260000000001E-2</v>
      </c>
    </row>
    <row r="27" spans="1:6" x14ac:dyDescent="0.25">
      <c r="A27" s="1" t="s">
        <v>42</v>
      </c>
      <c r="B27" s="8">
        <f>$B$17*B23</f>
        <v>1.1629415990057685</v>
      </c>
      <c r="C27" s="8">
        <f t="shared" ref="C27:E27" si="0">$B$17*C23</f>
        <v>2.3520167170903186</v>
      </c>
      <c r="D27" s="8">
        <f t="shared" si="0"/>
        <v>4.6648331555624649</v>
      </c>
      <c r="E27" s="8">
        <f t="shared" si="0"/>
        <v>5.8277747545682343</v>
      </c>
      <c r="F2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Data</vt:lpstr>
      <vt:lpstr>1D</vt:lpstr>
      <vt:lpstr>2D</vt:lpstr>
      <vt:lpstr>Opt model</vt:lpstr>
      <vt:lpstr>Revise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 Witkov</dc:creator>
  <cp:lastModifiedBy>Carey Witkov</cp:lastModifiedBy>
  <dcterms:created xsi:type="dcterms:W3CDTF">2021-12-23T00:11:28Z</dcterms:created>
  <dcterms:modified xsi:type="dcterms:W3CDTF">2022-01-08T18:42:06Z</dcterms:modified>
</cp:coreProperties>
</file>