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namedSheetViews/namedSheetView2.xml" ContentType="application/vnd.ms-excel.namedsheetview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namedSheetViews/namedSheetView3.xml" ContentType="application/vnd.ms-excel.namedsheetview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namedSheetViews/namedSheetView4.xml" ContentType="application/vnd.ms-excel.namedsheetview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dtm77_drexel_edu/Documents/ECES 450 Group 3/Classify Outputs/"/>
    </mc:Choice>
  </mc:AlternateContent>
  <xr:revisionPtr revIDLastSave="1621" documentId="11_E60897F41BE170836B02CE998F75CCDC64E183C8" xr6:coauthVersionLast="47" xr6:coauthVersionMax="47" xr10:uidLastSave="{ED165CDB-1327-414A-ABEE-27BB7EC00E48}"/>
  <bookViews>
    <workbookView xWindow="-96" yWindow="-96" windowWidth="23232" windowHeight="12552" tabRatio="398" xr2:uid="{00000000-000D-0000-FFFF-FFFF00000000}"/>
  </bookViews>
  <sheets>
    <sheet name="50%" sheetId="5" r:id="rId1"/>
    <sheet name="40%" sheetId="2" r:id="rId2"/>
    <sheet name="20%" sheetId="1" r:id="rId3"/>
    <sheet name="Original (ALL)" sheetId="6" r:id="rId4"/>
  </sheets>
  <definedNames>
    <definedName name="_xlnm._FilterDatabase" localSheetId="2" hidden="1">'20%'!$A$1:$F$151</definedName>
    <definedName name="_xlnm._FilterDatabase" localSheetId="1" hidden="1">'40%'!$A$1:$F$151</definedName>
    <definedName name="_xlnm._FilterDatabase" localSheetId="0" hidden="1">'50%'!$A$1:$F$151</definedName>
    <definedName name="_xlnm._FilterDatabase" localSheetId="3" hidden="1">'Original (ALL)'!$A$1:$F$151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F2" i="6"/>
  <c r="F3" i="6"/>
  <c r="F4" i="6"/>
  <c r="F5" i="6"/>
  <c r="F6" i="6"/>
  <c r="I49" i="6" s="1"/>
  <c r="U6" i="6"/>
  <c r="U22" i="6" s="1"/>
  <c r="F7" i="6"/>
  <c r="I7" i="6"/>
  <c r="J7" i="6"/>
  <c r="U7" i="6"/>
  <c r="F8" i="6"/>
  <c r="I8" i="6"/>
  <c r="J8" i="6"/>
  <c r="U8" i="6"/>
  <c r="F9" i="6"/>
  <c r="I9" i="6"/>
  <c r="J9" i="6"/>
  <c r="U9" i="6"/>
  <c r="F10" i="6"/>
  <c r="I10" i="6"/>
  <c r="J10" i="6"/>
  <c r="U10" i="6"/>
  <c r="F11" i="6"/>
  <c r="I11" i="6"/>
  <c r="J11" i="6"/>
  <c r="U11" i="6"/>
  <c r="F12" i="6"/>
  <c r="U12" i="6"/>
  <c r="F13" i="6"/>
  <c r="I59" i="6" s="1"/>
  <c r="U13" i="6"/>
  <c r="F14" i="6"/>
  <c r="I14" i="6"/>
  <c r="J14" i="6"/>
  <c r="U14" i="6"/>
  <c r="F15" i="6"/>
  <c r="I15" i="6"/>
  <c r="J15" i="6"/>
  <c r="U15" i="6"/>
  <c r="F16" i="6"/>
  <c r="I16" i="6"/>
  <c r="J16" i="6"/>
  <c r="U16" i="6"/>
  <c r="F17" i="6"/>
  <c r="I17" i="6"/>
  <c r="J17" i="6"/>
  <c r="U17" i="6"/>
  <c r="F18" i="6"/>
  <c r="I18" i="6"/>
  <c r="J18" i="6"/>
  <c r="U18" i="6"/>
  <c r="F19" i="6"/>
  <c r="U19" i="6"/>
  <c r="F20" i="6"/>
  <c r="U20" i="6"/>
  <c r="F21" i="6"/>
  <c r="I21" i="6"/>
  <c r="J21" i="6"/>
  <c r="F22" i="6"/>
  <c r="I22" i="6"/>
  <c r="J22" i="6"/>
  <c r="F23" i="6"/>
  <c r="I60" i="6" s="1"/>
  <c r="I23" i="6"/>
  <c r="J23" i="6"/>
  <c r="F24" i="6"/>
  <c r="I24" i="6"/>
  <c r="J24" i="6"/>
  <c r="F25" i="6"/>
  <c r="I25" i="6"/>
  <c r="J25" i="6"/>
  <c r="F26" i="6"/>
  <c r="F27" i="6"/>
  <c r="F28" i="6"/>
  <c r="I28" i="6"/>
  <c r="J28" i="6"/>
  <c r="F29" i="6"/>
  <c r="I29" i="6"/>
  <c r="J29" i="6"/>
  <c r="F30" i="6"/>
  <c r="I30" i="6"/>
  <c r="J30" i="6"/>
  <c r="F31" i="6"/>
  <c r="I55" i="6" s="1"/>
  <c r="I31" i="6"/>
  <c r="J31" i="6"/>
  <c r="F32" i="6"/>
  <c r="I32" i="6"/>
  <c r="J32" i="6"/>
  <c r="F33" i="6"/>
  <c r="F34" i="6"/>
  <c r="F35" i="6"/>
  <c r="I35" i="6"/>
  <c r="J35" i="6"/>
  <c r="F36" i="6"/>
  <c r="I36" i="6"/>
  <c r="J36" i="6"/>
  <c r="F37" i="6"/>
  <c r="I37" i="6"/>
  <c r="J37" i="6"/>
  <c r="F38" i="6"/>
  <c r="I38" i="6"/>
  <c r="J38" i="6"/>
  <c r="F39" i="6"/>
  <c r="I62" i="6" s="1"/>
  <c r="I39" i="6"/>
  <c r="J39" i="6"/>
  <c r="F40" i="6"/>
  <c r="F41" i="6"/>
  <c r="F42" i="6"/>
  <c r="F43" i="6"/>
  <c r="F44" i="6"/>
  <c r="I58" i="6" s="1"/>
  <c r="F45" i="6"/>
  <c r="I56" i="6" s="1"/>
  <c r="F46" i="6"/>
  <c r="F47" i="6"/>
  <c r="F48" i="6"/>
  <c r="F49" i="6"/>
  <c r="K49" i="6"/>
  <c r="L49" i="6"/>
  <c r="L50" i="6" s="1"/>
  <c r="F50" i="6"/>
  <c r="J58" i="6" s="1"/>
  <c r="K50" i="6"/>
  <c r="F51" i="6"/>
  <c r="F52" i="6"/>
  <c r="F53" i="6"/>
  <c r="F54" i="6"/>
  <c r="K54" i="6"/>
  <c r="L54" i="6"/>
  <c r="F55" i="6"/>
  <c r="J55" i="6"/>
  <c r="L55" i="6" s="1"/>
  <c r="F56" i="6"/>
  <c r="F57" i="6"/>
  <c r="J57" i="6"/>
  <c r="F58" i="6"/>
  <c r="F59" i="6"/>
  <c r="F60" i="6"/>
  <c r="F61" i="6"/>
  <c r="J61" i="6"/>
  <c r="F62" i="6"/>
  <c r="F63" i="6"/>
  <c r="F64" i="6"/>
  <c r="F65" i="6"/>
  <c r="F66" i="6"/>
  <c r="O66" i="6"/>
  <c r="F67" i="6"/>
  <c r="F68" i="6"/>
  <c r="F69" i="6"/>
  <c r="I64" i="6" s="1"/>
  <c r="F70" i="6"/>
  <c r="J65" i="6" s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I66" i="6" s="1"/>
  <c r="F94" i="6"/>
  <c r="F95" i="6"/>
  <c r="F96" i="6"/>
  <c r="F97" i="6"/>
  <c r="F98" i="6"/>
  <c r="F99" i="6"/>
  <c r="F100" i="6"/>
  <c r="J59" i="6" s="1"/>
  <c r="F101" i="6"/>
  <c r="F102" i="6"/>
  <c r="F103" i="6"/>
  <c r="F104" i="6"/>
  <c r="F105" i="6"/>
  <c r="F106" i="6"/>
  <c r="F107" i="6"/>
  <c r="F108" i="6"/>
  <c r="F109" i="6"/>
  <c r="J63" i="6" s="1"/>
  <c r="F110" i="6"/>
  <c r="F111" i="6"/>
  <c r="F112" i="6"/>
  <c r="F113" i="6"/>
  <c r="F114" i="6"/>
  <c r="F115" i="6"/>
  <c r="I57" i="6" s="1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02" i="5"/>
  <c r="F103" i="5"/>
  <c r="F52" i="5"/>
  <c r="F53" i="5"/>
  <c r="F2" i="5"/>
  <c r="U6" i="5"/>
  <c r="F3" i="5"/>
  <c r="I7" i="5"/>
  <c r="J7" i="5"/>
  <c r="U7" i="5"/>
  <c r="U22" i="5" s="1"/>
  <c r="F104" i="5"/>
  <c r="I8" i="5"/>
  <c r="J8" i="5"/>
  <c r="U8" i="5"/>
  <c r="F105" i="5"/>
  <c r="I9" i="5"/>
  <c r="J9" i="5"/>
  <c r="U9" i="5"/>
  <c r="F54" i="5"/>
  <c r="I10" i="5"/>
  <c r="J10" i="5"/>
  <c r="U10" i="5"/>
  <c r="F55" i="5"/>
  <c r="I11" i="5"/>
  <c r="J11" i="5"/>
  <c r="U11" i="5"/>
  <c r="F4" i="5"/>
  <c r="U12" i="5"/>
  <c r="F5" i="5"/>
  <c r="U13" i="5"/>
  <c r="F106" i="5"/>
  <c r="I14" i="5"/>
  <c r="J14" i="5"/>
  <c r="U14" i="5"/>
  <c r="F107" i="5"/>
  <c r="I15" i="5"/>
  <c r="J15" i="5"/>
  <c r="U15" i="5"/>
  <c r="F56" i="5"/>
  <c r="I16" i="5"/>
  <c r="J16" i="5"/>
  <c r="U16" i="5"/>
  <c r="F57" i="5"/>
  <c r="I17" i="5"/>
  <c r="J17" i="5"/>
  <c r="U17" i="5"/>
  <c r="F6" i="5"/>
  <c r="I18" i="5"/>
  <c r="J18" i="5"/>
  <c r="U18" i="5"/>
  <c r="F7" i="5"/>
  <c r="U19" i="5"/>
  <c r="F108" i="5"/>
  <c r="U20" i="5"/>
  <c r="F109" i="5"/>
  <c r="I21" i="5"/>
  <c r="J21" i="5"/>
  <c r="F58" i="5"/>
  <c r="I22" i="5"/>
  <c r="J22" i="5"/>
  <c r="F59" i="5"/>
  <c r="I23" i="5"/>
  <c r="J23" i="5"/>
  <c r="F8" i="5"/>
  <c r="I24" i="5"/>
  <c r="J24" i="5"/>
  <c r="F9" i="5"/>
  <c r="I25" i="5"/>
  <c r="J25" i="5"/>
  <c r="F110" i="5"/>
  <c r="F111" i="5"/>
  <c r="F60" i="5"/>
  <c r="I28" i="5"/>
  <c r="J28" i="5"/>
  <c r="F61" i="5"/>
  <c r="I29" i="5"/>
  <c r="J29" i="5"/>
  <c r="F10" i="5"/>
  <c r="I30" i="5"/>
  <c r="J30" i="5"/>
  <c r="F11" i="5"/>
  <c r="I31" i="5"/>
  <c r="J31" i="5"/>
  <c r="F112" i="5"/>
  <c r="I32" i="5"/>
  <c r="J32" i="5"/>
  <c r="F113" i="5"/>
  <c r="F62" i="5"/>
  <c r="F63" i="5"/>
  <c r="I35" i="5"/>
  <c r="J35" i="5"/>
  <c r="F12" i="5"/>
  <c r="I36" i="5"/>
  <c r="J36" i="5"/>
  <c r="F13" i="5"/>
  <c r="I37" i="5"/>
  <c r="J37" i="5"/>
  <c r="F114" i="5"/>
  <c r="I38" i="5"/>
  <c r="J38" i="5"/>
  <c r="F115" i="5"/>
  <c r="I39" i="5"/>
  <c r="J39" i="5"/>
  <c r="F64" i="5"/>
  <c r="F65" i="5"/>
  <c r="F14" i="5"/>
  <c r="F15" i="5"/>
  <c r="F116" i="5"/>
  <c r="F117" i="5"/>
  <c r="F66" i="5"/>
  <c r="F67" i="5"/>
  <c r="F16" i="5"/>
  <c r="F17" i="5"/>
  <c r="I56" i="5" s="1"/>
  <c r="K49" i="5"/>
  <c r="F118" i="5"/>
  <c r="K50" i="5"/>
  <c r="F119" i="5"/>
  <c r="F68" i="5"/>
  <c r="F69" i="5"/>
  <c r="F18" i="5"/>
  <c r="K54" i="5"/>
  <c r="L54" i="5"/>
  <c r="F19" i="5"/>
  <c r="F120" i="5"/>
  <c r="F121" i="5"/>
  <c r="F70" i="5"/>
  <c r="F71" i="5"/>
  <c r="F20" i="5"/>
  <c r="F21" i="5"/>
  <c r="F122" i="5"/>
  <c r="F123" i="5"/>
  <c r="F72" i="5"/>
  <c r="F73" i="5"/>
  <c r="F22" i="5"/>
  <c r="O66" i="5"/>
  <c r="F23" i="5"/>
  <c r="F124" i="5"/>
  <c r="F125" i="5"/>
  <c r="F74" i="5"/>
  <c r="F75" i="5"/>
  <c r="F24" i="5"/>
  <c r="F25" i="5"/>
  <c r="F126" i="5"/>
  <c r="F127" i="5"/>
  <c r="F76" i="5"/>
  <c r="F77" i="5"/>
  <c r="F26" i="5"/>
  <c r="F27" i="5"/>
  <c r="F128" i="5"/>
  <c r="F129" i="5"/>
  <c r="F78" i="5"/>
  <c r="F79" i="5"/>
  <c r="F28" i="5"/>
  <c r="F29" i="5"/>
  <c r="F130" i="5"/>
  <c r="F131" i="5"/>
  <c r="F80" i="5"/>
  <c r="F81" i="5"/>
  <c r="F30" i="5"/>
  <c r="F31" i="5"/>
  <c r="F132" i="5"/>
  <c r="F133" i="5"/>
  <c r="F82" i="5"/>
  <c r="F83" i="5"/>
  <c r="F32" i="5"/>
  <c r="F33" i="5"/>
  <c r="F134" i="5"/>
  <c r="F135" i="5"/>
  <c r="F84" i="5"/>
  <c r="F85" i="5"/>
  <c r="F34" i="5"/>
  <c r="F35" i="5"/>
  <c r="F136" i="5"/>
  <c r="F137" i="5"/>
  <c r="F86" i="5"/>
  <c r="F87" i="5"/>
  <c r="F36" i="5"/>
  <c r="F37" i="5"/>
  <c r="F138" i="5"/>
  <c r="F139" i="5"/>
  <c r="F88" i="5"/>
  <c r="F89" i="5"/>
  <c r="F38" i="5"/>
  <c r="F39" i="5"/>
  <c r="F140" i="5"/>
  <c r="F141" i="5"/>
  <c r="F90" i="5"/>
  <c r="F91" i="5"/>
  <c r="F40" i="5"/>
  <c r="F41" i="5"/>
  <c r="F142" i="5"/>
  <c r="F143" i="5"/>
  <c r="F92" i="5"/>
  <c r="F93" i="5"/>
  <c r="F42" i="5"/>
  <c r="F43" i="5"/>
  <c r="F144" i="5"/>
  <c r="F145" i="5"/>
  <c r="F94" i="5"/>
  <c r="F95" i="5"/>
  <c r="F44" i="5"/>
  <c r="F45" i="5"/>
  <c r="F146" i="5"/>
  <c r="F147" i="5"/>
  <c r="F96" i="5"/>
  <c r="F97" i="5"/>
  <c r="F46" i="5"/>
  <c r="F47" i="5"/>
  <c r="F148" i="5"/>
  <c r="F149" i="5"/>
  <c r="F98" i="5"/>
  <c r="F99" i="5"/>
  <c r="F48" i="5"/>
  <c r="F49" i="5"/>
  <c r="F150" i="5"/>
  <c r="F151" i="5"/>
  <c r="F100" i="5"/>
  <c r="F101" i="5"/>
  <c r="F50" i="5"/>
  <c r="F51" i="5"/>
  <c r="F2" i="2"/>
  <c r="F3" i="2"/>
  <c r="F4" i="2"/>
  <c r="F5" i="2"/>
  <c r="F6" i="2"/>
  <c r="U6" i="2"/>
  <c r="F7" i="2"/>
  <c r="I7" i="2"/>
  <c r="J7" i="2"/>
  <c r="U7" i="2"/>
  <c r="U22" i="2" s="1"/>
  <c r="F8" i="2"/>
  <c r="I8" i="2"/>
  <c r="J8" i="2"/>
  <c r="U8" i="2"/>
  <c r="F9" i="2"/>
  <c r="I9" i="2"/>
  <c r="J9" i="2"/>
  <c r="U9" i="2"/>
  <c r="F10" i="2"/>
  <c r="I10" i="2"/>
  <c r="J10" i="2"/>
  <c r="U10" i="2"/>
  <c r="F11" i="2"/>
  <c r="I11" i="2"/>
  <c r="J11" i="2"/>
  <c r="U11" i="2"/>
  <c r="F12" i="2"/>
  <c r="U12" i="2"/>
  <c r="F13" i="2"/>
  <c r="U13" i="2"/>
  <c r="F14" i="2"/>
  <c r="I14" i="2"/>
  <c r="J14" i="2"/>
  <c r="U14" i="2"/>
  <c r="F15" i="2"/>
  <c r="I15" i="2"/>
  <c r="J15" i="2"/>
  <c r="U15" i="2"/>
  <c r="F16" i="2"/>
  <c r="I16" i="2"/>
  <c r="J16" i="2"/>
  <c r="U16" i="2"/>
  <c r="F17" i="2"/>
  <c r="I17" i="2"/>
  <c r="J17" i="2"/>
  <c r="U17" i="2"/>
  <c r="F18" i="2"/>
  <c r="I18" i="2"/>
  <c r="J18" i="2"/>
  <c r="U18" i="2"/>
  <c r="F19" i="2"/>
  <c r="U19" i="2"/>
  <c r="F20" i="2"/>
  <c r="U20" i="2"/>
  <c r="F21" i="2"/>
  <c r="I21" i="2"/>
  <c r="J21" i="2"/>
  <c r="F22" i="2"/>
  <c r="I22" i="2"/>
  <c r="J22" i="2"/>
  <c r="F23" i="2"/>
  <c r="I23" i="2"/>
  <c r="J23" i="2"/>
  <c r="F24" i="2"/>
  <c r="I24" i="2"/>
  <c r="J24" i="2"/>
  <c r="F25" i="2"/>
  <c r="I25" i="2"/>
  <c r="J25" i="2"/>
  <c r="F26" i="2"/>
  <c r="F27" i="2"/>
  <c r="F28" i="2"/>
  <c r="I28" i="2"/>
  <c r="J28" i="2"/>
  <c r="F29" i="2"/>
  <c r="I29" i="2"/>
  <c r="J29" i="2"/>
  <c r="F30" i="2"/>
  <c r="I30" i="2"/>
  <c r="J30" i="2"/>
  <c r="F31" i="2"/>
  <c r="I31" i="2"/>
  <c r="J31" i="2"/>
  <c r="F32" i="2"/>
  <c r="I32" i="2"/>
  <c r="J32" i="2"/>
  <c r="F33" i="2"/>
  <c r="F34" i="2"/>
  <c r="F35" i="2"/>
  <c r="I35" i="2"/>
  <c r="J35" i="2"/>
  <c r="F36" i="2"/>
  <c r="I36" i="2"/>
  <c r="J36" i="2"/>
  <c r="F37" i="2"/>
  <c r="I37" i="2"/>
  <c r="J37" i="2"/>
  <c r="F38" i="2"/>
  <c r="I38" i="2"/>
  <c r="J38" i="2"/>
  <c r="F39" i="2"/>
  <c r="I39" i="2"/>
  <c r="J39" i="2"/>
  <c r="F40" i="2"/>
  <c r="F41" i="2"/>
  <c r="F42" i="2"/>
  <c r="J56" i="2" s="1"/>
  <c r="F43" i="2"/>
  <c r="F44" i="2"/>
  <c r="F45" i="2"/>
  <c r="F46" i="2"/>
  <c r="F47" i="2"/>
  <c r="F48" i="2"/>
  <c r="F49" i="2"/>
  <c r="K49" i="2"/>
  <c r="F50" i="2"/>
  <c r="K50" i="2"/>
  <c r="F51" i="2"/>
  <c r="F52" i="2"/>
  <c r="F53" i="2"/>
  <c r="F54" i="2"/>
  <c r="K54" i="2"/>
  <c r="L54" i="2"/>
  <c r="F55" i="2"/>
  <c r="F56" i="2"/>
  <c r="F57" i="2"/>
  <c r="F58" i="2"/>
  <c r="F59" i="2"/>
  <c r="F60" i="2"/>
  <c r="F61" i="2"/>
  <c r="F62" i="2"/>
  <c r="F63" i="2"/>
  <c r="F64" i="2"/>
  <c r="F65" i="2"/>
  <c r="F66" i="2"/>
  <c r="O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J66" i="2" s="1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K50" i="1"/>
  <c r="K49" i="1"/>
  <c r="L54" i="1"/>
  <c r="K54" i="1"/>
  <c r="U6" i="1"/>
  <c r="U7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J39" i="1"/>
  <c r="J38" i="1"/>
  <c r="J37" i="1"/>
  <c r="J36" i="1"/>
  <c r="I39" i="1"/>
  <c r="I38" i="1"/>
  <c r="I37" i="1"/>
  <c r="I36" i="1"/>
  <c r="J35" i="1"/>
  <c r="I35" i="1"/>
  <c r="J32" i="1"/>
  <c r="J31" i="1"/>
  <c r="J30" i="1"/>
  <c r="J29" i="1"/>
  <c r="I32" i="1"/>
  <c r="I31" i="1"/>
  <c r="I30" i="1"/>
  <c r="I29" i="1"/>
  <c r="J28" i="1"/>
  <c r="I28" i="1"/>
  <c r="J25" i="1"/>
  <c r="J24" i="1"/>
  <c r="J23" i="1"/>
  <c r="J22" i="1"/>
  <c r="I25" i="1"/>
  <c r="I24" i="1"/>
  <c r="I23" i="1"/>
  <c r="I22" i="1"/>
  <c r="J21" i="1"/>
  <c r="I21" i="1"/>
  <c r="J18" i="1"/>
  <c r="J17" i="1"/>
  <c r="J16" i="1"/>
  <c r="J15" i="1"/>
  <c r="I18" i="1"/>
  <c r="I17" i="1"/>
  <c r="I16" i="1"/>
  <c r="I15" i="1"/>
  <c r="J14" i="1"/>
  <c r="I14" i="1"/>
  <c r="I10" i="1"/>
  <c r="J10" i="1"/>
  <c r="J7" i="1"/>
  <c r="I7" i="1"/>
  <c r="J11" i="1"/>
  <c r="I11" i="1"/>
  <c r="J9" i="1"/>
  <c r="I9" i="1"/>
  <c r="J8" i="1"/>
  <c r="I8" i="1"/>
  <c r="J59" i="2" l="1"/>
  <c r="J65" i="2"/>
  <c r="J64" i="2"/>
  <c r="I60" i="2"/>
  <c r="I55" i="2"/>
  <c r="I59" i="2"/>
  <c r="J58" i="2"/>
  <c r="I63" i="2"/>
  <c r="I56" i="2"/>
  <c r="J57" i="2"/>
  <c r="I61" i="2"/>
  <c r="I64" i="2"/>
  <c r="I62" i="2"/>
  <c r="J60" i="5"/>
  <c r="J66" i="5"/>
  <c r="J65" i="5"/>
  <c r="J64" i="5"/>
  <c r="I64" i="5"/>
  <c r="I59" i="5"/>
  <c r="J61" i="5"/>
  <c r="I65" i="5"/>
  <c r="J58" i="5"/>
  <c r="I62" i="5"/>
  <c r="J56" i="5"/>
  <c r="I55" i="5"/>
  <c r="J57" i="5"/>
  <c r="I60" i="5"/>
  <c r="I63" i="5"/>
  <c r="J59" i="5"/>
  <c r="I61" i="5"/>
  <c r="I57" i="5"/>
  <c r="K59" i="5" s="1"/>
  <c r="I57" i="2"/>
  <c r="I65" i="2"/>
  <c r="J60" i="2"/>
  <c r="I58" i="2"/>
  <c r="J61" i="2"/>
  <c r="I66" i="2"/>
  <c r="J62" i="2"/>
  <c r="J55" i="2"/>
  <c r="L55" i="2" s="1"/>
  <c r="J63" i="2"/>
  <c r="I58" i="5"/>
  <c r="I66" i="5"/>
  <c r="J55" i="5"/>
  <c r="J62" i="5"/>
  <c r="J63" i="5"/>
  <c r="L49" i="2"/>
  <c r="L50" i="2" s="1"/>
  <c r="K55" i="6"/>
  <c r="K58" i="6"/>
  <c r="K60" i="6"/>
  <c r="K56" i="6"/>
  <c r="K57" i="6"/>
  <c r="K59" i="6"/>
  <c r="J66" i="6"/>
  <c r="J64" i="6"/>
  <c r="J60" i="6"/>
  <c r="I50" i="6"/>
  <c r="J56" i="6"/>
  <c r="L60" i="6" s="1"/>
  <c r="I65" i="6"/>
  <c r="J62" i="6"/>
  <c r="I63" i="6"/>
  <c r="I61" i="6"/>
  <c r="K66" i="6" s="1"/>
  <c r="L49" i="5"/>
  <c r="L50" i="5" s="1"/>
  <c r="I49" i="5"/>
  <c r="I50" i="5"/>
  <c r="I49" i="2"/>
  <c r="K55" i="2"/>
  <c r="I50" i="2"/>
  <c r="F4" i="1"/>
  <c r="F92" i="1"/>
  <c r="F84" i="1"/>
  <c r="F52" i="1"/>
  <c r="F139" i="1"/>
  <c r="F131" i="1"/>
  <c r="F123" i="1"/>
  <c r="F107" i="1"/>
  <c r="F75" i="1"/>
  <c r="F67" i="1"/>
  <c r="F59" i="1"/>
  <c r="F43" i="1"/>
  <c r="F11" i="1"/>
  <c r="L49" i="1"/>
  <c r="L50" i="1" s="1"/>
  <c r="U22" i="1"/>
  <c r="F28" i="1" s="1"/>
  <c r="K56" i="2" l="1"/>
  <c r="K57" i="2"/>
  <c r="K58" i="5"/>
  <c r="K60" i="5"/>
  <c r="K58" i="2"/>
  <c r="K65" i="2"/>
  <c r="M66" i="6"/>
  <c r="M54" i="6"/>
  <c r="N60" i="6"/>
  <c r="K64" i="6"/>
  <c r="M64" i="6" s="1"/>
  <c r="L62" i="6"/>
  <c r="K65" i="6"/>
  <c r="M65" i="6" s="1"/>
  <c r="K62" i="6"/>
  <c r="M62" i="6" s="1"/>
  <c r="L59" i="6"/>
  <c r="K63" i="6"/>
  <c r="M63" i="6" s="1"/>
  <c r="L56" i="6"/>
  <c r="N56" i="6" s="1"/>
  <c r="L64" i="6"/>
  <c r="N64" i="6" s="1"/>
  <c r="K61" i="6"/>
  <c r="M61" i="6" s="1"/>
  <c r="M58" i="6"/>
  <c r="L61" i="6"/>
  <c r="L63" i="6"/>
  <c r="N63" i="6" s="1"/>
  <c r="M60" i="6"/>
  <c r="L57" i="6"/>
  <c r="L65" i="6"/>
  <c r="N65" i="6" s="1"/>
  <c r="M59" i="6"/>
  <c r="M55" i="6"/>
  <c r="L58" i="6"/>
  <c r="L66" i="6"/>
  <c r="M57" i="6"/>
  <c r="M56" i="6"/>
  <c r="K65" i="5"/>
  <c r="K57" i="5"/>
  <c r="K64" i="5"/>
  <c r="K56" i="5"/>
  <c r="K63" i="5"/>
  <c r="K55" i="5"/>
  <c r="K62" i="5"/>
  <c r="K61" i="5"/>
  <c r="K66" i="5"/>
  <c r="L55" i="5"/>
  <c r="L56" i="5"/>
  <c r="L57" i="5"/>
  <c r="L58" i="5"/>
  <c r="L59" i="5"/>
  <c r="L60" i="5"/>
  <c r="L61" i="5"/>
  <c r="L62" i="5"/>
  <c r="L63" i="5"/>
  <c r="L64" i="5"/>
  <c r="L65" i="5"/>
  <c r="L66" i="5"/>
  <c r="L62" i="2"/>
  <c r="K64" i="2"/>
  <c r="L61" i="2"/>
  <c r="K63" i="2"/>
  <c r="L60" i="2"/>
  <c r="K62" i="2"/>
  <c r="L59" i="2"/>
  <c r="K61" i="2"/>
  <c r="L66" i="2"/>
  <c r="N55" i="2" s="1"/>
  <c r="L58" i="2"/>
  <c r="K60" i="2"/>
  <c r="L65" i="2"/>
  <c r="L57" i="2"/>
  <c r="K59" i="2"/>
  <c r="L64" i="2"/>
  <c r="L56" i="2"/>
  <c r="K66" i="2"/>
  <c r="L63" i="2"/>
  <c r="F19" i="1"/>
  <c r="F83" i="1"/>
  <c r="F147" i="1"/>
  <c r="F20" i="1"/>
  <c r="F27" i="1"/>
  <c r="F91" i="1"/>
  <c r="F12" i="1"/>
  <c r="F3" i="1"/>
  <c r="F5" i="1"/>
  <c r="F15" i="1"/>
  <c r="F25" i="1"/>
  <c r="F37" i="1"/>
  <c r="F47" i="1"/>
  <c r="F57" i="1"/>
  <c r="F69" i="1"/>
  <c r="F79" i="1"/>
  <c r="F89" i="1"/>
  <c r="F100" i="1"/>
  <c r="F109" i="1"/>
  <c r="F118" i="1"/>
  <c r="F127" i="1"/>
  <c r="F136" i="1"/>
  <c r="F145" i="1"/>
  <c r="F9" i="1"/>
  <c r="F31" i="1"/>
  <c r="F63" i="1"/>
  <c r="F104" i="1"/>
  <c r="F122" i="1"/>
  <c r="F150" i="1"/>
  <c r="F151" i="1"/>
  <c r="F13" i="1"/>
  <c r="F23" i="1"/>
  <c r="F33" i="1"/>
  <c r="F45" i="1"/>
  <c r="F55" i="1"/>
  <c r="F65" i="1"/>
  <c r="F87" i="1"/>
  <c r="F97" i="1"/>
  <c r="F116" i="1"/>
  <c r="F125" i="1"/>
  <c r="F143" i="1"/>
  <c r="F34" i="1"/>
  <c r="F56" i="1"/>
  <c r="F78" i="1"/>
  <c r="F117" i="1"/>
  <c r="F144" i="1"/>
  <c r="F6" i="1"/>
  <c r="F16" i="1"/>
  <c r="F26" i="1"/>
  <c r="F38" i="1"/>
  <c r="F48" i="1"/>
  <c r="F58" i="1"/>
  <c r="F70" i="1"/>
  <c r="F80" i="1"/>
  <c r="F90" i="1"/>
  <c r="F101" i="1"/>
  <c r="F110" i="1"/>
  <c r="F119" i="1"/>
  <c r="F128" i="1"/>
  <c r="F137" i="1"/>
  <c r="F146" i="1"/>
  <c r="F85" i="1"/>
  <c r="F141" i="1"/>
  <c r="F77" i="1"/>
  <c r="F106" i="1"/>
  <c r="F134" i="1"/>
  <c r="F2" i="1"/>
  <c r="F14" i="1"/>
  <c r="F24" i="1"/>
  <c r="F46" i="1"/>
  <c r="F66" i="1"/>
  <c r="F88" i="1"/>
  <c r="F108" i="1"/>
  <c r="F135" i="1"/>
  <c r="F7" i="1"/>
  <c r="F17" i="1"/>
  <c r="F29" i="1"/>
  <c r="F39" i="1"/>
  <c r="F49" i="1"/>
  <c r="F61" i="1"/>
  <c r="F71" i="1"/>
  <c r="F81" i="1"/>
  <c r="F93" i="1"/>
  <c r="F102" i="1"/>
  <c r="F111" i="1"/>
  <c r="F120" i="1"/>
  <c r="F129" i="1"/>
  <c r="F138" i="1"/>
  <c r="F148" i="1"/>
  <c r="F21" i="1"/>
  <c r="F41" i="1"/>
  <c r="F53" i="1"/>
  <c r="F73" i="1"/>
  <c r="F95" i="1"/>
  <c r="F113" i="1"/>
  <c r="F132" i="1"/>
  <c r="F105" i="1"/>
  <c r="F133" i="1"/>
  <c r="F98" i="1"/>
  <c r="F126" i="1"/>
  <c r="F8" i="1"/>
  <c r="F18" i="1"/>
  <c r="F30" i="1"/>
  <c r="F40" i="1"/>
  <c r="F50" i="1"/>
  <c r="F62" i="1"/>
  <c r="F72" i="1"/>
  <c r="F82" i="1"/>
  <c r="F94" i="1"/>
  <c r="F103" i="1"/>
  <c r="F112" i="1"/>
  <c r="F121" i="1"/>
  <c r="F130" i="1"/>
  <c r="F140" i="1"/>
  <c r="F149" i="1"/>
  <c r="F10" i="1"/>
  <c r="F22" i="1"/>
  <c r="F32" i="1"/>
  <c r="F42" i="1"/>
  <c r="F54" i="1"/>
  <c r="F64" i="1"/>
  <c r="F74" i="1"/>
  <c r="F86" i="1"/>
  <c r="F96" i="1"/>
  <c r="F114" i="1"/>
  <c r="F124" i="1"/>
  <c r="F142" i="1"/>
  <c r="F35" i="1"/>
  <c r="F99" i="1"/>
  <c r="F36" i="1"/>
  <c r="F44" i="1"/>
  <c r="F60" i="1"/>
  <c r="F51" i="1"/>
  <c r="F115" i="1"/>
  <c r="F68" i="1"/>
  <c r="F76" i="1"/>
  <c r="M57" i="2" l="1"/>
  <c r="M58" i="5"/>
  <c r="N65" i="2"/>
  <c r="N63" i="2"/>
  <c r="N57" i="2"/>
  <c r="N60" i="2"/>
  <c r="N59" i="5"/>
  <c r="M58" i="2"/>
  <c r="M65" i="2"/>
  <c r="M55" i="2"/>
  <c r="N56" i="2"/>
  <c r="M61" i="2"/>
  <c r="I60" i="1"/>
  <c r="J60" i="1"/>
  <c r="J65" i="1"/>
  <c r="I65" i="1"/>
  <c r="J56" i="1"/>
  <c r="I56" i="1"/>
  <c r="I59" i="1"/>
  <c r="J59" i="1"/>
  <c r="J61" i="1"/>
  <c r="I61" i="1"/>
  <c r="J63" i="1"/>
  <c r="I63" i="1"/>
  <c r="J55" i="1"/>
  <c r="J66" i="1"/>
  <c r="I66" i="1"/>
  <c r="J62" i="1"/>
  <c r="I62" i="1"/>
  <c r="I57" i="1"/>
  <c r="J57" i="1"/>
  <c r="J58" i="1"/>
  <c r="I58" i="1"/>
  <c r="J64" i="1"/>
  <c r="I64" i="1"/>
  <c r="M64" i="5"/>
  <c r="M57" i="5"/>
  <c r="N57" i="6"/>
  <c r="O56" i="6" s="1"/>
  <c r="O62" i="6"/>
  <c r="O55" i="6"/>
  <c r="O58" i="6"/>
  <c r="N59" i="6"/>
  <c r="N66" i="6"/>
  <c r="O65" i="6" s="1"/>
  <c r="N55" i="6"/>
  <c r="M74" i="6" s="1"/>
  <c r="N54" i="6"/>
  <c r="N61" i="6"/>
  <c r="O60" i="6" s="1"/>
  <c r="O64" i="6"/>
  <c r="N58" i="6"/>
  <c r="O57" i="6" s="1"/>
  <c r="N62" i="6"/>
  <c r="O61" i="6" s="1"/>
  <c r="O59" i="6"/>
  <c r="O63" i="6"/>
  <c r="M55" i="5"/>
  <c r="M63" i="5"/>
  <c r="M56" i="5"/>
  <c r="M66" i="5"/>
  <c r="M54" i="5"/>
  <c r="M65" i="5"/>
  <c r="M61" i="5"/>
  <c r="M60" i="5"/>
  <c r="N60" i="5"/>
  <c r="M62" i="5"/>
  <c r="M59" i="5"/>
  <c r="N66" i="5"/>
  <c r="N54" i="5"/>
  <c r="N58" i="5"/>
  <c r="N65" i="5"/>
  <c r="N57" i="5"/>
  <c r="N64" i="5"/>
  <c r="N56" i="5"/>
  <c r="N63" i="5"/>
  <c r="N55" i="5"/>
  <c r="N62" i="5"/>
  <c r="N61" i="5"/>
  <c r="M64" i="2"/>
  <c r="M59" i="2"/>
  <c r="M62" i="2"/>
  <c r="M60" i="2"/>
  <c r="M63" i="2"/>
  <c r="N58" i="2"/>
  <c r="N61" i="2"/>
  <c r="M66" i="2"/>
  <c r="M54" i="2"/>
  <c r="N66" i="2"/>
  <c r="N54" i="2"/>
  <c r="M56" i="2"/>
  <c r="N64" i="2"/>
  <c r="N59" i="2"/>
  <c r="N62" i="2"/>
  <c r="I50" i="1"/>
  <c r="I49" i="1"/>
  <c r="O66" i="1"/>
  <c r="O56" i="2" l="1"/>
  <c r="O59" i="2"/>
  <c r="O57" i="5"/>
  <c r="O57" i="2"/>
  <c r="O63" i="2"/>
  <c r="O58" i="2"/>
  <c r="O55" i="2"/>
  <c r="O63" i="5"/>
  <c r="O58" i="5"/>
  <c r="O62" i="5"/>
  <c r="O56" i="5"/>
  <c r="O54" i="6"/>
  <c r="O54" i="5"/>
  <c r="O65" i="5"/>
  <c r="O55" i="5"/>
  <c r="O64" i="5"/>
  <c r="O61" i="5"/>
  <c r="O60" i="5"/>
  <c r="O59" i="5"/>
  <c r="M74" i="5"/>
  <c r="O65" i="2"/>
  <c r="O61" i="2"/>
  <c r="O60" i="2"/>
  <c r="O62" i="2"/>
  <c r="O64" i="2"/>
  <c r="M74" i="2"/>
  <c r="O54" i="2"/>
  <c r="K59" i="1"/>
  <c r="L59" i="1"/>
  <c r="L55" i="1"/>
  <c r="L60" i="1"/>
  <c r="L66" i="1"/>
  <c r="L58" i="1"/>
  <c r="L63" i="1"/>
  <c r="L64" i="1"/>
  <c r="L56" i="1"/>
  <c r="L61" i="1"/>
  <c r="L65" i="1"/>
  <c r="L62" i="1"/>
  <c r="K55" i="1"/>
  <c r="K58" i="1"/>
  <c r="K66" i="1"/>
  <c r="K63" i="1"/>
  <c r="K61" i="1"/>
  <c r="K57" i="1"/>
  <c r="K64" i="1"/>
  <c r="K62" i="1"/>
  <c r="K60" i="1"/>
  <c r="K65" i="1"/>
  <c r="K56" i="1"/>
  <c r="L57" i="1"/>
  <c r="N61" i="1" l="1"/>
  <c r="M59" i="1"/>
  <c r="N59" i="1"/>
  <c r="N62" i="1"/>
  <c r="M61" i="1"/>
  <c r="M63" i="1"/>
  <c r="M56" i="1"/>
  <c r="M65" i="1"/>
  <c r="N60" i="1"/>
  <c r="N65" i="1"/>
  <c r="N57" i="1"/>
  <c r="N56" i="1"/>
  <c r="N64" i="1"/>
  <c r="N63" i="1"/>
  <c r="N58" i="1"/>
  <c r="N55" i="1"/>
  <c r="M66" i="1"/>
  <c r="M54" i="1"/>
  <c r="M62" i="1"/>
  <c r="M55" i="1"/>
  <c r="M60" i="1"/>
  <c r="M64" i="1"/>
  <c r="N66" i="1"/>
  <c r="N54" i="1"/>
  <c r="M58" i="1"/>
  <c r="M57" i="1"/>
  <c r="V23" i="1" l="1"/>
  <c r="O61" i="1"/>
  <c r="O63" i="1"/>
  <c r="O59" i="1"/>
  <c r="O57" i="1"/>
  <c r="O56" i="1"/>
  <c r="O58" i="1"/>
  <c r="O54" i="1"/>
  <c r="O65" i="1"/>
  <c r="O64" i="1"/>
  <c r="O62" i="1"/>
  <c r="O55" i="1"/>
  <c r="O60" i="1"/>
</calcChain>
</file>

<file path=xl/sharedStrings.xml><?xml version="1.0" encoding="utf-8"?>
<sst xmlns="http://schemas.openxmlformats.org/spreadsheetml/2006/main" count="1556" uniqueCount="59">
  <si>
    <t>Taxonomic Level</t>
  </si>
  <si>
    <t>Trial #</t>
  </si>
  <si>
    <t>Train %</t>
  </si>
  <si>
    <t>Average Value</t>
  </si>
  <si>
    <t>Understanding log probabilites and Bayes by a professor</t>
  </si>
  <si>
    <t>Kingdom</t>
  </si>
  <si>
    <t>Near</t>
  </si>
  <si>
    <t>chrome-extension://efaidnbmnnnibpcajpcglclefindmkaj/https://www.cs.rhodes.edu/~kirlinp/courses/ai/f18/projects/proj3/naive-bayes-log-probs.pdf</t>
  </si>
  <si>
    <t>Far</t>
  </si>
  <si>
    <t>Phylum</t>
  </si>
  <si>
    <t xml:space="preserve">Class </t>
  </si>
  <si>
    <t>Order</t>
  </si>
  <si>
    <t>Family</t>
  </si>
  <si>
    <t>Class</t>
  </si>
  <si>
    <t>Far / Near</t>
  </si>
  <si>
    <t>Graphs for 50% trials</t>
  </si>
  <si>
    <t>Average</t>
  </si>
  <si>
    <t>Label</t>
  </si>
  <si>
    <t>Family (All)</t>
  </si>
  <si>
    <t>Order (All)</t>
  </si>
  <si>
    <t>Class (All)</t>
  </si>
  <si>
    <t>Phylum (All)</t>
  </si>
  <si>
    <t>Kindom (All)</t>
  </si>
  <si>
    <t>Family (50%)</t>
  </si>
  <si>
    <t>Order (50%)</t>
  </si>
  <si>
    <t>Class (50%)</t>
  </si>
  <si>
    <t>Phylum (50%)</t>
  </si>
  <si>
    <t>Kindom (50%)</t>
  </si>
  <si>
    <t>Near/Far Dif</t>
  </si>
  <si>
    <t>Near/Far Thresh</t>
  </si>
  <si>
    <t>True Positive</t>
  </si>
  <si>
    <t>True Negative</t>
  </si>
  <si>
    <t>False Positive</t>
  </si>
  <si>
    <t>Positive</t>
  </si>
  <si>
    <t>Positive/Negative</t>
  </si>
  <si>
    <t>Positives</t>
  </si>
  <si>
    <t>Negatives</t>
  </si>
  <si>
    <t>Max</t>
  </si>
  <si>
    <t>Min</t>
  </si>
  <si>
    <t>Bins</t>
  </si>
  <si>
    <t>Postitive</t>
  </si>
  <si>
    <t>Negative</t>
  </si>
  <si>
    <t>Cumulative</t>
  </si>
  <si>
    <t>Correctly Predicted</t>
  </si>
  <si>
    <t>False Positive Rate</t>
  </si>
  <si>
    <t>True Positive Rate</t>
  </si>
  <si>
    <t>AUC</t>
  </si>
  <si>
    <t>&gt; -403</t>
  </si>
  <si>
    <t>-403 - -405</t>
  </si>
  <si>
    <t>-405 - -407</t>
  </si>
  <si>
    <t>-407- -409</t>
  </si>
  <si>
    <t>-411 - -413</t>
  </si>
  <si>
    <t>-413 - -415</t>
  </si>
  <si>
    <t>-415 - -417</t>
  </si>
  <si>
    <t>-417 - -419</t>
  </si>
  <si>
    <t>-419 - -421</t>
  </si>
  <si>
    <t>-421 - -423</t>
  </si>
  <si>
    <t>&lt; -423</t>
  </si>
  <si>
    <t>-409 - -411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</si>
</sst>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left"/>
    </xf>
    <xf numFmtId="9" fontId="0" fillId="0" borderId="4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9" fontId="0" fillId="0" borderId="6" xfId="0" applyNumberFormat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27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2" xfId="0" applyBorder="1"/>
    <xf numFmtId="49" fontId="0" fillId="0" borderId="37" xfId="0" applyNumberForma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49" fontId="0" fillId="0" borderId="0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F126E378-74EF-4421-87B8-833C5133EC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layout>
        <c:manualLayout>
          <c:xMode val="edge"/>
          <c:yMode val="edge"/>
          <c:x val="0.40949300087489071"/>
          <c:y val="2.560763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'50%'!$H$7:$H$11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'50%'!$I$7:$I$11</c:f>
              <c:numCache>
                <c:formatCode>General</c:formatCode>
                <c:ptCount val="5"/>
                <c:pt idx="0">
                  <c:v>-407.67148799999899</c:v>
                </c:pt>
                <c:pt idx="1">
                  <c:v>-418.05220600000001</c:v>
                </c:pt>
                <c:pt idx="2">
                  <c:v>-404.36680000000001</c:v>
                </c:pt>
                <c:pt idx="3">
                  <c:v>-419.78301399999998</c:v>
                </c:pt>
                <c:pt idx="4">
                  <c:v>-415.91119300000003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E7E-A932-C1DC0227A7A1}"/>
            </c:ext>
          </c:extLst>
        </c:ser>
        <c:ser>
          <c:idx val="1"/>
          <c:order val="1"/>
          <c:tx>
            <c:v>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'50%'!$H$7:$H$11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'50%'!$J$7:$J$11</c:f>
              <c:numCache>
                <c:formatCode>General</c:formatCode>
                <c:ptCount val="5"/>
                <c:pt idx="0">
                  <c:v>-410.61978099999999</c:v>
                </c:pt>
                <c:pt idx="1">
                  <c:v>-421.29773499999902</c:v>
                </c:pt>
                <c:pt idx="2">
                  <c:v>-407.79607700000003</c:v>
                </c:pt>
                <c:pt idx="3">
                  <c:v>-415.817429</c:v>
                </c:pt>
                <c:pt idx="4">
                  <c:v>-422.84276699999998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3-4E7E-A932-C1DC0227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143"/>
        <c:axId val="5085191"/>
      </c:lineChart>
      <c:catAx>
        <c:axId val="5083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91"/>
        <c:crosses val="autoZero"/>
        <c:auto val="1"/>
        <c:lblAlgn val="ctr"/>
        <c:lblOffset val="100"/>
        <c:noMultiLvlLbl val="0"/>
      </c:catAx>
      <c:valAx>
        <c:axId val="508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'40%'!$I$20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'40%'!$H$21:$H$25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'40%'!$I$21:$I$25</c:f>
              <c:numCache>
                <c:formatCode>General</c:formatCode>
                <c:ptCount val="5"/>
                <c:pt idx="0">
                  <c:v>-407.67148799999899</c:v>
                </c:pt>
                <c:pt idx="1">
                  <c:v>-404.19278800000001</c:v>
                </c:pt>
                <c:pt idx="2">
                  <c:v>-414.96102100000002</c:v>
                </c:pt>
                <c:pt idx="3">
                  <c:v>-418.05220600000001</c:v>
                </c:pt>
                <c:pt idx="4">
                  <c:v>-419.52521400000001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90B-8279-B79383AFBFE7}"/>
            </c:ext>
          </c:extLst>
        </c:ser>
        <c:ser>
          <c:idx val="1"/>
          <c:order val="1"/>
          <c:tx>
            <c:strRef>
              <c:f>'40%'!$J$20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'40%'!$H$21:$H$25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'40%'!$J$21:$J$25</c:f>
              <c:numCache>
                <c:formatCode>General</c:formatCode>
                <c:ptCount val="5"/>
                <c:pt idx="0">
                  <c:v>-410.61978099999999</c:v>
                </c:pt>
                <c:pt idx="1">
                  <c:v>-407.48606999999998</c:v>
                </c:pt>
                <c:pt idx="2">
                  <c:v>-421.18398100000002</c:v>
                </c:pt>
                <c:pt idx="3">
                  <c:v>-421.29773499999902</c:v>
                </c:pt>
                <c:pt idx="4">
                  <c:v>-415.583394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9-490B-8279-B79383AF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62887"/>
        <c:axId val="111164935"/>
      </c:lineChart>
      <c:catAx>
        <c:axId val="11116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935"/>
        <c:crosses val="autoZero"/>
        <c:auto val="1"/>
        <c:lblAlgn val="ctr"/>
        <c:lblOffset val="100"/>
        <c:noMultiLvlLbl val="0"/>
      </c:catAx>
      <c:valAx>
        <c:axId val="11116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'40%'!$I$27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'40%'!$H$28:$H$32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'40%'!$I$28:$I$32</c:f>
              <c:numCache>
                <c:formatCode>General</c:formatCode>
                <c:ptCount val="5"/>
                <c:pt idx="0">
                  <c:v>-411.50027899999901</c:v>
                </c:pt>
                <c:pt idx="1">
                  <c:v>-396.17139111776402</c:v>
                </c:pt>
                <c:pt idx="2">
                  <c:v>-419.16714400000001</c:v>
                </c:pt>
                <c:pt idx="3">
                  <c:v>-405.56886600000001</c:v>
                </c:pt>
                <c:pt idx="4">
                  <c:v>-418.43720299999899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2-4039-BEB6-EF4F3FA5EE05}"/>
            </c:ext>
          </c:extLst>
        </c:ser>
        <c:ser>
          <c:idx val="1"/>
          <c:order val="1"/>
          <c:tx>
            <c:strRef>
              <c:f>'40%'!$J$27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'40%'!$H$28:$H$32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'40%'!$J$28:$J$32</c:f>
              <c:numCache>
                <c:formatCode>General</c:formatCode>
                <c:ptCount val="5"/>
                <c:pt idx="0">
                  <c:v>-412.38958200000002</c:v>
                </c:pt>
                <c:pt idx="1">
                  <c:v>-407.41758350100503</c:v>
                </c:pt>
                <c:pt idx="2">
                  <c:v>-420.73586799999998</c:v>
                </c:pt>
                <c:pt idx="3">
                  <c:v>-416.371116999999</c:v>
                </c:pt>
                <c:pt idx="4">
                  <c:v>-419.79411099999999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2-4039-BEB6-EF4F3FA5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58663"/>
        <c:axId val="325960711"/>
      </c:lineChart>
      <c:catAx>
        <c:axId val="32595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0711"/>
        <c:crosses val="autoZero"/>
        <c:auto val="1"/>
        <c:lblAlgn val="ctr"/>
        <c:lblOffset val="100"/>
        <c:noMultiLvlLbl val="0"/>
      </c:catAx>
      <c:valAx>
        <c:axId val="32596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'40%'!$I$34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'40%'!$H$35:$H$39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'40%'!$I$35:$I$39</c:f>
              <c:numCache>
                <c:formatCode>General</c:formatCode>
                <c:ptCount val="5"/>
                <c:pt idx="0">
                  <c:v>-394.819296047904</c:v>
                </c:pt>
                <c:pt idx="1">
                  <c:v>-408.15661299999903</c:v>
                </c:pt>
                <c:pt idx="2">
                  <c:v>-419.62926700000003</c:v>
                </c:pt>
                <c:pt idx="3">
                  <c:v>-406.13552800000002</c:v>
                </c:pt>
                <c:pt idx="4">
                  <c:v>-409.99116199999997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A-46B1-8289-EB3BD67E1EFF}"/>
            </c:ext>
          </c:extLst>
        </c:ser>
        <c:ser>
          <c:idx val="1"/>
          <c:order val="1"/>
          <c:tx>
            <c:strRef>
              <c:f>'40%'!$J$34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'40%'!$H$35:$H$39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'40%'!$J$35:$J$39</c:f>
              <c:numCache>
                <c:formatCode>General</c:formatCode>
                <c:ptCount val="5"/>
                <c:pt idx="0">
                  <c:v>-413.39908600000001</c:v>
                </c:pt>
                <c:pt idx="1">
                  <c:v>-414.65309600000001</c:v>
                </c:pt>
                <c:pt idx="2">
                  <c:v>-420.29445399999901</c:v>
                </c:pt>
                <c:pt idx="3">
                  <c:v>-406.00706400000001</c:v>
                </c:pt>
                <c:pt idx="4">
                  <c:v>-417.65571555555499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A-46B1-8289-EB3BD67E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11687"/>
        <c:axId val="627913735"/>
      </c:lineChart>
      <c:catAx>
        <c:axId val="62791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3735"/>
        <c:crosses val="autoZero"/>
        <c:auto val="1"/>
        <c:lblAlgn val="ctr"/>
        <c:lblOffset val="100"/>
        <c:noMultiLvlLbl val="0"/>
      </c:catAx>
      <c:valAx>
        <c:axId val="62791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12</c:v>
              </c:pt>
              <c:pt idx="2">
                <c:v>10</c:v>
              </c:pt>
              <c:pt idx="3">
                <c:v>13</c:v>
              </c:pt>
              <c:pt idx="4">
                <c:v>11</c:v>
              </c:pt>
              <c:pt idx="5">
                <c:v>10</c:v>
              </c:pt>
              <c:pt idx="6">
                <c:v>10</c:v>
              </c:pt>
              <c:pt idx="7">
                <c:v>3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D89-4106-930C-DBC9F3096323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8</c:v>
              </c:pt>
              <c:pt idx="1">
                <c:v>1</c:v>
              </c:pt>
              <c:pt idx="2">
                <c:v>21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12</c:v>
              </c:pt>
              <c:pt idx="7">
                <c:v>5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CD89-4106-930C-DBC9F309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48144"/>
        <c:axId val="970744128"/>
      </c:barChart>
      <c:catAx>
        <c:axId val="8278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44128"/>
        <c:crosses val="autoZero"/>
        <c:auto val="1"/>
        <c:lblAlgn val="ctr"/>
        <c:lblOffset val="100"/>
        <c:noMultiLvlLbl val="0"/>
      </c:catAx>
      <c:valAx>
        <c:axId val="970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40%, Threshold = -407.8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6239660140277E-2"/>
          <c:y val="9.5102544901565736E-2"/>
          <c:w val="0.8619589421737931"/>
          <c:h val="0.79104284453001317"/>
        </c:manualLayout>
      </c:layout>
      <c:scatterChart>
        <c:scatterStyle val="lineMarker"/>
        <c:varyColors val="0"/>
        <c:ser>
          <c:idx val="1"/>
          <c:order val="0"/>
          <c:tx>
            <c:v>Baseline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'40%'!$L$69:$L$70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'40%'!$M$69:$M$70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7-4D4E-B3B1-3A3B6194F5B7}"/>
            </c:ext>
          </c:extLst>
        </c:ser>
        <c:ser>
          <c:idx val="0"/>
          <c:order val="1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'40%'!$M$54:$M$66</c:f>
              <c:numCache>
                <c:formatCode>General</c:formatCode>
                <c:ptCount val="13"/>
                <c:pt idx="0">
                  <c:v>1</c:v>
                </c:pt>
                <c:pt idx="1">
                  <c:v>0.9285714285714286</c:v>
                </c:pt>
                <c:pt idx="2">
                  <c:v>0.8928571428571429</c:v>
                </c:pt>
                <c:pt idx="3">
                  <c:v>0.7857142857142857</c:v>
                </c:pt>
                <c:pt idx="4">
                  <c:v>0.75</c:v>
                </c:pt>
                <c:pt idx="5">
                  <c:v>0.64285714285714279</c:v>
                </c:pt>
                <c:pt idx="6">
                  <c:v>0.5714285714285714</c:v>
                </c:pt>
                <c:pt idx="7">
                  <c:v>0.4642857142857143</c:v>
                </c:pt>
                <c:pt idx="8">
                  <c:v>0.3571428571428571</c:v>
                </c:pt>
                <c:pt idx="9">
                  <c:v>0.3214285714285714</c:v>
                </c:pt>
                <c:pt idx="10">
                  <c:v>0.2142857142857143</c:v>
                </c:pt>
                <c:pt idx="11">
                  <c:v>7.1428571428571397E-2</c:v>
                </c:pt>
                <c:pt idx="12">
                  <c:v>0</c:v>
                </c:pt>
              </c:numCache>
            </c:numRef>
          </c:xVal>
          <c:yVal>
            <c:numRef>
              <c:f>'40%'!$N$54:$N$66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0.90909090909090906</c:v>
                </c:pt>
                <c:pt idx="4">
                  <c:v>0.77272727272727271</c:v>
                </c:pt>
                <c:pt idx="5">
                  <c:v>0.72727272727272729</c:v>
                </c:pt>
                <c:pt idx="6">
                  <c:v>0.63636363636363635</c:v>
                </c:pt>
                <c:pt idx="7">
                  <c:v>0.54545454545454541</c:v>
                </c:pt>
                <c:pt idx="8">
                  <c:v>0.45454545454545459</c:v>
                </c:pt>
                <c:pt idx="9">
                  <c:v>0.31818181818181823</c:v>
                </c:pt>
                <c:pt idx="10">
                  <c:v>0.13636363636363635</c:v>
                </c:pt>
                <c:pt idx="11">
                  <c:v>0.13636363636363635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7-4D4E-B3B1-3A3B6194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6632"/>
        <c:axId val="1010427272"/>
      </c:scatterChart>
      <c:valAx>
        <c:axId val="1010436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(1</a:t>
                </a:r>
                <a:r>
                  <a:rPr lang="en-US" baseline="0"/>
                  <a:t> - Specificity)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27272"/>
        <c:crosses val="autoZero"/>
        <c:crossBetween val="midCat"/>
      </c:valAx>
      <c:valAx>
        <c:axId val="1010427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79287310587086"/>
          <c:y val="0.13120489981730268"/>
          <c:w val="0.1505470612989199"/>
          <c:h val="8.6539049759933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layout>
        <c:manualLayout>
          <c:xMode val="edge"/>
          <c:yMode val="edge"/>
          <c:x val="0.40949300087489071"/>
          <c:y val="2.560763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'20%'!$H$7:$H$11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'20%'!$I$7:$I$11</c:f>
              <c:numCache>
                <c:formatCode>General</c:formatCode>
                <c:ptCount val="5"/>
                <c:pt idx="0">
                  <c:v>-413.78227199999998</c:v>
                </c:pt>
                <c:pt idx="1">
                  <c:v>-418.45319699999902</c:v>
                </c:pt>
                <c:pt idx="2">
                  <c:v>-406.64960100000002</c:v>
                </c:pt>
                <c:pt idx="3">
                  <c:v>-424.45169299999901</c:v>
                </c:pt>
                <c:pt idx="4">
                  <c:v>-423.91091499999999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7-4ED1-B49D-F44C062CF29D}"/>
            </c:ext>
          </c:extLst>
        </c:ser>
        <c:ser>
          <c:idx val="1"/>
          <c:order val="1"/>
          <c:tx>
            <c:v>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'20%'!$H$7:$H$11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'20%'!$J$7:$J$11</c:f>
              <c:numCache>
                <c:formatCode>General</c:formatCode>
                <c:ptCount val="5"/>
                <c:pt idx="0">
                  <c:v>-414.59568599999898</c:v>
                </c:pt>
                <c:pt idx="1">
                  <c:v>-411.47698599999899</c:v>
                </c:pt>
                <c:pt idx="2">
                  <c:v>-409.57085599999999</c:v>
                </c:pt>
                <c:pt idx="3">
                  <c:v>-419.16707400000001</c:v>
                </c:pt>
                <c:pt idx="4">
                  <c:v>-424.73098499999998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7-4ED1-B49D-F44C062C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143"/>
        <c:axId val="5085191"/>
      </c:lineChart>
      <c:catAx>
        <c:axId val="5083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91"/>
        <c:crosses val="autoZero"/>
        <c:auto val="1"/>
        <c:lblAlgn val="ctr"/>
        <c:lblOffset val="100"/>
        <c:noMultiLvlLbl val="0"/>
      </c:catAx>
      <c:valAx>
        <c:axId val="508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'20%'!$I$13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'20%'!$H$14:$H$18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'20%'!$I$14:$I$18</c:f>
              <c:numCache>
                <c:formatCode>General</c:formatCode>
                <c:ptCount val="5"/>
                <c:pt idx="0">
                  <c:v>-410.75902899999897</c:v>
                </c:pt>
                <c:pt idx="1">
                  <c:v>-414.43664799999902</c:v>
                </c:pt>
                <c:pt idx="2">
                  <c:v>-420.01772099999903</c:v>
                </c:pt>
                <c:pt idx="3">
                  <c:v>-415.51702199999897</c:v>
                </c:pt>
                <c:pt idx="4">
                  <c:v>-424.86690599999901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6-46F1-95C2-5EE8EBC5C3D4}"/>
            </c:ext>
          </c:extLst>
        </c:ser>
        <c:ser>
          <c:idx val="1"/>
          <c:order val="1"/>
          <c:tx>
            <c:strRef>
              <c:f>'20%'!$J$13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'20%'!$H$14:$H$18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'20%'!$J$14:$J$18</c:f>
              <c:numCache>
                <c:formatCode>General</c:formatCode>
                <c:ptCount val="5"/>
                <c:pt idx="0">
                  <c:v>-416.38969799999899</c:v>
                </c:pt>
                <c:pt idx="1">
                  <c:v>-404.95466699999997</c:v>
                </c:pt>
                <c:pt idx="2">
                  <c:v>-422.18893999999898</c:v>
                </c:pt>
                <c:pt idx="3">
                  <c:v>-408.87715500000002</c:v>
                </c:pt>
                <c:pt idx="4">
                  <c:v>-425.32193399999898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6-46F1-95C2-5EE8EBC5C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511"/>
        <c:axId val="4379655"/>
      </c:lineChart>
      <c:catAx>
        <c:axId val="4373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55"/>
        <c:crosses val="autoZero"/>
        <c:auto val="1"/>
        <c:lblAlgn val="ctr"/>
        <c:lblOffset val="100"/>
        <c:noMultiLvlLbl val="0"/>
      </c:catAx>
      <c:valAx>
        <c:axId val="437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'20%'!$I$20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'20%'!$H$21:$H$25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'20%'!$I$21:$I$25</c:f>
              <c:numCache>
                <c:formatCode>General</c:formatCode>
                <c:ptCount val="5"/>
                <c:pt idx="0">
                  <c:v>-407.67148799999899</c:v>
                </c:pt>
                <c:pt idx="1">
                  <c:v>-404.19278800000001</c:v>
                </c:pt>
                <c:pt idx="2">
                  <c:v>-414.96102100000002</c:v>
                </c:pt>
                <c:pt idx="3">
                  <c:v>-418.05220600000001</c:v>
                </c:pt>
                <c:pt idx="4">
                  <c:v>-419.52521400000001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E-42F9-A8F8-6A9B792494A9}"/>
            </c:ext>
          </c:extLst>
        </c:ser>
        <c:ser>
          <c:idx val="1"/>
          <c:order val="1"/>
          <c:tx>
            <c:strRef>
              <c:f>'20%'!$J$20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'20%'!$H$21:$H$25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'20%'!$J$21:$J$25</c:f>
              <c:numCache>
                <c:formatCode>General</c:formatCode>
                <c:ptCount val="5"/>
                <c:pt idx="0">
                  <c:v>-410.61978099999999</c:v>
                </c:pt>
                <c:pt idx="1">
                  <c:v>-407.48606999999998</c:v>
                </c:pt>
                <c:pt idx="2">
                  <c:v>-421.18398100000002</c:v>
                </c:pt>
                <c:pt idx="3">
                  <c:v>-421.29773499999902</c:v>
                </c:pt>
                <c:pt idx="4">
                  <c:v>-415.583394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E-42F9-A8F8-6A9B7924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62887"/>
        <c:axId val="111164935"/>
      </c:lineChart>
      <c:catAx>
        <c:axId val="11116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935"/>
        <c:crosses val="autoZero"/>
        <c:auto val="1"/>
        <c:lblAlgn val="ctr"/>
        <c:lblOffset val="100"/>
        <c:noMultiLvlLbl val="0"/>
      </c:catAx>
      <c:valAx>
        <c:axId val="11116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'20%'!$I$27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'20%'!$H$28:$H$32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'20%'!$I$28:$I$32</c:f>
              <c:numCache>
                <c:formatCode>General</c:formatCode>
                <c:ptCount val="5"/>
                <c:pt idx="0">
                  <c:v>-411.50027899999901</c:v>
                </c:pt>
                <c:pt idx="1">
                  <c:v>-396.17139111776402</c:v>
                </c:pt>
                <c:pt idx="2">
                  <c:v>-419.16714400000001</c:v>
                </c:pt>
                <c:pt idx="3">
                  <c:v>-405.56886600000001</c:v>
                </c:pt>
                <c:pt idx="4">
                  <c:v>-418.43720299999899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F-4424-BA13-335DC169CE49}"/>
            </c:ext>
          </c:extLst>
        </c:ser>
        <c:ser>
          <c:idx val="1"/>
          <c:order val="1"/>
          <c:tx>
            <c:strRef>
              <c:f>'20%'!$J$27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'20%'!$H$28:$H$32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'20%'!$J$28:$J$32</c:f>
              <c:numCache>
                <c:formatCode>General</c:formatCode>
                <c:ptCount val="5"/>
                <c:pt idx="0">
                  <c:v>-412.38958200000002</c:v>
                </c:pt>
                <c:pt idx="1">
                  <c:v>-407.41758350100503</c:v>
                </c:pt>
                <c:pt idx="2">
                  <c:v>-420.73586799999998</c:v>
                </c:pt>
                <c:pt idx="3">
                  <c:v>-416.371116999999</c:v>
                </c:pt>
                <c:pt idx="4">
                  <c:v>-419.79411099999999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F-4424-BA13-335DC169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58663"/>
        <c:axId val="325960711"/>
      </c:lineChart>
      <c:catAx>
        <c:axId val="32595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0711"/>
        <c:crosses val="autoZero"/>
        <c:auto val="1"/>
        <c:lblAlgn val="ctr"/>
        <c:lblOffset val="100"/>
        <c:noMultiLvlLbl val="0"/>
      </c:catAx>
      <c:valAx>
        <c:axId val="32596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'20%'!$I$34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'20%'!$H$35:$H$39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'20%'!$I$35:$I$39</c:f>
              <c:numCache>
                <c:formatCode>General</c:formatCode>
                <c:ptCount val="5"/>
                <c:pt idx="0">
                  <c:v>-394.819296047904</c:v>
                </c:pt>
                <c:pt idx="1">
                  <c:v>-408.15661299999903</c:v>
                </c:pt>
                <c:pt idx="2">
                  <c:v>-419.62926700000003</c:v>
                </c:pt>
                <c:pt idx="3">
                  <c:v>-406.13552800000002</c:v>
                </c:pt>
                <c:pt idx="4">
                  <c:v>-409.99116199999997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9-401C-9515-06B67C3E9648}"/>
            </c:ext>
          </c:extLst>
        </c:ser>
        <c:ser>
          <c:idx val="1"/>
          <c:order val="1"/>
          <c:tx>
            <c:strRef>
              <c:f>'20%'!$J$34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'20%'!$H$35:$H$39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'20%'!$J$35:$J$39</c:f>
              <c:numCache>
                <c:formatCode>General</c:formatCode>
                <c:ptCount val="5"/>
                <c:pt idx="0">
                  <c:v>-413.39908600000001</c:v>
                </c:pt>
                <c:pt idx="1">
                  <c:v>-414.65309600000001</c:v>
                </c:pt>
                <c:pt idx="2">
                  <c:v>-420.29445399999901</c:v>
                </c:pt>
                <c:pt idx="3">
                  <c:v>-406.00706400000001</c:v>
                </c:pt>
                <c:pt idx="4">
                  <c:v>-417.65571555555499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9-401C-9515-06B67C3E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11687"/>
        <c:axId val="627913735"/>
      </c:lineChart>
      <c:catAx>
        <c:axId val="62791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3735"/>
        <c:crosses val="autoZero"/>
        <c:auto val="1"/>
        <c:lblAlgn val="ctr"/>
        <c:lblOffset val="100"/>
        <c:noMultiLvlLbl val="0"/>
      </c:catAx>
      <c:valAx>
        <c:axId val="62791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'50%'!$I$13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'50%'!$H$14:$H$18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'50%'!$I$14:$I$18</c:f>
              <c:numCache>
                <c:formatCode>General</c:formatCode>
                <c:ptCount val="5"/>
                <c:pt idx="0">
                  <c:v>-418.45319699999902</c:v>
                </c:pt>
                <c:pt idx="1">
                  <c:v>-423.91091499999999</c:v>
                </c:pt>
                <c:pt idx="2">
                  <c:v>-406.76716299999998</c:v>
                </c:pt>
                <c:pt idx="3">
                  <c:v>-414.48324300000002</c:v>
                </c:pt>
                <c:pt idx="4">
                  <c:v>-425.12276800000001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7-4560-8C3B-707840E918B3}"/>
            </c:ext>
          </c:extLst>
        </c:ser>
        <c:ser>
          <c:idx val="1"/>
          <c:order val="1"/>
          <c:tx>
            <c:strRef>
              <c:f>'50%'!$J$13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'50%'!$H$14:$H$18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'50%'!$J$14:$J$18</c:f>
              <c:numCache>
                <c:formatCode>General</c:formatCode>
                <c:ptCount val="5"/>
                <c:pt idx="0">
                  <c:v>-411.47698599999899</c:v>
                </c:pt>
                <c:pt idx="1">
                  <c:v>-424.73098499999998</c:v>
                </c:pt>
                <c:pt idx="2">
                  <c:v>-409.771413</c:v>
                </c:pt>
                <c:pt idx="3">
                  <c:v>-416.073070999999</c:v>
                </c:pt>
                <c:pt idx="4">
                  <c:v>-420.75463399999899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7-4560-8C3B-707840E9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511"/>
        <c:axId val="4379655"/>
      </c:lineChart>
      <c:catAx>
        <c:axId val="4373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55"/>
        <c:crosses val="autoZero"/>
        <c:auto val="1"/>
        <c:lblAlgn val="ctr"/>
        <c:lblOffset val="100"/>
        <c:noMultiLvlLbl val="0"/>
      </c:catAx>
      <c:valAx>
        <c:axId val="437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12</c:v>
              </c:pt>
              <c:pt idx="2">
                <c:v>10</c:v>
              </c:pt>
              <c:pt idx="3">
                <c:v>13</c:v>
              </c:pt>
              <c:pt idx="4">
                <c:v>11</c:v>
              </c:pt>
              <c:pt idx="5">
                <c:v>10</c:v>
              </c:pt>
              <c:pt idx="6">
                <c:v>10</c:v>
              </c:pt>
              <c:pt idx="7">
                <c:v>3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11A-4D2F-9AFC-82DAC09C71F9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8</c:v>
              </c:pt>
              <c:pt idx="1">
                <c:v>1</c:v>
              </c:pt>
              <c:pt idx="2">
                <c:v>21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12</c:v>
              </c:pt>
              <c:pt idx="7">
                <c:v>5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2-F11A-4D2F-9AFC-82DAC09C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48144"/>
        <c:axId val="970744128"/>
      </c:barChart>
      <c:catAx>
        <c:axId val="8278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44128"/>
        <c:crosses val="autoZero"/>
        <c:auto val="1"/>
        <c:lblAlgn val="ctr"/>
        <c:lblOffset val="100"/>
        <c:noMultiLvlLbl val="0"/>
      </c:catAx>
      <c:valAx>
        <c:axId val="970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20%, Threshold = -407.7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6239660140277E-2"/>
          <c:y val="9.5102544901565736E-2"/>
          <c:w val="0.8619589421737931"/>
          <c:h val="0.79104284453001317"/>
        </c:manualLayout>
      </c:layout>
      <c:scatterChart>
        <c:scatterStyle val="lineMarker"/>
        <c:varyColors val="0"/>
        <c:ser>
          <c:idx val="1"/>
          <c:order val="0"/>
          <c:tx>
            <c:v>Baseline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'20%'!$L$69:$L$70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'20%'!$M$69:$M$70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3-41AA-8EE6-297E7C9DC99B}"/>
            </c:ext>
          </c:extLst>
        </c:ser>
        <c:ser>
          <c:idx val="0"/>
          <c:order val="1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'20%'!$M$54:$M$66</c:f>
              <c:numCache>
                <c:formatCode>General</c:formatCode>
                <c:ptCount val="13"/>
                <c:pt idx="0">
                  <c:v>1</c:v>
                </c:pt>
                <c:pt idx="1">
                  <c:v>0.93103448275862066</c:v>
                </c:pt>
                <c:pt idx="2">
                  <c:v>0.89655172413793105</c:v>
                </c:pt>
                <c:pt idx="3">
                  <c:v>0.86206896551724133</c:v>
                </c:pt>
                <c:pt idx="4">
                  <c:v>0.72413793103448276</c:v>
                </c:pt>
                <c:pt idx="5">
                  <c:v>0.65517241379310343</c:v>
                </c:pt>
                <c:pt idx="6">
                  <c:v>0.5862068965517242</c:v>
                </c:pt>
                <c:pt idx="7">
                  <c:v>0.51724137931034475</c:v>
                </c:pt>
                <c:pt idx="8">
                  <c:v>0.37931034482758619</c:v>
                </c:pt>
                <c:pt idx="9">
                  <c:v>0.31034482758620685</c:v>
                </c:pt>
                <c:pt idx="10">
                  <c:v>0.24137931034482762</c:v>
                </c:pt>
                <c:pt idx="11">
                  <c:v>6.8965517241379337E-2</c:v>
                </c:pt>
                <c:pt idx="12">
                  <c:v>0</c:v>
                </c:pt>
              </c:numCache>
            </c:numRef>
          </c:xVal>
          <c:yVal>
            <c:numRef>
              <c:f>'20%'!$N$54:$N$66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0.85714285714285721</c:v>
                </c:pt>
                <c:pt idx="5">
                  <c:v>0.76190476190476186</c:v>
                </c:pt>
                <c:pt idx="6">
                  <c:v>0.66666666666666674</c:v>
                </c:pt>
                <c:pt idx="7">
                  <c:v>0.61904761904761907</c:v>
                </c:pt>
                <c:pt idx="8">
                  <c:v>0.47619047619047616</c:v>
                </c:pt>
                <c:pt idx="9">
                  <c:v>0.47619047619047616</c:v>
                </c:pt>
                <c:pt idx="10">
                  <c:v>0.1428571428571429</c:v>
                </c:pt>
                <c:pt idx="11">
                  <c:v>0.1428571428571429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A-4B4F-B3E7-9E9D83FA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6632"/>
        <c:axId val="1010427272"/>
      </c:scatterChart>
      <c:valAx>
        <c:axId val="1010436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(1</a:t>
                </a:r>
                <a:r>
                  <a:rPr lang="en-US" baseline="0"/>
                  <a:t> - Specificity)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27272"/>
        <c:crosses val="autoZero"/>
        <c:crossBetween val="midCat"/>
      </c:valAx>
      <c:valAx>
        <c:axId val="1010427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79287310587086"/>
          <c:y val="0.13120489981730268"/>
          <c:w val="0.1505470612989199"/>
          <c:h val="8.6539049759933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layout>
        <c:manualLayout>
          <c:xMode val="edge"/>
          <c:yMode val="edge"/>
          <c:x val="0.40949300087489071"/>
          <c:y val="2.560763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(ALL)'!$I$7:$I$11</c:f>
              <c:numCache>
                <c:formatCode>General</c:formatCode>
                <c:ptCount val="5"/>
                <c:pt idx="0">
                  <c:v>-413.78227199999998</c:v>
                </c:pt>
                <c:pt idx="1">
                  <c:v>-418.45319699999902</c:v>
                </c:pt>
                <c:pt idx="2">
                  <c:v>-406.64960100000002</c:v>
                </c:pt>
                <c:pt idx="3">
                  <c:v>-424.45169299999901</c:v>
                </c:pt>
                <c:pt idx="4">
                  <c:v>-423.91091499999999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A-433C-9FCC-975A881E7192}"/>
            </c:ext>
          </c:extLst>
        </c:ser>
        <c:ser>
          <c:idx val="1"/>
          <c:order val="1"/>
          <c:tx>
            <c:v>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(ALL)'!$J$7:$J$11</c:f>
              <c:numCache>
                <c:formatCode>General</c:formatCode>
                <c:ptCount val="5"/>
                <c:pt idx="0">
                  <c:v>-414.59568599999898</c:v>
                </c:pt>
                <c:pt idx="1">
                  <c:v>-411.47698599999899</c:v>
                </c:pt>
                <c:pt idx="2">
                  <c:v>-409.57085599999999</c:v>
                </c:pt>
                <c:pt idx="3">
                  <c:v>-419.16707400000001</c:v>
                </c:pt>
                <c:pt idx="4">
                  <c:v>-424.73098499999998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A-433C-9FCC-975A881E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143"/>
        <c:axId val="5085191"/>
      </c:lineChart>
      <c:catAx>
        <c:axId val="5083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91"/>
        <c:crosses val="autoZero"/>
        <c:auto val="1"/>
        <c:lblAlgn val="ctr"/>
        <c:lblOffset val="100"/>
        <c:noMultiLvlLbl val="0"/>
      </c:catAx>
      <c:valAx>
        <c:axId val="508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(ALL)'!$I$13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(ALL)'!$I$14:$I$18</c:f>
              <c:numCache>
                <c:formatCode>General</c:formatCode>
                <c:ptCount val="5"/>
                <c:pt idx="0">
                  <c:v>-410.75902899999897</c:v>
                </c:pt>
                <c:pt idx="1">
                  <c:v>-414.43664799999902</c:v>
                </c:pt>
                <c:pt idx="2">
                  <c:v>-420.01772099999903</c:v>
                </c:pt>
                <c:pt idx="3">
                  <c:v>-415.51702199999897</c:v>
                </c:pt>
                <c:pt idx="4">
                  <c:v>-424.86690599999901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C-4DFA-BC77-8C44932EE781}"/>
            </c:ext>
          </c:extLst>
        </c:ser>
        <c:ser>
          <c:idx val="1"/>
          <c:order val="1"/>
          <c:tx>
            <c:strRef>
              <c:f>'Original (ALL)'!$J$13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(ALL)'!$J$14:$J$18</c:f>
              <c:numCache>
                <c:formatCode>General</c:formatCode>
                <c:ptCount val="5"/>
                <c:pt idx="0">
                  <c:v>-416.38969799999899</c:v>
                </c:pt>
                <c:pt idx="1">
                  <c:v>-404.95466699999997</c:v>
                </c:pt>
                <c:pt idx="2">
                  <c:v>-422.18893999999898</c:v>
                </c:pt>
                <c:pt idx="3">
                  <c:v>-408.87715500000002</c:v>
                </c:pt>
                <c:pt idx="4">
                  <c:v>-425.32193399999898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C-4DFA-BC77-8C44932E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511"/>
        <c:axId val="4379655"/>
      </c:lineChart>
      <c:catAx>
        <c:axId val="4373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55"/>
        <c:crosses val="autoZero"/>
        <c:auto val="1"/>
        <c:lblAlgn val="ctr"/>
        <c:lblOffset val="100"/>
        <c:noMultiLvlLbl val="0"/>
      </c:catAx>
      <c:valAx>
        <c:axId val="437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(ALL)'!$I$20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(ALL)'!$I$21:$I$25</c:f>
              <c:numCache>
                <c:formatCode>General</c:formatCode>
                <c:ptCount val="5"/>
                <c:pt idx="0">
                  <c:v>-407.67148799999899</c:v>
                </c:pt>
                <c:pt idx="1">
                  <c:v>-404.19278800000001</c:v>
                </c:pt>
                <c:pt idx="2">
                  <c:v>-414.96102100000002</c:v>
                </c:pt>
                <c:pt idx="3">
                  <c:v>-418.05220600000001</c:v>
                </c:pt>
                <c:pt idx="4">
                  <c:v>-419.52521400000001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A-4BA9-B51F-B131B8642731}"/>
            </c:ext>
          </c:extLst>
        </c:ser>
        <c:ser>
          <c:idx val="1"/>
          <c:order val="1"/>
          <c:tx>
            <c:strRef>
              <c:f>'Original (ALL)'!$J$20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(ALL)'!$J$21:$J$25</c:f>
              <c:numCache>
                <c:formatCode>General</c:formatCode>
                <c:ptCount val="5"/>
                <c:pt idx="0">
                  <c:v>-410.61978099999999</c:v>
                </c:pt>
                <c:pt idx="1">
                  <c:v>-407.48606999999998</c:v>
                </c:pt>
                <c:pt idx="2">
                  <c:v>-421.18398100000002</c:v>
                </c:pt>
                <c:pt idx="3">
                  <c:v>-421.29773499999902</c:v>
                </c:pt>
                <c:pt idx="4">
                  <c:v>-415.583394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A-4BA9-B51F-B131B864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62887"/>
        <c:axId val="111164935"/>
      </c:lineChart>
      <c:catAx>
        <c:axId val="11116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935"/>
        <c:crosses val="autoZero"/>
        <c:auto val="1"/>
        <c:lblAlgn val="ctr"/>
        <c:lblOffset val="100"/>
        <c:noMultiLvlLbl val="0"/>
      </c:catAx>
      <c:valAx>
        <c:axId val="11116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(ALL)'!$I$27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(ALL)'!$I$28:$I$32</c:f>
              <c:numCache>
                <c:formatCode>General</c:formatCode>
                <c:ptCount val="5"/>
                <c:pt idx="0">
                  <c:v>-411.50027899999901</c:v>
                </c:pt>
                <c:pt idx="1">
                  <c:v>-396.17139111776402</c:v>
                </c:pt>
                <c:pt idx="2">
                  <c:v>-419.16714400000001</c:v>
                </c:pt>
                <c:pt idx="3">
                  <c:v>-405.56886600000001</c:v>
                </c:pt>
                <c:pt idx="4">
                  <c:v>-418.43720299999899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6-4D1D-A275-D2521DFBF6F1}"/>
            </c:ext>
          </c:extLst>
        </c:ser>
        <c:ser>
          <c:idx val="1"/>
          <c:order val="1"/>
          <c:tx>
            <c:strRef>
              <c:f>'Original (ALL)'!$J$27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(ALL)'!$H$28:$H$32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(ALL)'!$J$28:$J$32</c:f>
              <c:numCache>
                <c:formatCode>General</c:formatCode>
                <c:ptCount val="5"/>
                <c:pt idx="0">
                  <c:v>-412.38958200000002</c:v>
                </c:pt>
                <c:pt idx="1">
                  <c:v>-407.41758350100503</c:v>
                </c:pt>
                <c:pt idx="2">
                  <c:v>-420.73586799999998</c:v>
                </c:pt>
                <c:pt idx="3">
                  <c:v>-416.371116999999</c:v>
                </c:pt>
                <c:pt idx="4">
                  <c:v>-419.79411099999999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6-4D1D-A275-D2521DFB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58663"/>
        <c:axId val="325960711"/>
      </c:lineChart>
      <c:catAx>
        <c:axId val="32595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0711"/>
        <c:crosses val="autoZero"/>
        <c:auto val="1"/>
        <c:lblAlgn val="ctr"/>
        <c:lblOffset val="100"/>
        <c:noMultiLvlLbl val="0"/>
      </c:catAx>
      <c:valAx>
        <c:axId val="32596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(ALL)'!$I$34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'Original (ALL)'!$H$35:$H$39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(ALL)'!$I$35:$I$39</c:f>
              <c:numCache>
                <c:formatCode>General</c:formatCode>
                <c:ptCount val="5"/>
                <c:pt idx="0">
                  <c:v>-394.819296047904</c:v>
                </c:pt>
                <c:pt idx="1">
                  <c:v>-408.15661299999903</c:v>
                </c:pt>
                <c:pt idx="2">
                  <c:v>-419.62926700000003</c:v>
                </c:pt>
                <c:pt idx="3">
                  <c:v>-406.13552800000002</c:v>
                </c:pt>
                <c:pt idx="4">
                  <c:v>-409.99116199999997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F-4E7D-B318-D639F57C8178}"/>
            </c:ext>
          </c:extLst>
        </c:ser>
        <c:ser>
          <c:idx val="1"/>
          <c:order val="1"/>
          <c:tx>
            <c:strRef>
              <c:f>'Original (ALL)'!$J$34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'Original (ALL)'!$H$35:$H$39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'Original (ALL)'!$J$35:$J$39</c:f>
              <c:numCache>
                <c:formatCode>General</c:formatCode>
                <c:ptCount val="5"/>
                <c:pt idx="0">
                  <c:v>-413.39908600000001</c:v>
                </c:pt>
                <c:pt idx="1">
                  <c:v>-414.65309600000001</c:v>
                </c:pt>
                <c:pt idx="2">
                  <c:v>-420.29445399999901</c:v>
                </c:pt>
                <c:pt idx="3">
                  <c:v>-406.00706400000001</c:v>
                </c:pt>
                <c:pt idx="4">
                  <c:v>-417.65571555555499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F-4E7D-B318-D639F57C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11687"/>
        <c:axId val="627913735"/>
      </c:lineChart>
      <c:catAx>
        <c:axId val="62791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3735"/>
        <c:crosses val="autoZero"/>
        <c:auto val="1"/>
        <c:lblAlgn val="ctr"/>
        <c:lblOffset val="100"/>
        <c:noMultiLvlLbl val="0"/>
      </c:catAx>
      <c:valAx>
        <c:axId val="62791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12</c:v>
              </c:pt>
              <c:pt idx="2">
                <c:v>10</c:v>
              </c:pt>
              <c:pt idx="3">
                <c:v>13</c:v>
              </c:pt>
              <c:pt idx="4">
                <c:v>11</c:v>
              </c:pt>
              <c:pt idx="5">
                <c:v>10</c:v>
              </c:pt>
              <c:pt idx="6">
                <c:v>10</c:v>
              </c:pt>
              <c:pt idx="7">
                <c:v>3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D0B-4B72-BC29-23328B84FB5C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8</c:v>
              </c:pt>
              <c:pt idx="1">
                <c:v>1</c:v>
              </c:pt>
              <c:pt idx="2">
                <c:v>21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12</c:v>
              </c:pt>
              <c:pt idx="7">
                <c:v>5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DD0B-4B72-BC29-23328B84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48144"/>
        <c:axId val="970744128"/>
      </c:barChart>
      <c:catAx>
        <c:axId val="8278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44128"/>
        <c:crosses val="autoZero"/>
        <c:auto val="1"/>
        <c:lblAlgn val="ctr"/>
        <c:lblOffset val="100"/>
        <c:noMultiLvlLbl val="0"/>
      </c:catAx>
      <c:valAx>
        <c:axId val="970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Curve,</a:t>
            </a:r>
            <a:r>
              <a:rPr lang="en-US" baseline="0"/>
              <a:t> Threshold = -407.1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6239660140277E-2"/>
          <c:y val="9.5102544901565736E-2"/>
          <c:w val="0.8619589421737931"/>
          <c:h val="0.79104284453001317"/>
        </c:manualLayout>
      </c:layout>
      <c:scatterChart>
        <c:scatterStyle val="lineMarker"/>
        <c:varyColors val="0"/>
        <c:ser>
          <c:idx val="1"/>
          <c:order val="0"/>
          <c:tx>
            <c:v>Baseline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'Original (ALL)'!$L$69:$L$70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'Original (ALL)'!$M$69:$M$70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A-4355-A6D1-D7B73C282486}"/>
            </c:ext>
          </c:extLst>
        </c:ser>
        <c:ser>
          <c:idx val="0"/>
          <c:order val="1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(ALL)'!$M$54:$M$66</c:f>
              <c:numCache>
                <c:formatCode>General</c:formatCode>
                <c:ptCount val="13"/>
                <c:pt idx="0">
                  <c:v>1</c:v>
                </c:pt>
                <c:pt idx="1">
                  <c:v>0.93103448275862066</c:v>
                </c:pt>
                <c:pt idx="2">
                  <c:v>0.89655172413793105</c:v>
                </c:pt>
                <c:pt idx="3">
                  <c:v>0.81609195402298851</c:v>
                </c:pt>
                <c:pt idx="4">
                  <c:v>0.71264367816091956</c:v>
                </c:pt>
                <c:pt idx="5">
                  <c:v>0.63218390804597702</c:v>
                </c:pt>
                <c:pt idx="6">
                  <c:v>0.56321839080459768</c:v>
                </c:pt>
                <c:pt idx="7">
                  <c:v>0.47126436781609193</c:v>
                </c:pt>
                <c:pt idx="8">
                  <c:v>0.35632183908045978</c:v>
                </c:pt>
                <c:pt idx="9">
                  <c:v>0.31034482758620685</c:v>
                </c:pt>
                <c:pt idx="10">
                  <c:v>0.2068965517241379</c:v>
                </c:pt>
                <c:pt idx="11">
                  <c:v>6.8965517241379337E-2</c:v>
                </c:pt>
                <c:pt idx="12">
                  <c:v>0</c:v>
                </c:pt>
              </c:numCache>
            </c:numRef>
          </c:xVal>
          <c:yVal>
            <c:numRef>
              <c:f>'Original (ALL)'!$N$54:$N$66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0.98412698412698418</c:v>
                </c:pt>
                <c:pt idx="3">
                  <c:v>0.92063492063492069</c:v>
                </c:pt>
                <c:pt idx="4">
                  <c:v>0.82539682539682535</c:v>
                </c:pt>
                <c:pt idx="5">
                  <c:v>0.74603174603174605</c:v>
                </c:pt>
                <c:pt idx="6">
                  <c:v>0.66666666666666674</c:v>
                </c:pt>
                <c:pt idx="7">
                  <c:v>0.5714285714285714</c:v>
                </c:pt>
                <c:pt idx="8">
                  <c:v>0.47619047619047616</c:v>
                </c:pt>
                <c:pt idx="9">
                  <c:v>0.38095238095238093</c:v>
                </c:pt>
                <c:pt idx="10">
                  <c:v>0.1428571428571429</c:v>
                </c:pt>
                <c:pt idx="11">
                  <c:v>0.1428571428571429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A-4355-A6D1-D7B73C28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6632"/>
        <c:axId val="1010427272"/>
      </c:scatterChart>
      <c:valAx>
        <c:axId val="1010436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(1</a:t>
                </a:r>
                <a:r>
                  <a:rPr lang="en-US" baseline="0"/>
                  <a:t> - Specificity)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27272"/>
        <c:crosses val="autoZero"/>
        <c:crossBetween val="midCat"/>
      </c:valAx>
      <c:valAx>
        <c:axId val="1010427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79287310587086"/>
          <c:y val="0.13120489981730268"/>
          <c:w val="0.1505470612989199"/>
          <c:h val="8.6539049759933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'50%'!$I$20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'50%'!$H$21:$H$25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'50%'!$I$21:$I$25</c:f>
              <c:numCache>
                <c:formatCode>General</c:formatCode>
                <c:ptCount val="5"/>
                <c:pt idx="0">
                  <c:v>-396.17139111776402</c:v>
                </c:pt>
                <c:pt idx="1">
                  <c:v>-418.43720299999899</c:v>
                </c:pt>
                <c:pt idx="2">
                  <c:v>-419.35160100000002</c:v>
                </c:pt>
                <c:pt idx="3">
                  <c:v>-412.141212</c:v>
                </c:pt>
                <c:pt idx="4">
                  <c:v>-406.27683499999898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0-495B-8597-D41587363E03}"/>
            </c:ext>
          </c:extLst>
        </c:ser>
        <c:ser>
          <c:idx val="1"/>
          <c:order val="1"/>
          <c:tx>
            <c:strRef>
              <c:f>'50%'!$J$20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'50%'!$H$21:$H$25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'50%'!$J$21:$J$25</c:f>
              <c:numCache>
                <c:formatCode>General</c:formatCode>
                <c:ptCount val="5"/>
                <c:pt idx="0">
                  <c:v>-407.41758350100503</c:v>
                </c:pt>
                <c:pt idx="1">
                  <c:v>-419.79411099999999</c:v>
                </c:pt>
                <c:pt idx="2">
                  <c:v>-421.29346500000003</c:v>
                </c:pt>
                <c:pt idx="3">
                  <c:v>-413.27146099999902</c:v>
                </c:pt>
                <c:pt idx="4">
                  <c:v>-416.92977299999899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0-495B-8597-D4158736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62887"/>
        <c:axId val="111164935"/>
      </c:lineChart>
      <c:catAx>
        <c:axId val="11116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935"/>
        <c:crosses val="autoZero"/>
        <c:auto val="1"/>
        <c:lblAlgn val="ctr"/>
        <c:lblOffset val="100"/>
        <c:noMultiLvlLbl val="0"/>
      </c:catAx>
      <c:valAx>
        <c:axId val="11116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'50%'!$I$27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'50%'!$H$28:$H$32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'50%'!$I$28:$I$32</c:f>
              <c:numCache>
                <c:formatCode>General</c:formatCode>
                <c:ptCount val="5"/>
                <c:pt idx="0">
                  <c:v>-420.01772099999903</c:v>
                </c:pt>
                <c:pt idx="1">
                  <c:v>-411.10514799999999</c:v>
                </c:pt>
                <c:pt idx="2">
                  <c:v>-415.70050099999997</c:v>
                </c:pt>
                <c:pt idx="3">
                  <c:v>-415.25006300000001</c:v>
                </c:pt>
                <c:pt idx="4">
                  <c:v>-425.30879099999999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961-8577-FA707E0CCDEF}"/>
            </c:ext>
          </c:extLst>
        </c:ser>
        <c:ser>
          <c:idx val="1"/>
          <c:order val="1"/>
          <c:tx>
            <c:strRef>
              <c:f>'50%'!$J$27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'50%'!$H$28:$H$32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'50%'!$J$28:$J$32</c:f>
              <c:numCache>
                <c:formatCode>General</c:formatCode>
                <c:ptCount val="5"/>
                <c:pt idx="0">
                  <c:v>-422.18893999999898</c:v>
                </c:pt>
                <c:pt idx="1">
                  <c:v>-416.66741499999898</c:v>
                </c:pt>
                <c:pt idx="2">
                  <c:v>-409.29817400000002</c:v>
                </c:pt>
                <c:pt idx="3">
                  <c:v>-405.84283199999999</c:v>
                </c:pt>
                <c:pt idx="4">
                  <c:v>-425.89338799999899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961-8577-FA707E0C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58663"/>
        <c:axId val="325960711"/>
      </c:lineChart>
      <c:catAx>
        <c:axId val="32595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0711"/>
        <c:crosses val="autoZero"/>
        <c:auto val="1"/>
        <c:lblAlgn val="ctr"/>
        <c:lblOffset val="100"/>
        <c:noMultiLvlLbl val="0"/>
      </c:catAx>
      <c:valAx>
        <c:axId val="32596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'50%'!$I$34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'50%'!$H$35:$H$39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'50%'!$I$35:$I$39</c:f>
              <c:numCache>
                <c:formatCode>General</c:formatCode>
                <c:ptCount val="5"/>
                <c:pt idx="0">
                  <c:v>-419.62926700000003</c:v>
                </c:pt>
                <c:pt idx="1">
                  <c:v>-395.03718227544903</c:v>
                </c:pt>
                <c:pt idx="2">
                  <c:v>-406.38059299999998</c:v>
                </c:pt>
                <c:pt idx="3">
                  <c:v>-409.07437900000002</c:v>
                </c:pt>
                <c:pt idx="4">
                  <c:v>-410.69423599999999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3-4CEA-8C1E-554F2A7FC4A0}"/>
            </c:ext>
          </c:extLst>
        </c:ser>
        <c:ser>
          <c:idx val="1"/>
          <c:order val="1"/>
          <c:tx>
            <c:strRef>
              <c:f>'50%'!$J$34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'50%'!$H$35:$H$39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'50%'!$J$35:$J$39</c:f>
              <c:numCache>
                <c:formatCode>General</c:formatCode>
                <c:ptCount val="5"/>
                <c:pt idx="0">
                  <c:v>-420.29445399999901</c:v>
                </c:pt>
                <c:pt idx="1">
                  <c:v>-413.60368299999999</c:v>
                </c:pt>
                <c:pt idx="2">
                  <c:v>-406.25314499999899</c:v>
                </c:pt>
                <c:pt idx="3">
                  <c:v>-415.89242899999903</c:v>
                </c:pt>
                <c:pt idx="4">
                  <c:v>-418.494665555555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3-4CEA-8C1E-554F2A7F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11687"/>
        <c:axId val="627913735"/>
      </c:lineChart>
      <c:catAx>
        <c:axId val="62791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3735"/>
        <c:crosses val="autoZero"/>
        <c:auto val="1"/>
        <c:lblAlgn val="ctr"/>
        <c:lblOffset val="100"/>
        <c:noMultiLvlLbl val="0"/>
      </c:catAx>
      <c:valAx>
        <c:axId val="62791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12</c:v>
              </c:pt>
              <c:pt idx="2">
                <c:v>10</c:v>
              </c:pt>
              <c:pt idx="3">
                <c:v>13</c:v>
              </c:pt>
              <c:pt idx="4">
                <c:v>11</c:v>
              </c:pt>
              <c:pt idx="5">
                <c:v>10</c:v>
              </c:pt>
              <c:pt idx="6">
                <c:v>10</c:v>
              </c:pt>
              <c:pt idx="7">
                <c:v>3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6F-4C64-9374-F6894196E366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-427--424</c:v>
              </c:pt>
              <c:pt idx="1">
                <c:v>-424--421</c:v>
              </c:pt>
              <c:pt idx="2">
                <c:v>-421--418</c:v>
              </c:pt>
              <c:pt idx="3">
                <c:v>-418--415</c:v>
              </c:pt>
              <c:pt idx="4">
                <c:v>-415--412</c:v>
              </c:pt>
              <c:pt idx="5">
                <c:v>-412--409</c:v>
              </c:pt>
              <c:pt idx="6">
                <c:v>-409--406</c:v>
              </c:pt>
              <c:pt idx="7">
                <c:v>-406--403</c:v>
              </c:pt>
              <c:pt idx="8">
                <c:v>-397--394</c:v>
              </c:pt>
            </c:strLit>
          </c:cat>
          <c:val>
            <c:numLit>
              <c:formatCode>General</c:formatCode>
              <c:ptCount val="9"/>
              <c:pt idx="0">
                <c:v>8</c:v>
              </c:pt>
              <c:pt idx="1">
                <c:v>1</c:v>
              </c:pt>
              <c:pt idx="2">
                <c:v>21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12</c:v>
              </c:pt>
              <c:pt idx="7">
                <c:v>5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D46F-4C64-9374-F6894196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48144"/>
        <c:axId val="970744128"/>
      </c:barChart>
      <c:catAx>
        <c:axId val="8278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44128"/>
        <c:crosses val="autoZero"/>
        <c:auto val="1"/>
        <c:lblAlgn val="ctr"/>
        <c:lblOffset val="100"/>
        <c:noMultiLvlLbl val="0"/>
      </c:catAx>
      <c:valAx>
        <c:axId val="970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- ROC Curve,</a:t>
            </a:r>
            <a:r>
              <a:rPr lang="en-US" baseline="0"/>
              <a:t> Threshold = -407.1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6239660140277E-2"/>
          <c:y val="9.5102544901565736E-2"/>
          <c:w val="0.8619589421737931"/>
          <c:h val="0.79104284453001317"/>
        </c:manualLayout>
      </c:layout>
      <c:scatterChart>
        <c:scatterStyle val="lineMarker"/>
        <c:varyColors val="0"/>
        <c:ser>
          <c:idx val="1"/>
          <c:order val="0"/>
          <c:tx>
            <c:v>Baseline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'50%'!$L$69:$L$70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'50%'!$M$69:$M$70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D-4FA2-AC04-23E741ED0128}"/>
            </c:ext>
          </c:extLst>
        </c:ser>
        <c:ser>
          <c:idx val="0"/>
          <c:order val="1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'50%'!$M$54:$M$66</c:f>
              <c:numCache>
                <c:formatCode>General</c:formatCode>
                <c:ptCount val="13"/>
                <c:pt idx="0">
                  <c:v>1</c:v>
                </c:pt>
                <c:pt idx="1">
                  <c:v>0.93103448275862066</c:v>
                </c:pt>
                <c:pt idx="2">
                  <c:v>0.89655172413793105</c:v>
                </c:pt>
                <c:pt idx="3">
                  <c:v>0.7931034482758621</c:v>
                </c:pt>
                <c:pt idx="4">
                  <c:v>0.68965517241379315</c:v>
                </c:pt>
                <c:pt idx="5">
                  <c:v>0.62068965517241381</c:v>
                </c:pt>
                <c:pt idx="6">
                  <c:v>0.55172413793103448</c:v>
                </c:pt>
                <c:pt idx="7">
                  <c:v>0.44827586206896552</c:v>
                </c:pt>
                <c:pt idx="8">
                  <c:v>0.34482758620689657</c:v>
                </c:pt>
                <c:pt idx="9">
                  <c:v>0.31034482758620685</c:v>
                </c:pt>
                <c:pt idx="10">
                  <c:v>0.17241379310344829</c:v>
                </c:pt>
                <c:pt idx="11">
                  <c:v>6.8965517241379337E-2</c:v>
                </c:pt>
                <c:pt idx="12">
                  <c:v>0</c:v>
                </c:pt>
              </c:numCache>
            </c:numRef>
          </c:xVal>
          <c:yVal>
            <c:numRef>
              <c:f>'50%'!$N$54:$N$66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0.95238095238095233</c:v>
                </c:pt>
                <c:pt idx="3">
                  <c:v>0.90476190476190477</c:v>
                </c:pt>
                <c:pt idx="4">
                  <c:v>0.80952380952380953</c:v>
                </c:pt>
                <c:pt idx="5">
                  <c:v>0.7142857142857143</c:v>
                </c:pt>
                <c:pt idx="6">
                  <c:v>0.66666666666666674</c:v>
                </c:pt>
                <c:pt idx="7">
                  <c:v>0.52380952380952384</c:v>
                </c:pt>
                <c:pt idx="8">
                  <c:v>0.47619047619047616</c:v>
                </c:pt>
                <c:pt idx="9">
                  <c:v>0.33333333333333337</c:v>
                </c:pt>
                <c:pt idx="10">
                  <c:v>0.1428571428571429</c:v>
                </c:pt>
                <c:pt idx="11">
                  <c:v>0.1428571428571429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D-4FA2-AC04-23E741ED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6632"/>
        <c:axId val="1010427272"/>
      </c:scatterChart>
      <c:valAx>
        <c:axId val="1010436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(1</a:t>
                </a:r>
                <a:r>
                  <a:rPr lang="en-US" baseline="0"/>
                  <a:t> - Specificity)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27272"/>
        <c:crosses val="autoZero"/>
        <c:crossBetween val="midCat"/>
      </c:valAx>
      <c:valAx>
        <c:axId val="1010427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79287310587086"/>
          <c:y val="0.13120489981730268"/>
          <c:w val="0.1505470612989199"/>
          <c:h val="8.6539049759933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layout>
        <c:manualLayout>
          <c:xMode val="edge"/>
          <c:yMode val="edge"/>
          <c:x val="0.40949300087489071"/>
          <c:y val="2.560763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'40%'!$H$7:$H$11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'40%'!$I$7:$I$11</c:f>
              <c:numCache>
                <c:formatCode>General</c:formatCode>
                <c:ptCount val="5"/>
                <c:pt idx="0">
                  <c:v>-413.78227199999998</c:v>
                </c:pt>
                <c:pt idx="1">
                  <c:v>-418.45319699999902</c:v>
                </c:pt>
                <c:pt idx="2">
                  <c:v>-406.64960100000002</c:v>
                </c:pt>
                <c:pt idx="3">
                  <c:v>-424.45169299999901</c:v>
                </c:pt>
                <c:pt idx="4">
                  <c:v>-423.91091499999999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C-4040-8854-A0239F64CD69}"/>
            </c:ext>
          </c:extLst>
        </c:ser>
        <c:ser>
          <c:idx val="1"/>
          <c:order val="1"/>
          <c:tx>
            <c:v>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'40%'!$H$7:$H$11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'40%'!$J$7:$J$11</c:f>
              <c:numCache>
                <c:formatCode>General</c:formatCode>
                <c:ptCount val="5"/>
                <c:pt idx="0">
                  <c:v>-414.59568599999898</c:v>
                </c:pt>
                <c:pt idx="1">
                  <c:v>-411.47698599999899</c:v>
                </c:pt>
                <c:pt idx="2">
                  <c:v>-409.57085599999999</c:v>
                </c:pt>
                <c:pt idx="3">
                  <c:v>-419.16707400000001</c:v>
                </c:pt>
                <c:pt idx="4">
                  <c:v>-424.73098499999998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C-4040-8854-A0239F64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143"/>
        <c:axId val="5085191"/>
      </c:lineChart>
      <c:catAx>
        <c:axId val="5083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91"/>
        <c:crosses val="autoZero"/>
        <c:auto val="1"/>
        <c:lblAlgn val="ctr"/>
        <c:lblOffset val="100"/>
        <c:noMultiLvlLbl val="0"/>
      </c:catAx>
      <c:valAx>
        <c:axId val="508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'40%'!$I$13</c:f>
              <c:strCache>
                <c:ptCount val="1"/>
                <c:pt idx="0">
                  <c:v>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'40%'!$H$14:$H$18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'40%'!$I$14:$I$18</c:f>
              <c:numCache>
                <c:formatCode>General</c:formatCode>
                <c:ptCount val="5"/>
                <c:pt idx="0">
                  <c:v>-410.75902899999897</c:v>
                </c:pt>
                <c:pt idx="1">
                  <c:v>-414.43664799999902</c:v>
                </c:pt>
                <c:pt idx="2">
                  <c:v>-420.01772099999903</c:v>
                </c:pt>
                <c:pt idx="3">
                  <c:v>-415.51702199999897</c:v>
                </c:pt>
                <c:pt idx="4">
                  <c:v>-424.86690599999901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B-4CC1-BC85-5636A07649BF}"/>
            </c:ext>
          </c:extLst>
        </c:ser>
        <c:ser>
          <c:idx val="1"/>
          <c:order val="1"/>
          <c:tx>
            <c:strRef>
              <c:f>'40%'!$J$13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'40%'!$H$14:$H$18</c:f>
              <c:strCache>
                <c:ptCount val="5"/>
                <c:pt idx="0">
                  <c:v>Kingdom</c:v>
                </c:pt>
                <c:pt idx="1">
                  <c:v>Phylum</c:v>
                </c:pt>
                <c:pt idx="2">
                  <c:v>Class </c:v>
                </c:pt>
                <c:pt idx="3">
                  <c:v>Order</c:v>
                </c:pt>
                <c:pt idx="4">
                  <c:v>Family</c:v>
                </c:pt>
              </c:strCache>
            </c:strRef>
          </c:cat>
          <c:val>
            <c:numRef>
              <c:f>'40%'!$J$14:$J$18</c:f>
              <c:numCache>
                <c:formatCode>General</c:formatCode>
                <c:ptCount val="5"/>
                <c:pt idx="0">
                  <c:v>-416.38969799999899</c:v>
                </c:pt>
                <c:pt idx="1">
                  <c:v>-404.95466699999997</c:v>
                </c:pt>
                <c:pt idx="2">
                  <c:v>-422.18893999999898</c:v>
                </c:pt>
                <c:pt idx="3">
                  <c:v>-408.87715500000002</c:v>
                </c:pt>
                <c:pt idx="4">
                  <c:v>-425.32193399999898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B-4CC1-BC85-5636A0764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511"/>
        <c:axId val="4379655"/>
      </c:lineChart>
      <c:catAx>
        <c:axId val="4373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55"/>
        <c:crosses val="autoZero"/>
        <c:auto val="1"/>
        <c:lblAlgn val="ctr"/>
        <c:lblOffset val="100"/>
        <c:noMultiLvlLbl val="0"/>
      </c:catAx>
      <c:valAx>
        <c:axId val="437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188595</xdr:colOff>
      <xdr:row>2</xdr:row>
      <xdr:rowOff>47625</xdr:rowOff>
    </xdr:from>
    <xdr:to>
      <xdr:col>17</xdr:col>
      <xdr:colOff>493395</xdr:colOff>
      <xdr:row>16</xdr:row>
      <xdr:rowOff>123825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1E9FA35D-787D-4918-AB2E-3EABB0F86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188595</xdr:colOff>
      <xdr:row>16</xdr:row>
      <xdr:rowOff>169545</xdr:rowOff>
    </xdr:from>
    <xdr:to>
      <xdr:col>17</xdr:col>
      <xdr:colOff>493395</xdr:colOff>
      <xdr:row>31</xdr:row>
      <xdr:rowOff>55245</xdr:rowOff>
    </xdr:to>
    <xdr:graphicFrame macro="">
      <xdr:nvGraphicFramePr>
        <xdr:cNvPr id="49" name="Chart 2">
          <a:extLst>
            <a:ext uri="{FF2B5EF4-FFF2-40B4-BE49-F238E27FC236}">
              <a16:creationId xmlns:a16="http://schemas.microsoft.com/office/drawing/2014/main" id="{E0418550-F3F7-421C-8A58-A73DFB971738}"/>
            </a:ext>
            <a:ext uri="{147F2762-F138-4A5C-976F-8EAC2B608ADB}">
              <a16:predDERef xmlns:a16="http://schemas.microsoft.com/office/drawing/2014/main" pred="{1E9FA35D-787D-4918-AB2E-3EABB0F86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31</xdr:row>
      <xdr:rowOff>131445</xdr:rowOff>
    </xdr:from>
    <xdr:to>
      <xdr:col>19</xdr:col>
      <xdr:colOff>371475</xdr:colOff>
      <xdr:row>46</xdr:row>
      <xdr:rowOff>26670</xdr:rowOff>
    </xdr:to>
    <xdr:graphicFrame macro="">
      <xdr:nvGraphicFramePr>
        <xdr:cNvPr id="50" name="Chart 3">
          <a:extLst>
            <a:ext uri="{FF2B5EF4-FFF2-40B4-BE49-F238E27FC236}">
              <a16:creationId xmlns:a16="http://schemas.microsoft.com/office/drawing/2014/main" id="{AD55BA98-A753-4AA6-B504-C21E9896D749}"/>
            </a:ext>
            <a:ext uri="{147F2762-F138-4A5C-976F-8EAC2B608ADB}">
              <a16:predDERef xmlns:a16="http://schemas.microsoft.com/office/drawing/2014/main" pred="{E0418550-F3F7-421C-8A58-A73DFB97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957399</xdr:colOff>
      <xdr:row>24</xdr:row>
      <xdr:rowOff>142332</xdr:rowOff>
    </xdr:from>
    <xdr:to>
      <xdr:col>24</xdr:col>
      <xdr:colOff>1006385</xdr:colOff>
      <xdr:row>39</xdr:row>
      <xdr:rowOff>39461</xdr:rowOff>
    </xdr:to>
    <xdr:graphicFrame macro="">
      <xdr:nvGraphicFramePr>
        <xdr:cNvPr id="51" name="Chart 4">
          <a:extLst>
            <a:ext uri="{FF2B5EF4-FFF2-40B4-BE49-F238E27FC236}">
              <a16:creationId xmlns:a16="http://schemas.microsoft.com/office/drawing/2014/main" id="{C4E802E0-892D-4EF3-A6A9-25D5F1A59793}"/>
            </a:ext>
            <a:ext uri="{147F2762-F138-4A5C-976F-8EAC2B608ADB}">
              <a16:predDERef xmlns:a16="http://schemas.microsoft.com/office/drawing/2014/main" pred="{AD55BA98-A753-4AA6-B504-C21E9896D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895894</xdr:colOff>
      <xdr:row>40</xdr:row>
      <xdr:rowOff>99876</xdr:rowOff>
    </xdr:from>
    <xdr:to>
      <xdr:col>24</xdr:col>
      <xdr:colOff>1047478</xdr:colOff>
      <xdr:row>54</xdr:row>
      <xdr:rowOff>168456</xdr:rowOff>
    </xdr:to>
    <xdr:graphicFrame macro="">
      <xdr:nvGraphicFramePr>
        <xdr:cNvPr id="48" name="Chart 5">
          <a:extLst>
            <a:ext uri="{FF2B5EF4-FFF2-40B4-BE49-F238E27FC236}">
              <a16:creationId xmlns:a16="http://schemas.microsoft.com/office/drawing/2014/main" id="{693E180D-F691-4E40-BFA8-4BB7A223F30B}"/>
            </a:ext>
            <a:ext uri="{147F2762-F138-4A5C-976F-8EAC2B608ADB}">
              <a16:predDERef xmlns:a16="http://schemas.microsoft.com/office/drawing/2014/main" pred="{C4E802E0-892D-4EF3-A6A9-25D5F1A5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125</xdr:row>
      <xdr:rowOff>90487</xdr:rowOff>
    </xdr:from>
    <xdr:to>
      <xdr:col>13</xdr:col>
      <xdr:colOff>276225</xdr:colOff>
      <xdr:row>140</xdr:row>
      <xdr:rowOff>119062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FA410314-DD11-4A1C-A3E9-CB28039E3A54}"/>
            </a:ext>
            <a:ext uri="{147F2762-F138-4A5C-976F-8EAC2B608ADB}">
              <a16:predDERef xmlns:a16="http://schemas.microsoft.com/office/drawing/2014/main" pred="{B52EADDF-E426-4427-BE1D-3FC91C431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600075</xdr:colOff>
      <xdr:row>55</xdr:row>
      <xdr:rowOff>182879</xdr:rowOff>
    </xdr:from>
    <xdr:to>
      <xdr:col>23</xdr:col>
      <xdr:colOff>278131</xdr:colOff>
      <xdr:row>83</xdr:row>
      <xdr:rowOff>3810</xdr:rowOff>
    </xdr:to>
    <xdr:graphicFrame macro="">
      <xdr:nvGraphicFramePr>
        <xdr:cNvPr id="47" name="Chart 8">
          <a:extLst>
            <a:ext uri="{FF2B5EF4-FFF2-40B4-BE49-F238E27FC236}">
              <a16:creationId xmlns:a16="http://schemas.microsoft.com/office/drawing/2014/main" id="{C876BF31-9273-49CE-BDB5-0BDAC51409ED}"/>
            </a:ext>
            <a:ext uri="{147F2762-F138-4A5C-976F-8EAC2B608ADB}">
              <a16:predDERef xmlns:a16="http://schemas.microsoft.com/office/drawing/2014/main" pred="{FA410314-DD11-4A1C-A3E9-CB28039E3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188595</xdr:colOff>
      <xdr:row>2</xdr:row>
      <xdr:rowOff>47625</xdr:rowOff>
    </xdr:from>
    <xdr:to>
      <xdr:col>17</xdr:col>
      <xdr:colOff>493395</xdr:colOff>
      <xdr:row>16</xdr:row>
      <xdr:rowOff>123825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6DC4FDDD-1C21-40B8-B6BC-F84BE395C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188595</xdr:colOff>
      <xdr:row>16</xdr:row>
      <xdr:rowOff>169545</xdr:rowOff>
    </xdr:from>
    <xdr:to>
      <xdr:col>17</xdr:col>
      <xdr:colOff>493395</xdr:colOff>
      <xdr:row>31</xdr:row>
      <xdr:rowOff>55245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2E1719A7-3487-4FC2-B714-9469B4437B48}"/>
            </a:ext>
            <a:ext uri="{147F2762-F138-4A5C-976F-8EAC2B608ADB}">
              <a16:predDERef xmlns:a16="http://schemas.microsoft.com/office/drawing/2014/main" pred="{6DC4FDDD-1C21-40B8-B6BC-F84BE395C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31</xdr:row>
      <xdr:rowOff>131445</xdr:rowOff>
    </xdr:from>
    <xdr:to>
      <xdr:col>19</xdr:col>
      <xdr:colOff>371475</xdr:colOff>
      <xdr:row>46</xdr:row>
      <xdr:rowOff>26670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7F20FDA9-B653-47ED-ADC0-C1002870A3FF}"/>
            </a:ext>
            <a:ext uri="{147F2762-F138-4A5C-976F-8EAC2B608ADB}">
              <a16:predDERef xmlns:a16="http://schemas.microsoft.com/office/drawing/2014/main" pred="{2E1719A7-3487-4FC2-B714-9469B4437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957399</xdr:colOff>
      <xdr:row>24</xdr:row>
      <xdr:rowOff>142332</xdr:rowOff>
    </xdr:from>
    <xdr:to>
      <xdr:col>24</xdr:col>
      <xdr:colOff>1006385</xdr:colOff>
      <xdr:row>39</xdr:row>
      <xdr:rowOff>39461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EB5C0F98-459E-4298-889D-77CA84C91797}"/>
            </a:ext>
            <a:ext uri="{147F2762-F138-4A5C-976F-8EAC2B608ADB}">
              <a16:predDERef xmlns:a16="http://schemas.microsoft.com/office/drawing/2014/main" pred="{7F20FDA9-B653-47ED-ADC0-C1002870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895894</xdr:colOff>
      <xdr:row>40</xdr:row>
      <xdr:rowOff>99876</xdr:rowOff>
    </xdr:from>
    <xdr:to>
      <xdr:col>24</xdr:col>
      <xdr:colOff>1047478</xdr:colOff>
      <xdr:row>54</xdr:row>
      <xdr:rowOff>168456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E9081F48-E0DA-4EC0-852E-1FC97E8FC9E8}"/>
            </a:ext>
            <a:ext uri="{147F2762-F138-4A5C-976F-8EAC2B608ADB}">
              <a16:predDERef xmlns:a16="http://schemas.microsoft.com/office/drawing/2014/main" pred="{EB5C0F98-459E-4298-889D-77CA84C9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125</xdr:row>
      <xdr:rowOff>90487</xdr:rowOff>
    </xdr:from>
    <xdr:to>
      <xdr:col>13</xdr:col>
      <xdr:colOff>276225</xdr:colOff>
      <xdr:row>140</xdr:row>
      <xdr:rowOff>119062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0E76803D-BB66-4961-87E4-8CF2E960BCC6}"/>
            </a:ext>
            <a:ext uri="{147F2762-F138-4A5C-976F-8EAC2B608ADB}">
              <a16:predDERef xmlns:a16="http://schemas.microsoft.com/office/drawing/2014/main" pred="{E9081F48-E0DA-4EC0-852E-1FC97E8FC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600075</xdr:colOff>
      <xdr:row>55</xdr:row>
      <xdr:rowOff>182879</xdr:rowOff>
    </xdr:from>
    <xdr:to>
      <xdr:col>23</xdr:col>
      <xdr:colOff>278131</xdr:colOff>
      <xdr:row>83</xdr:row>
      <xdr:rowOff>3810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DD6E107F-A09C-4C35-96C4-60F8C6EE0F93}"/>
            </a:ext>
            <a:ext uri="{147F2762-F138-4A5C-976F-8EAC2B608ADB}">
              <a16:predDERef xmlns:a16="http://schemas.microsoft.com/office/drawing/2014/main" pred="{0E76803D-BB66-4961-87E4-8CF2E96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188595</xdr:colOff>
      <xdr:row>2</xdr:row>
      <xdr:rowOff>47625</xdr:rowOff>
    </xdr:from>
    <xdr:to>
      <xdr:col>17</xdr:col>
      <xdr:colOff>493395</xdr:colOff>
      <xdr:row>16</xdr:row>
      <xdr:rowOff>123825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6C15EFA9-2D83-AC16-1EA6-DF62B0D6B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188595</xdr:colOff>
      <xdr:row>16</xdr:row>
      <xdr:rowOff>169545</xdr:rowOff>
    </xdr:from>
    <xdr:to>
      <xdr:col>17</xdr:col>
      <xdr:colOff>493395</xdr:colOff>
      <xdr:row>31</xdr:row>
      <xdr:rowOff>55245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24D8996C-7C81-5DE5-9C42-9894E03FEB41}"/>
            </a:ext>
            <a:ext uri="{147F2762-F138-4A5C-976F-8EAC2B608ADB}">
              <a16:predDERef xmlns:a16="http://schemas.microsoft.com/office/drawing/2014/main" pred="{6C15EFA9-2D83-AC16-1EA6-DF62B0D6B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31</xdr:row>
      <xdr:rowOff>131445</xdr:rowOff>
    </xdr:from>
    <xdr:to>
      <xdr:col>19</xdr:col>
      <xdr:colOff>371475</xdr:colOff>
      <xdr:row>46</xdr:row>
      <xdr:rowOff>26670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4862CFC5-FA8D-FCFC-C124-336AD8D758EE}"/>
            </a:ext>
            <a:ext uri="{147F2762-F138-4A5C-976F-8EAC2B608ADB}">
              <a16:predDERef xmlns:a16="http://schemas.microsoft.com/office/drawing/2014/main" pred="{24D8996C-7C81-5DE5-9C42-9894E03F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957399</xdr:colOff>
      <xdr:row>24</xdr:row>
      <xdr:rowOff>142332</xdr:rowOff>
    </xdr:from>
    <xdr:to>
      <xdr:col>24</xdr:col>
      <xdr:colOff>1006385</xdr:colOff>
      <xdr:row>39</xdr:row>
      <xdr:rowOff>39461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0CE45370-DCB5-C973-68BB-EB4BB426D864}"/>
            </a:ext>
            <a:ext uri="{147F2762-F138-4A5C-976F-8EAC2B608ADB}">
              <a16:predDERef xmlns:a16="http://schemas.microsoft.com/office/drawing/2014/main" pred="{4862CFC5-FA8D-FCFC-C124-336AD8D7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895894</xdr:colOff>
      <xdr:row>40</xdr:row>
      <xdr:rowOff>99876</xdr:rowOff>
    </xdr:from>
    <xdr:to>
      <xdr:col>24</xdr:col>
      <xdr:colOff>1047478</xdr:colOff>
      <xdr:row>54</xdr:row>
      <xdr:rowOff>168456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E467CEA1-3E08-E198-1386-C4BCDAAEC14C}"/>
            </a:ext>
            <a:ext uri="{147F2762-F138-4A5C-976F-8EAC2B608ADB}">
              <a16:predDERef xmlns:a16="http://schemas.microsoft.com/office/drawing/2014/main" pred="{0CE45370-DCB5-C973-68BB-EB4BB426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125</xdr:row>
      <xdr:rowOff>90487</xdr:rowOff>
    </xdr:from>
    <xdr:to>
      <xdr:col>13</xdr:col>
      <xdr:colOff>276225</xdr:colOff>
      <xdr:row>140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2E0B3A-CFFF-BC1A-2EF4-BD592871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600075</xdr:colOff>
      <xdr:row>55</xdr:row>
      <xdr:rowOff>182879</xdr:rowOff>
    </xdr:from>
    <xdr:to>
      <xdr:col>23</xdr:col>
      <xdr:colOff>278131</xdr:colOff>
      <xdr:row>83</xdr:row>
      <xdr:rowOff>3810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90979527-481E-F377-F83E-D121861A57AC}"/>
            </a:ext>
            <a:ext uri="{147F2762-F138-4A5C-976F-8EAC2B608ADB}">
              <a16:predDERef xmlns:a16="http://schemas.microsoft.com/office/drawing/2014/main" pred="{502E0B3A-CFFF-BC1A-2EF4-BD592871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188595</xdr:colOff>
      <xdr:row>2</xdr:row>
      <xdr:rowOff>47625</xdr:rowOff>
    </xdr:from>
    <xdr:to>
      <xdr:col>17</xdr:col>
      <xdr:colOff>493395</xdr:colOff>
      <xdr:row>16</xdr:row>
      <xdr:rowOff>123825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9D92C109-C7F9-47A5-A2E3-231F041E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188595</xdr:colOff>
      <xdr:row>16</xdr:row>
      <xdr:rowOff>169545</xdr:rowOff>
    </xdr:from>
    <xdr:to>
      <xdr:col>17</xdr:col>
      <xdr:colOff>493395</xdr:colOff>
      <xdr:row>31</xdr:row>
      <xdr:rowOff>55245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40A84A3E-03F3-4CE6-9A46-B1B7E9B7BEF9}"/>
            </a:ext>
            <a:ext uri="{147F2762-F138-4A5C-976F-8EAC2B608ADB}">
              <a16:predDERef xmlns:a16="http://schemas.microsoft.com/office/drawing/2014/main" pred="{9D92C109-C7F9-47A5-A2E3-231F041E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31</xdr:row>
      <xdr:rowOff>131445</xdr:rowOff>
    </xdr:from>
    <xdr:to>
      <xdr:col>19</xdr:col>
      <xdr:colOff>371475</xdr:colOff>
      <xdr:row>46</xdr:row>
      <xdr:rowOff>26670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A3E2D5A4-A515-41A0-9B2E-0B3ED5632B08}"/>
            </a:ext>
            <a:ext uri="{147F2762-F138-4A5C-976F-8EAC2B608ADB}">
              <a16:predDERef xmlns:a16="http://schemas.microsoft.com/office/drawing/2014/main" pred="{40A84A3E-03F3-4CE6-9A46-B1B7E9B7B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957399</xdr:colOff>
      <xdr:row>24</xdr:row>
      <xdr:rowOff>142332</xdr:rowOff>
    </xdr:from>
    <xdr:to>
      <xdr:col>24</xdr:col>
      <xdr:colOff>1006385</xdr:colOff>
      <xdr:row>39</xdr:row>
      <xdr:rowOff>39461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201821A7-7889-46E4-BAE5-3ED2A80B49AF}"/>
            </a:ext>
            <a:ext uri="{147F2762-F138-4A5C-976F-8EAC2B608ADB}">
              <a16:predDERef xmlns:a16="http://schemas.microsoft.com/office/drawing/2014/main" pred="{A3E2D5A4-A515-41A0-9B2E-0B3ED563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895894</xdr:colOff>
      <xdr:row>40</xdr:row>
      <xdr:rowOff>99876</xdr:rowOff>
    </xdr:from>
    <xdr:to>
      <xdr:col>24</xdr:col>
      <xdr:colOff>1047478</xdr:colOff>
      <xdr:row>54</xdr:row>
      <xdr:rowOff>168456</xdr:rowOff>
    </xdr:to>
    <xdr:graphicFrame macro="">
      <xdr:nvGraphicFramePr>
        <xdr:cNvPr id="19" name="Chart 5">
          <a:extLst>
            <a:ext uri="{FF2B5EF4-FFF2-40B4-BE49-F238E27FC236}">
              <a16:creationId xmlns:a16="http://schemas.microsoft.com/office/drawing/2014/main" id="{645C0E73-C95B-45E4-B50F-1EC7AA109D1F}"/>
            </a:ext>
            <a:ext uri="{147F2762-F138-4A5C-976F-8EAC2B608ADB}">
              <a16:predDERef xmlns:a16="http://schemas.microsoft.com/office/drawing/2014/main" pred="{201821A7-7889-46E4-BAE5-3ED2A80B4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125</xdr:row>
      <xdr:rowOff>90487</xdr:rowOff>
    </xdr:from>
    <xdr:to>
      <xdr:col>13</xdr:col>
      <xdr:colOff>276225</xdr:colOff>
      <xdr:row>140</xdr:row>
      <xdr:rowOff>119062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76CD16A1-79FC-4738-AAE4-0E7CCD92CA58}"/>
            </a:ext>
            <a:ext uri="{147F2762-F138-4A5C-976F-8EAC2B608ADB}">
              <a16:predDERef xmlns:a16="http://schemas.microsoft.com/office/drawing/2014/main" pred="{645C0E73-C95B-45E4-B50F-1EC7AA109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600075</xdr:colOff>
      <xdr:row>55</xdr:row>
      <xdr:rowOff>182879</xdr:rowOff>
    </xdr:from>
    <xdr:to>
      <xdr:col>23</xdr:col>
      <xdr:colOff>278131</xdr:colOff>
      <xdr:row>83</xdr:row>
      <xdr:rowOff>3810</xdr:rowOff>
    </xdr:to>
    <xdr:graphicFrame macro="">
      <xdr:nvGraphicFramePr>
        <xdr:cNvPr id="20" name="Chart 8">
          <a:extLst>
            <a:ext uri="{FF2B5EF4-FFF2-40B4-BE49-F238E27FC236}">
              <a16:creationId xmlns:a16="http://schemas.microsoft.com/office/drawing/2014/main" id="{E91B5A56-7517-47E3-879B-1BD43177630F}"/>
            </a:ext>
            <a:ext uri="{147F2762-F138-4A5C-976F-8EAC2B608ADB}">
              <a16:predDERef xmlns:a16="http://schemas.microsoft.com/office/drawing/2014/main" pred="{76CD16A1-79FC-4738-AAE4-0E7CCD92C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8C18A860-CF58-40A5-B122-4EC1E9BF8AA9}">
    <nsvFilter filterId="{00000000-0001-0000-0000-000000000000}" ref="A1:F151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74D181AD-C8C1-4D38-B310-075F6A22E57B}">
    <nsvFilter filterId="{00000000-0001-0000-0000-000000000000}" ref="A1:F151" tableId="0"/>
  </namedSheetView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1318EA14-9D03-4399-A016-5DAD717AE8BC}">
    <nsvFilter filterId="{00000000-0001-0000-0000-000000000000}" ref="A1:F151" tableId="0"/>
  </namedSheetView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72ADBB47-3895-4868-A988-BBBC8209FA50}">
    <nsvFilter filterId="{00000000-0001-0000-0000-000000000000}" ref="A1:F15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CFF6-9D56-416B-9E2E-83EBAC48EEFA}">
  <sheetPr codeName="Sheet4"/>
  <dimension ref="A1:W151"/>
  <sheetViews>
    <sheetView tabSelected="1" topLeftCell="H7" zoomScaleNormal="100" workbookViewId="0">
      <selection activeCell="O71" sqref="O71"/>
    </sheetView>
  </sheetViews>
  <sheetFormatPr defaultRowHeight="14.25" x14ac:dyDescent="0.55000000000000004"/>
  <cols>
    <col min="1" max="1" width="16.83984375" bestFit="1" customWidth="1"/>
    <col min="2" max="2" width="8" bestFit="1" customWidth="1"/>
    <col min="3" max="3" width="9" bestFit="1" customWidth="1"/>
    <col min="4" max="4" width="11.1015625" bestFit="1" customWidth="1"/>
    <col min="5" max="5" width="15" bestFit="1" customWidth="1"/>
    <col min="6" max="6" width="16.734375" bestFit="1" customWidth="1"/>
    <col min="7" max="7" width="9.26171875" bestFit="1" customWidth="1"/>
    <col min="8" max="8" width="11.83984375" customWidth="1"/>
    <col min="9" max="10" width="12.26171875" bestFit="1" customWidth="1"/>
    <col min="11" max="11" width="11.26171875" bestFit="1" customWidth="1"/>
    <col min="12" max="12" width="11.734375" bestFit="1" customWidth="1"/>
    <col min="13" max="13" width="15.1015625" bestFit="1" customWidth="1"/>
    <col min="14" max="14" width="14.83984375" bestFit="1" customWidth="1"/>
    <col min="15" max="19" width="9.1015625" bestFit="1" customWidth="1"/>
    <col min="20" max="20" width="20.41796875" bestFit="1" customWidth="1"/>
    <col min="21" max="21" width="15" bestFit="1" customWidth="1"/>
    <col min="22" max="22" width="12.83984375" bestFit="1" customWidth="1"/>
    <col min="23" max="23" width="10.26171875" bestFit="1" customWidth="1"/>
    <col min="24" max="97" width="15" bestFit="1" customWidth="1"/>
    <col min="98" max="98" width="10.26171875" bestFit="1" customWidth="1"/>
    <col min="99" max="99" width="13" bestFit="1" customWidth="1"/>
    <col min="100" max="100" width="21.41796875" bestFit="1" customWidth="1"/>
    <col min="101" max="101" width="13" bestFit="1" customWidth="1"/>
    <col min="102" max="102" width="15.41796875" bestFit="1" customWidth="1"/>
    <col min="103" max="103" width="13" bestFit="1" customWidth="1"/>
    <col min="104" max="104" width="15.41796875" bestFit="1" customWidth="1"/>
    <col min="105" max="105" width="13" bestFit="1" customWidth="1"/>
    <col min="106" max="106" width="21.41796875" bestFit="1" customWidth="1"/>
    <col min="107" max="107" width="13" bestFit="1" customWidth="1"/>
    <col min="108" max="108" width="15.41796875" bestFit="1" customWidth="1"/>
    <col min="109" max="109" width="13" bestFit="1" customWidth="1"/>
    <col min="110" max="110" width="15.41796875" bestFit="1" customWidth="1"/>
    <col min="111" max="111" width="13" bestFit="1" customWidth="1"/>
    <col min="112" max="112" width="21.41796875" bestFit="1" customWidth="1"/>
    <col min="113" max="113" width="13" bestFit="1" customWidth="1"/>
    <col min="114" max="114" width="15.41796875" bestFit="1" customWidth="1"/>
    <col min="115" max="115" width="13" bestFit="1" customWidth="1"/>
    <col min="116" max="116" width="15.41796875" bestFit="1" customWidth="1"/>
    <col min="117" max="117" width="13" bestFit="1" customWidth="1"/>
    <col min="118" max="118" width="15.41796875" bestFit="1" customWidth="1"/>
    <col min="119" max="119" width="13" bestFit="1" customWidth="1"/>
    <col min="120" max="120" width="21.41796875" bestFit="1" customWidth="1"/>
    <col min="121" max="121" width="13" bestFit="1" customWidth="1"/>
    <col min="122" max="122" width="15.41796875" bestFit="1" customWidth="1"/>
    <col min="123" max="123" width="13" bestFit="1" customWidth="1"/>
    <col min="124" max="124" width="15.41796875" bestFit="1" customWidth="1"/>
    <col min="125" max="125" width="13" bestFit="1" customWidth="1"/>
    <col min="126" max="126" width="21.41796875" bestFit="1" customWidth="1"/>
    <col min="127" max="127" width="13" bestFit="1" customWidth="1"/>
    <col min="128" max="128" width="15.41796875" bestFit="1" customWidth="1"/>
    <col min="129" max="129" width="13" bestFit="1" customWidth="1"/>
    <col min="130" max="130" width="21.41796875" bestFit="1" customWidth="1"/>
    <col min="131" max="131" width="13" bestFit="1" customWidth="1"/>
    <col min="132" max="132" width="15.41796875" bestFit="1" customWidth="1"/>
    <col min="133" max="133" width="11.26171875" bestFit="1" customWidth="1"/>
    <col min="134" max="134" width="13.41796875" bestFit="1" customWidth="1"/>
    <col min="135" max="135" width="13" bestFit="1" customWidth="1"/>
    <col min="136" max="136" width="15.41796875" bestFit="1" customWidth="1"/>
    <col min="137" max="137" width="13" bestFit="1" customWidth="1"/>
    <col min="138" max="138" width="15.41796875" bestFit="1" customWidth="1"/>
    <col min="139" max="139" width="13" bestFit="1" customWidth="1"/>
    <col min="140" max="140" width="15.41796875" bestFit="1" customWidth="1"/>
    <col min="141" max="141" width="13" bestFit="1" customWidth="1"/>
    <col min="142" max="142" width="15.41796875" bestFit="1" customWidth="1"/>
    <col min="143" max="143" width="13" bestFit="1" customWidth="1"/>
    <col min="144" max="144" width="15.41796875" bestFit="1" customWidth="1"/>
    <col min="145" max="145" width="13" bestFit="1" customWidth="1"/>
    <col min="146" max="146" width="15.41796875" bestFit="1" customWidth="1"/>
    <col min="147" max="147" width="13" bestFit="1" customWidth="1"/>
    <col min="148" max="148" width="15.41796875" bestFit="1" customWidth="1"/>
    <col min="149" max="149" width="14" bestFit="1" customWidth="1"/>
    <col min="150" max="150" width="21.41796875" bestFit="1" customWidth="1"/>
    <col min="151" max="151" width="13" bestFit="1" customWidth="1"/>
    <col min="152" max="152" width="15.41796875" bestFit="1" customWidth="1"/>
    <col min="153" max="153" width="13" bestFit="1" customWidth="1"/>
    <col min="154" max="154" width="15.41796875" bestFit="1" customWidth="1"/>
    <col min="155" max="155" width="14" bestFit="1" customWidth="1"/>
    <col min="156" max="156" width="21.41796875" bestFit="1" customWidth="1"/>
    <col min="157" max="157" width="12" bestFit="1" customWidth="1"/>
    <col min="158" max="158" width="14.41796875" bestFit="1" customWidth="1"/>
    <col min="159" max="159" width="14" bestFit="1" customWidth="1"/>
    <col min="160" max="160" width="21.41796875" bestFit="1" customWidth="1"/>
    <col min="161" max="161" width="13" bestFit="1" customWidth="1"/>
    <col min="162" max="162" width="21.41796875" bestFit="1" customWidth="1"/>
    <col min="163" max="163" width="13" bestFit="1" customWidth="1"/>
    <col min="164" max="164" width="21.41796875" bestFit="1" customWidth="1"/>
    <col min="165" max="165" width="13" bestFit="1" customWidth="1"/>
    <col min="166" max="166" width="15.41796875" bestFit="1" customWidth="1"/>
    <col min="167" max="167" width="13" bestFit="1" customWidth="1"/>
    <col min="168" max="168" width="15.41796875" bestFit="1" customWidth="1"/>
    <col min="169" max="169" width="13" bestFit="1" customWidth="1"/>
    <col min="170" max="170" width="21.41796875" bestFit="1" customWidth="1"/>
    <col min="171" max="171" width="13" bestFit="1" customWidth="1"/>
    <col min="172" max="172" width="15.41796875" bestFit="1" customWidth="1"/>
    <col min="173" max="173" width="10.26171875" bestFit="1" customWidth="1"/>
  </cols>
  <sheetData>
    <row r="1" spans="1:23" ht="14.65" thickBot="1" x14ac:dyDescent="0.6">
      <c r="A1" s="29" t="s">
        <v>0</v>
      </c>
      <c r="B1" s="30" t="s">
        <v>1</v>
      </c>
      <c r="C1" s="30" t="s">
        <v>2</v>
      </c>
      <c r="D1" s="30" t="s">
        <v>14</v>
      </c>
      <c r="E1" s="31" t="s">
        <v>3</v>
      </c>
      <c r="F1" t="s">
        <v>34</v>
      </c>
      <c r="H1" t="s">
        <v>4</v>
      </c>
    </row>
    <row r="2" spans="1:23" x14ac:dyDescent="0.55000000000000004">
      <c r="A2" s="1" t="s">
        <v>5</v>
      </c>
      <c r="B2" s="33">
        <v>1</v>
      </c>
      <c r="C2" s="33">
        <v>50</v>
      </c>
      <c r="D2" s="33" t="s">
        <v>8</v>
      </c>
      <c r="E2" s="33">
        <v>-414.59568599999898</v>
      </c>
      <c r="F2" s="2" t="str">
        <f>IF(D2="Far",IF(E2&lt;$U$23,"Positive","Negative"),IF(E2&gt;$U$23,"Positive","Negative"))</f>
        <v>Positive</v>
      </c>
      <c r="G2" s="35"/>
      <c r="H2" t="s">
        <v>7</v>
      </c>
    </row>
    <row r="3" spans="1:23" x14ac:dyDescent="0.55000000000000004">
      <c r="A3" s="3" t="s">
        <v>5</v>
      </c>
      <c r="B3" s="32">
        <v>1</v>
      </c>
      <c r="C3" s="32">
        <v>50</v>
      </c>
      <c r="D3" s="32" t="s">
        <v>6</v>
      </c>
      <c r="E3" s="32">
        <v>-413.78227199999998</v>
      </c>
      <c r="F3" s="4" t="str">
        <f>IF(D3="Far",IF(E3&lt;$U$23,"Positive","Negative"),IF(E3&gt;$U$23,"Positive","Negative"))</f>
        <v>Negative</v>
      </c>
    </row>
    <row r="4" spans="1:23" ht="14.7" thickBot="1" x14ac:dyDescent="0.6">
      <c r="A4" s="3" t="s">
        <v>5</v>
      </c>
      <c r="B4" s="32">
        <v>2</v>
      </c>
      <c r="C4" s="32">
        <v>50</v>
      </c>
      <c r="D4" s="32" t="s">
        <v>8</v>
      </c>
      <c r="E4" s="32">
        <v>-416.38969799999899</v>
      </c>
      <c r="F4" s="4" t="str">
        <f>IF(D4="Far",IF(E4&lt;$U$23,"Positive","Negative"),IF(E4&gt;$U$23,"Positive","Negative"))</f>
        <v>Positive</v>
      </c>
      <c r="H4" s="26" t="s">
        <v>15</v>
      </c>
      <c r="I4" s="26"/>
      <c r="J4" s="26"/>
    </row>
    <row r="5" spans="1:23" ht="14.65" thickBot="1" x14ac:dyDescent="0.6">
      <c r="A5" s="3" t="s">
        <v>5</v>
      </c>
      <c r="B5" s="32">
        <v>2</v>
      </c>
      <c r="C5" s="32">
        <v>50</v>
      </c>
      <c r="D5" s="32" t="s">
        <v>6</v>
      </c>
      <c r="E5" s="32">
        <v>-410.75902899999897</v>
      </c>
      <c r="F5" s="4" t="str">
        <f>IF(D5="Far",IF(E5&lt;$U$23,"Positive","Negative"),IF(E5&gt;$U$23,"Positive","Negative"))</f>
        <v>Negative</v>
      </c>
      <c r="T5" s="8" t="s">
        <v>17</v>
      </c>
      <c r="U5" s="9" t="s">
        <v>16</v>
      </c>
      <c r="W5" t="s">
        <v>30</v>
      </c>
    </row>
    <row r="6" spans="1:23" ht="14.65" thickBot="1" x14ac:dyDescent="0.6">
      <c r="A6" s="3" t="s">
        <v>5</v>
      </c>
      <c r="B6" s="32">
        <v>3</v>
      </c>
      <c r="C6" s="32">
        <v>50</v>
      </c>
      <c r="D6" s="32" t="s">
        <v>8</v>
      </c>
      <c r="E6" s="32">
        <v>-410.61978099999999</v>
      </c>
      <c r="F6" s="4" t="str">
        <f>IF(D6="Far",IF(E6&lt;$U$23,"Positive","Negative"),IF(E6&gt;$U$23,"Positive","Negative"))</f>
        <v>Positive</v>
      </c>
      <c r="H6" s="14">
        <v>1</v>
      </c>
      <c r="I6" s="10" t="s">
        <v>6</v>
      </c>
      <c r="J6" s="9" t="s">
        <v>8</v>
      </c>
      <c r="T6" s="21" t="s">
        <v>6</v>
      </c>
      <c r="U6" s="2">
        <f>SUMIF(D2:D151,D3,E2:E151)/COUNTIF(D2:D151,D3)</f>
        <v>-413.39397312463041</v>
      </c>
      <c r="W6" t="s">
        <v>31</v>
      </c>
    </row>
    <row r="7" spans="1:23" ht="14.65" thickBot="1" x14ac:dyDescent="0.6">
      <c r="A7" s="3" t="s">
        <v>5</v>
      </c>
      <c r="B7" s="32">
        <v>3</v>
      </c>
      <c r="C7" s="32">
        <v>50</v>
      </c>
      <c r="D7" s="32" t="s">
        <v>6</v>
      </c>
      <c r="E7" s="32">
        <v>-407.67148799999899</v>
      </c>
      <c r="F7" s="4" t="str">
        <f>IF(D7="Far",IF(E7&lt;$U$23,"Positive","Negative"),IF(E7&gt;$U$23,"Positive","Negative"))</f>
        <v>Negative</v>
      </c>
      <c r="H7" s="15" t="s">
        <v>5</v>
      </c>
      <c r="I7" s="11">
        <f>E7</f>
        <v>-407.67148799999899</v>
      </c>
      <c r="J7" s="7">
        <f>E6</f>
        <v>-410.61978099999999</v>
      </c>
      <c r="T7" s="20" t="s">
        <v>8</v>
      </c>
      <c r="U7" s="6">
        <f>SUMIF(D2:D151,D2,E2:E151)/COUNTIF(D2:D151,D2)</f>
        <v>-415.69718039422258</v>
      </c>
      <c r="W7" t="s">
        <v>32</v>
      </c>
    </row>
    <row r="8" spans="1:23" x14ac:dyDescent="0.55000000000000004">
      <c r="A8" s="3" t="s">
        <v>5</v>
      </c>
      <c r="B8" s="32">
        <v>4</v>
      </c>
      <c r="C8" s="32">
        <v>50</v>
      </c>
      <c r="D8" s="32" t="s">
        <v>8</v>
      </c>
      <c r="E8" s="32">
        <v>-412.38958200000002</v>
      </c>
      <c r="F8" s="4" t="str">
        <f>IF(D8="Far",IF(E8&lt;$U$23,"Positive","Negative"),IF(E8&gt;$U$23,"Positive","Negative"))</f>
        <v>Positive</v>
      </c>
      <c r="H8" s="16" t="s">
        <v>9</v>
      </c>
      <c r="I8" s="12">
        <f>E37</f>
        <v>-418.05220600000001</v>
      </c>
      <c r="J8" s="4">
        <f>E36</f>
        <v>-421.29773499999902</v>
      </c>
      <c r="T8" s="22">
        <v>0.2</v>
      </c>
      <c r="U8" s="2">
        <f>SUMIF(C2:C151,C2,E2:E151)/COUNTIF(C2:C151,C2)</f>
        <v>-414.1797417844441</v>
      </c>
    </row>
    <row r="9" spans="1:23" x14ac:dyDescent="0.55000000000000004">
      <c r="A9" s="3" t="s">
        <v>5</v>
      </c>
      <c r="B9" s="32">
        <v>4</v>
      </c>
      <c r="C9" s="32">
        <v>50</v>
      </c>
      <c r="D9" s="32" t="s">
        <v>6</v>
      </c>
      <c r="E9" s="32">
        <v>-411.50027899999901</v>
      </c>
      <c r="F9" s="4" t="str">
        <f>IF(D9="Far",IF(E9&lt;$U$23,"Positive","Negative"),IF(E9&gt;$U$23,"Positive","Negative"))</f>
        <v>Negative</v>
      </c>
      <c r="H9" s="16" t="s">
        <v>10</v>
      </c>
      <c r="I9" s="12">
        <f>E67</f>
        <v>-404.36680000000001</v>
      </c>
      <c r="J9" s="4">
        <f>E66</f>
        <v>-407.79607700000003</v>
      </c>
      <c r="T9" s="19">
        <v>0.4</v>
      </c>
      <c r="U9" s="4">
        <f>SUMIF(C2:C151,C4,E2:E151)/COUNTIF(C2:C151,C4)</f>
        <v>-414.1797417844441</v>
      </c>
    </row>
    <row r="10" spans="1:23" ht="14.65" thickBot="1" x14ac:dyDescent="0.6">
      <c r="A10" s="3" t="s">
        <v>5</v>
      </c>
      <c r="B10" s="32">
        <v>5</v>
      </c>
      <c r="C10" s="32">
        <v>50</v>
      </c>
      <c r="D10" s="32" t="s">
        <v>8</v>
      </c>
      <c r="E10" s="32">
        <v>-413.39908600000001</v>
      </c>
      <c r="F10" s="4" t="str">
        <f>IF(D10="Far",IF(E10&lt;$U$23,"Positive","Negative"),IF(E10&gt;$U$23,"Positive","Negative"))</f>
        <v>Positive</v>
      </c>
      <c r="H10" s="16" t="s">
        <v>11</v>
      </c>
      <c r="I10" s="12">
        <f>E97</f>
        <v>-419.78301399999998</v>
      </c>
      <c r="J10" s="4">
        <f>E96</f>
        <v>-415.817429</v>
      </c>
      <c r="T10" s="23">
        <v>0.5</v>
      </c>
      <c r="U10" s="6">
        <f>SUMIF(C2:C151,C6,E2:E151)/COUNTIF(C2:C151,C6)</f>
        <v>-414.1797417844441</v>
      </c>
    </row>
    <row r="11" spans="1:23" ht="14.65" thickBot="1" x14ac:dyDescent="0.6">
      <c r="A11" s="3" t="s">
        <v>5</v>
      </c>
      <c r="B11" s="32">
        <v>5</v>
      </c>
      <c r="C11" s="32">
        <v>50</v>
      </c>
      <c r="D11" s="32" t="s">
        <v>6</v>
      </c>
      <c r="E11" s="32">
        <v>-394.819296047904</v>
      </c>
      <c r="F11" s="4" t="str">
        <f>IF(D11="Far",IF(E11&lt;$U$23,"Positive","Negative"),IF(E11&gt;$U$23,"Positive","Negative"))</f>
        <v>Positive</v>
      </c>
      <c r="H11" s="17" t="s">
        <v>12</v>
      </c>
      <c r="I11" s="13">
        <f>E127</f>
        <v>-415.91119300000003</v>
      </c>
      <c r="J11" s="6">
        <f>E126</f>
        <v>-422.84276699999998</v>
      </c>
      <c r="T11" s="21" t="s">
        <v>18</v>
      </c>
      <c r="U11" s="2">
        <f>AVERAGE(E122:E151)</f>
        <v>-418.12432681851789</v>
      </c>
    </row>
    <row r="12" spans="1:23" ht="14.65" thickBot="1" x14ac:dyDescent="0.6">
      <c r="A12" s="3" t="s">
        <v>9</v>
      </c>
      <c r="B12" s="32">
        <v>1</v>
      </c>
      <c r="C12" s="32">
        <v>50</v>
      </c>
      <c r="D12" s="32" t="s">
        <v>8</v>
      </c>
      <c r="E12" s="32">
        <v>-411.47698599999899</v>
      </c>
      <c r="F12" s="4" t="str">
        <f>IF(D12="Far",IF(E12&lt;$U$23,"Positive","Negative"),IF(E12&gt;$U$23,"Positive","Negative"))</f>
        <v>Positive</v>
      </c>
      <c r="T12" s="18" t="s">
        <v>19</v>
      </c>
      <c r="U12" s="4">
        <f>AVERAGE(E92:E121)</f>
        <v>-413.71452941929624</v>
      </c>
    </row>
    <row r="13" spans="1:23" ht="14.65" thickBot="1" x14ac:dyDescent="0.6">
      <c r="A13" s="3" t="s">
        <v>9</v>
      </c>
      <c r="B13" s="32">
        <v>1</v>
      </c>
      <c r="C13" s="32">
        <v>50</v>
      </c>
      <c r="D13" s="32" t="s">
        <v>6</v>
      </c>
      <c r="E13" s="32">
        <v>-418.45319699999902</v>
      </c>
      <c r="F13" s="4" t="str">
        <f>IF(D13="Far",IF(E13&lt;$U$23,"Positive","Negative"),IF(E13&gt;$U$23,"Positive","Negative"))</f>
        <v>Negative</v>
      </c>
      <c r="H13" s="14">
        <v>2</v>
      </c>
      <c r="I13" s="10" t="s">
        <v>6</v>
      </c>
      <c r="J13" s="9" t="s">
        <v>8</v>
      </c>
      <c r="T13" s="18" t="s">
        <v>20</v>
      </c>
      <c r="U13" s="4">
        <f>AVERAGE(E62:E91)</f>
        <v>-413.66108450939646</v>
      </c>
    </row>
    <row r="14" spans="1:23" x14ac:dyDescent="0.55000000000000004">
      <c r="A14" s="3" t="s">
        <v>9</v>
      </c>
      <c r="B14" s="32">
        <v>2</v>
      </c>
      <c r="C14" s="32">
        <v>50</v>
      </c>
      <c r="D14" s="32" t="s">
        <v>8</v>
      </c>
      <c r="E14" s="32">
        <v>-404.95466699999997</v>
      </c>
      <c r="F14" s="4" t="str">
        <f>IF(D14="Far",IF(E14&lt;$U$23,"Positive","Negative"),IF(E14&gt;$U$23,"Positive","Negative"))</f>
        <v>Negative</v>
      </c>
      <c r="H14" s="15" t="s">
        <v>5</v>
      </c>
      <c r="I14" s="11">
        <f>E13</f>
        <v>-418.45319699999902</v>
      </c>
      <c r="J14" s="7">
        <f>E12</f>
        <v>-411.47698599999899</v>
      </c>
      <c r="T14" s="18" t="s">
        <v>21</v>
      </c>
      <c r="U14" s="4">
        <f>AVERAGE(E32:E61)</f>
        <v>-414.97047339436654</v>
      </c>
    </row>
    <row r="15" spans="1:23" ht="14.65" thickBot="1" x14ac:dyDescent="0.6">
      <c r="A15" s="3" t="s">
        <v>9</v>
      </c>
      <c r="B15" s="32">
        <v>2</v>
      </c>
      <c r="C15" s="32">
        <v>50</v>
      </c>
      <c r="D15" s="32" t="s">
        <v>6</v>
      </c>
      <c r="E15" s="32">
        <v>-414.43664799999902</v>
      </c>
      <c r="F15" s="4" t="str">
        <f>IF(D15="Far",IF(E15&lt;$U$23,"Positive","Negative"),IF(E15&gt;$U$23,"Positive","Negative"))</f>
        <v>Negative</v>
      </c>
      <c r="H15" s="16" t="s">
        <v>9</v>
      </c>
      <c r="I15" s="12">
        <f>E43</f>
        <v>-423.91091499999999</v>
      </c>
      <c r="J15" s="4">
        <f>E42</f>
        <v>-424.73098499999998</v>
      </c>
      <c r="T15" s="20" t="s">
        <v>22</v>
      </c>
      <c r="U15" s="6">
        <f>AVERAGE(E2:E31)</f>
        <v>-412.25746965555533</v>
      </c>
    </row>
    <row r="16" spans="1:23" x14ac:dyDescent="0.55000000000000004">
      <c r="A16" s="3" t="s">
        <v>9</v>
      </c>
      <c r="B16" s="32">
        <v>3</v>
      </c>
      <c r="C16" s="32">
        <v>50</v>
      </c>
      <c r="D16" s="32" t="s">
        <v>8</v>
      </c>
      <c r="E16" s="32">
        <v>-407.48606999999998</v>
      </c>
      <c r="F16" s="4" t="str">
        <f>IF(D16="Far",IF(E16&lt;$U$23,"Positive","Negative"),IF(E16&gt;$U$23,"Positive","Negative"))</f>
        <v>Positive</v>
      </c>
      <c r="H16" s="16" t="s">
        <v>10</v>
      </c>
      <c r="I16" s="12">
        <f>E73</f>
        <v>-406.76716299999998</v>
      </c>
      <c r="J16" s="4">
        <f>E72</f>
        <v>-409.771413</v>
      </c>
      <c r="T16" s="1" t="s">
        <v>23</v>
      </c>
      <c r="U16" s="2" t="e">
        <f>SUMIF(C122:C151,C6,E122:E151)/COUNTIF(C122:C151,C6)</f>
        <v>#DIV/0!</v>
      </c>
    </row>
    <row r="17" spans="1:21" x14ac:dyDescent="0.55000000000000004">
      <c r="A17" s="3" t="s">
        <v>9</v>
      </c>
      <c r="B17" s="32">
        <v>3</v>
      </c>
      <c r="C17" s="32">
        <v>50</v>
      </c>
      <c r="D17" s="32" t="s">
        <v>6</v>
      </c>
      <c r="E17" s="32">
        <v>-404.19278800000001</v>
      </c>
      <c r="F17" s="4" t="str">
        <f>IF(D17="Far",IF(E17&lt;$U$23,"Positive","Negative"),IF(E17&gt;$U$23,"Positive","Negative"))</f>
        <v>Positive</v>
      </c>
      <c r="H17" s="16" t="s">
        <v>11</v>
      </c>
      <c r="I17" s="12">
        <f>E103</f>
        <v>-414.48324300000002</v>
      </c>
      <c r="J17" s="4">
        <f>E102</f>
        <v>-416.073070999999</v>
      </c>
      <c r="T17" s="3" t="s">
        <v>24</v>
      </c>
      <c r="U17" s="4" t="e">
        <f>SUMIF(C92:C121,C6,E92:E121)/COUNTIF(C92:C121,C6)</f>
        <v>#DIV/0!</v>
      </c>
    </row>
    <row r="18" spans="1:21" ht="14.65" thickBot="1" x14ac:dyDescent="0.6">
      <c r="A18" s="3" t="s">
        <v>9</v>
      </c>
      <c r="B18" s="32">
        <v>4</v>
      </c>
      <c r="C18" s="32">
        <v>50</v>
      </c>
      <c r="D18" s="32" t="s">
        <v>8</v>
      </c>
      <c r="E18" s="32">
        <v>-407.41758350100503</v>
      </c>
      <c r="F18" s="4" t="str">
        <f>IF(D18="Far",IF(E18&lt;$U$23,"Positive","Negative"),IF(E18&gt;$U$23,"Positive","Negative"))</f>
        <v>Positive</v>
      </c>
      <c r="H18" s="17" t="s">
        <v>12</v>
      </c>
      <c r="I18" s="13">
        <f>E133</f>
        <v>-425.12276800000001</v>
      </c>
      <c r="J18" s="6">
        <f>E132</f>
        <v>-420.75463399999899</v>
      </c>
      <c r="T18" s="3" t="s">
        <v>25</v>
      </c>
      <c r="U18" s="4" t="e">
        <f>SUMIF(C62:C91,C6,E62:E91)/COUNTIF(C62:C91,C6)</f>
        <v>#DIV/0!</v>
      </c>
    </row>
    <row r="19" spans="1:21" ht="14.65" thickBot="1" x14ac:dyDescent="0.6">
      <c r="A19" s="3" t="s">
        <v>9</v>
      </c>
      <c r="B19" s="32">
        <v>4</v>
      </c>
      <c r="C19" s="32">
        <v>50</v>
      </c>
      <c r="D19" s="32" t="s">
        <v>6</v>
      </c>
      <c r="E19" s="32">
        <v>-396.17139111776402</v>
      </c>
      <c r="F19" s="4" t="str">
        <f>IF(D19="Far",IF(E19&lt;$U$23,"Positive","Negative"),IF(E19&gt;$U$23,"Positive","Negative"))</f>
        <v>Positive</v>
      </c>
      <c r="T19" s="3" t="s">
        <v>26</v>
      </c>
      <c r="U19" s="4">
        <f>SUMIF(C32:C61,C6,E32:E61)/COUNTIF(C32:C61,C6)</f>
        <v>-417.06314997777747</v>
      </c>
    </row>
    <row r="20" spans="1:21" ht="14.65" thickBot="1" x14ac:dyDescent="0.6">
      <c r="A20" s="3" t="s">
        <v>9</v>
      </c>
      <c r="B20" s="32">
        <v>5</v>
      </c>
      <c r="C20" s="32">
        <v>50</v>
      </c>
      <c r="D20" s="32" t="s">
        <v>8</v>
      </c>
      <c r="E20" s="32">
        <v>-414.65309600000001</v>
      </c>
      <c r="F20" s="4" t="str">
        <f>IF(D20="Far",IF(E20&lt;$U$23,"Positive","Negative"),IF(E20&gt;$U$23,"Positive","Negative"))</f>
        <v>Positive</v>
      </c>
      <c r="H20" s="14">
        <v>3</v>
      </c>
      <c r="I20" s="10" t="s">
        <v>6</v>
      </c>
      <c r="J20" s="9" t="s">
        <v>8</v>
      </c>
      <c r="T20" s="5" t="s">
        <v>27</v>
      </c>
      <c r="U20" s="6">
        <f>SUMIF(C2:C31,C6,E2:E31)/COUNTIF(C2:C31,C6)</f>
        <v>-412.25746965555533</v>
      </c>
    </row>
    <row r="21" spans="1:21" ht="14.65" thickBot="1" x14ac:dyDescent="0.6">
      <c r="A21" s="3" t="s">
        <v>9</v>
      </c>
      <c r="B21" s="32">
        <v>5</v>
      </c>
      <c r="C21" s="32">
        <v>50</v>
      </c>
      <c r="D21" s="32" t="s">
        <v>6</v>
      </c>
      <c r="E21" s="32">
        <v>-408.15661299999903</v>
      </c>
      <c r="F21" s="4" t="str">
        <f>IF(D21="Far",IF(E21&lt;$U$23,"Positive","Negative"),IF(E21&gt;$U$23,"Positive","Negative"))</f>
        <v>Negative</v>
      </c>
      <c r="H21" s="15" t="s">
        <v>5</v>
      </c>
      <c r="I21" s="11">
        <f>E19</f>
        <v>-396.17139111776402</v>
      </c>
      <c r="J21" s="7">
        <f>E18</f>
        <v>-407.41758350100503</v>
      </c>
    </row>
    <row r="22" spans="1:21" ht="14.65" thickBot="1" x14ac:dyDescent="0.6">
      <c r="A22" s="3" t="s">
        <v>13</v>
      </c>
      <c r="B22" s="32">
        <v>1</v>
      </c>
      <c r="C22" s="32">
        <v>50</v>
      </c>
      <c r="D22" s="32" t="s">
        <v>8</v>
      </c>
      <c r="E22" s="32">
        <v>-409.57085599999999</v>
      </c>
      <c r="F22" s="4" t="str">
        <f>IF(D22="Far",IF(E22&lt;$U$23,"Positive","Negative"),IF(E22&gt;$U$23,"Positive","Negative"))</f>
        <v>Positive</v>
      </c>
      <c r="H22" s="16" t="s">
        <v>9</v>
      </c>
      <c r="I22" s="12">
        <f>E49</f>
        <v>-418.43720299999899</v>
      </c>
      <c r="J22" s="4">
        <f>E48</f>
        <v>-419.79411099999999</v>
      </c>
      <c r="T22" s="8" t="s">
        <v>28</v>
      </c>
      <c r="U22" s="9">
        <f>U7-U6</f>
        <v>-2.3032072695921784</v>
      </c>
    </row>
    <row r="23" spans="1:21" ht="14.65" thickBot="1" x14ac:dyDescent="0.6">
      <c r="A23" s="3" t="s">
        <v>13</v>
      </c>
      <c r="B23" s="32">
        <v>1</v>
      </c>
      <c r="C23" s="32">
        <v>50</v>
      </c>
      <c r="D23" s="32" t="s">
        <v>6</v>
      </c>
      <c r="E23" s="32">
        <v>-406.64960100000002</v>
      </c>
      <c r="F23" s="4" t="str">
        <f>IF(D23="Far",IF(E23&lt;$U$23,"Positive","Negative"),IF(E23&gt;$U$23,"Positive","Negative"))</f>
        <v>Positive</v>
      </c>
      <c r="H23" s="16" t="s">
        <v>10</v>
      </c>
      <c r="I23" s="12">
        <f>E79</f>
        <v>-419.35160100000002</v>
      </c>
      <c r="J23" s="4">
        <f>E78</f>
        <v>-421.29346500000003</v>
      </c>
      <c r="T23" s="24" t="s">
        <v>29</v>
      </c>
      <c r="U23" s="25">
        <v>-407.1</v>
      </c>
    </row>
    <row r="24" spans="1:21" x14ac:dyDescent="0.55000000000000004">
      <c r="A24" s="3" t="s">
        <v>13</v>
      </c>
      <c r="B24" s="32">
        <v>2</v>
      </c>
      <c r="C24" s="32">
        <v>50</v>
      </c>
      <c r="D24" s="32" t="s">
        <v>8</v>
      </c>
      <c r="E24" s="32">
        <v>-422.18893999999898</v>
      </c>
      <c r="F24" s="4" t="str">
        <f>IF(D24="Far",IF(E24&lt;$U$23,"Positive","Negative"),IF(E24&gt;$U$23,"Positive","Negative"))</f>
        <v>Positive</v>
      </c>
      <c r="H24" s="16" t="s">
        <v>11</v>
      </c>
      <c r="I24" s="12">
        <f>E109</f>
        <v>-412.141212</v>
      </c>
      <c r="J24" s="4">
        <f>E108</f>
        <v>-413.27146099999902</v>
      </c>
    </row>
    <row r="25" spans="1:21" ht="14.65" thickBot="1" x14ac:dyDescent="0.6">
      <c r="A25" s="3" t="s">
        <v>13</v>
      </c>
      <c r="B25" s="32">
        <v>2</v>
      </c>
      <c r="C25" s="32">
        <v>50</v>
      </c>
      <c r="D25" s="32" t="s">
        <v>6</v>
      </c>
      <c r="E25" s="32">
        <v>-420.01772099999903</v>
      </c>
      <c r="F25" s="4" t="str">
        <f>IF(D25="Far",IF(E25&lt;$U$23,"Positive","Negative"),IF(E25&gt;$U$23,"Positive","Negative"))</f>
        <v>Negative</v>
      </c>
      <c r="H25" s="17" t="s">
        <v>12</v>
      </c>
      <c r="I25" s="13">
        <f>E139</f>
        <v>-406.27683499999898</v>
      </c>
      <c r="J25" s="6">
        <f>E138</f>
        <v>-416.92977299999899</v>
      </c>
    </row>
    <row r="26" spans="1:21" ht="14.65" thickBot="1" x14ac:dyDescent="0.6">
      <c r="A26" s="3" t="s">
        <v>13</v>
      </c>
      <c r="B26" s="32">
        <v>3</v>
      </c>
      <c r="C26" s="32">
        <v>50</v>
      </c>
      <c r="D26" s="32" t="s">
        <v>8</v>
      </c>
      <c r="E26" s="32">
        <v>-421.18398100000002</v>
      </c>
      <c r="F26" s="4" t="str">
        <f>IF(D26="Far",IF(E26&lt;$U$23,"Positive","Negative"),IF(E26&gt;$U$23,"Positive","Negative"))</f>
        <v>Positive</v>
      </c>
    </row>
    <row r="27" spans="1:21" ht="14.65" thickBot="1" x14ac:dyDescent="0.6">
      <c r="A27" s="3" t="s">
        <v>13</v>
      </c>
      <c r="B27" s="32">
        <v>3</v>
      </c>
      <c r="C27" s="32">
        <v>50</v>
      </c>
      <c r="D27" s="32" t="s">
        <v>6</v>
      </c>
      <c r="E27" s="32">
        <v>-414.96102100000002</v>
      </c>
      <c r="F27" s="4" t="str">
        <f>IF(D27="Far",IF(E27&lt;$U$23,"Positive","Negative"),IF(E27&gt;$U$23,"Positive","Negative"))</f>
        <v>Negative</v>
      </c>
      <c r="H27" s="14">
        <v>4</v>
      </c>
      <c r="I27" s="10" t="s">
        <v>6</v>
      </c>
      <c r="J27" s="9" t="s">
        <v>8</v>
      </c>
    </row>
    <row r="28" spans="1:21" x14ac:dyDescent="0.55000000000000004">
      <c r="A28" s="3" t="s">
        <v>13</v>
      </c>
      <c r="B28" s="32">
        <v>4</v>
      </c>
      <c r="C28" s="32">
        <v>50</v>
      </c>
      <c r="D28" s="32" t="s">
        <v>8</v>
      </c>
      <c r="E28" s="32">
        <v>-420.73586799999998</v>
      </c>
      <c r="F28" s="4" t="str">
        <f>IF(D28="Far",IF(E28&lt;$U$23,"Positive","Negative"),IF(E28&gt;$U$23,"Positive","Negative"))</f>
        <v>Positive</v>
      </c>
      <c r="H28" s="15" t="s">
        <v>5</v>
      </c>
      <c r="I28" s="11">
        <f>E25</f>
        <v>-420.01772099999903</v>
      </c>
      <c r="J28" s="7">
        <f>E24</f>
        <v>-422.18893999999898</v>
      </c>
    </row>
    <row r="29" spans="1:21" x14ac:dyDescent="0.55000000000000004">
      <c r="A29" s="3" t="s">
        <v>13</v>
      </c>
      <c r="B29" s="32">
        <v>4</v>
      </c>
      <c r="C29" s="32">
        <v>50</v>
      </c>
      <c r="D29" s="32" t="s">
        <v>6</v>
      </c>
      <c r="E29" s="32">
        <v>-419.16714400000001</v>
      </c>
      <c r="F29" s="4" t="str">
        <f>IF(D29="Far",IF(E29&lt;$U$23,"Positive","Negative"),IF(E29&gt;$U$23,"Positive","Negative"))</f>
        <v>Negative</v>
      </c>
      <c r="H29" s="16" t="s">
        <v>9</v>
      </c>
      <c r="I29" s="12">
        <f>E55</f>
        <v>-411.10514799999999</v>
      </c>
      <c r="J29" s="4">
        <f>E54</f>
        <v>-416.66741499999898</v>
      </c>
    </row>
    <row r="30" spans="1:21" x14ac:dyDescent="0.55000000000000004">
      <c r="A30" s="3" t="s">
        <v>13</v>
      </c>
      <c r="B30" s="32">
        <v>5</v>
      </c>
      <c r="C30" s="32">
        <v>50</v>
      </c>
      <c r="D30" s="32" t="s">
        <v>8</v>
      </c>
      <c r="E30" s="32">
        <v>-420.29445399999901</v>
      </c>
      <c r="F30" s="4" t="str">
        <f>IF(D30="Far",IF(E30&lt;$U$23,"Positive","Negative"),IF(E30&gt;$U$23,"Positive","Negative"))</f>
        <v>Positive</v>
      </c>
      <c r="H30" s="16" t="s">
        <v>10</v>
      </c>
      <c r="I30" s="12">
        <f>E85</f>
        <v>-415.70050099999997</v>
      </c>
      <c r="J30" s="4">
        <f>E84</f>
        <v>-409.29817400000002</v>
      </c>
    </row>
    <row r="31" spans="1:21" x14ac:dyDescent="0.55000000000000004">
      <c r="A31" s="3" t="s">
        <v>13</v>
      </c>
      <c r="B31" s="32">
        <v>5</v>
      </c>
      <c r="C31" s="32">
        <v>50</v>
      </c>
      <c r="D31" s="32" t="s">
        <v>6</v>
      </c>
      <c r="E31" s="32">
        <v>-419.62926700000003</v>
      </c>
      <c r="F31" s="4" t="str">
        <f>IF(D31="Far",IF(E31&lt;$U$23,"Positive","Negative"),IF(E31&gt;$U$23,"Positive","Negative"))</f>
        <v>Negative</v>
      </c>
      <c r="H31" s="16" t="s">
        <v>11</v>
      </c>
      <c r="I31" s="12">
        <f>E115</f>
        <v>-415.25006300000001</v>
      </c>
      <c r="J31" s="4">
        <f>E114</f>
        <v>-405.84283199999999</v>
      </c>
    </row>
    <row r="32" spans="1:21" ht="14.65" thickBot="1" x14ac:dyDescent="0.6">
      <c r="A32" s="3" t="s">
        <v>11</v>
      </c>
      <c r="B32" s="32">
        <v>1</v>
      </c>
      <c r="C32" s="32">
        <v>50</v>
      </c>
      <c r="D32" s="32" t="s">
        <v>8</v>
      </c>
      <c r="E32" s="32">
        <v>-419.16707400000001</v>
      </c>
      <c r="F32" s="4" t="str">
        <f>IF(D32="Far",IF(E32&lt;$U$23,"Positive","Negative"),IF(E32&gt;$U$23,"Positive","Negative"))</f>
        <v>Positive</v>
      </c>
      <c r="H32" s="17" t="s">
        <v>12</v>
      </c>
      <c r="I32" s="13">
        <f>E145</f>
        <v>-425.30879099999999</v>
      </c>
      <c r="J32" s="6">
        <f>E144</f>
        <v>-425.89338799999899</v>
      </c>
    </row>
    <row r="33" spans="1:10" ht="14.65" thickBot="1" x14ac:dyDescent="0.6">
      <c r="A33" s="3" t="s">
        <v>11</v>
      </c>
      <c r="B33" s="32">
        <v>1</v>
      </c>
      <c r="C33" s="32">
        <v>50</v>
      </c>
      <c r="D33" s="32" t="s">
        <v>6</v>
      </c>
      <c r="E33" s="32">
        <v>-424.45169299999901</v>
      </c>
      <c r="F33" s="4" t="str">
        <f>IF(D33="Far",IF(E33&lt;$U$23,"Positive","Negative"),IF(E33&gt;$U$23,"Positive","Negative"))</f>
        <v>Negative</v>
      </c>
    </row>
    <row r="34" spans="1:10" ht="14.65" thickBot="1" x14ac:dyDescent="0.6">
      <c r="A34" s="3" t="s">
        <v>11</v>
      </c>
      <c r="B34" s="32">
        <v>2</v>
      </c>
      <c r="C34" s="32">
        <v>50</v>
      </c>
      <c r="D34" s="32" t="s">
        <v>8</v>
      </c>
      <c r="E34" s="32">
        <v>-408.87715500000002</v>
      </c>
      <c r="F34" s="4" t="str">
        <f>IF(D34="Far",IF(E34&lt;$U$23,"Positive","Negative"),IF(E34&gt;$U$23,"Positive","Negative"))</f>
        <v>Positive</v>
      </c>
      <c r="H34" s="14">
        <v>5</v>
      </c>
      <c r="I34" s="10" t="s">
        <v>6</v>
      </c>
      <c r="J34" s="9" t="s">
        <v>8</v>
      </c>
    </row>
    <row r="35" spans="1:10" x14ac:dyDescent="0.55000000000000004">
      <c r="A35" s="3" t="s">
        <v>11</v>
      </c>
      <c r="B35" s="32">
        <v>2</v>
      </c>
      <c r="C35" s="32">
        <v>50</v>
      </c>
      <c r="D35" s="32" t="s">
        <v>6</v>
      </c>
      <c r="E35" s="32">
        <v>-415.51702199999897</v>
      </c>
      <c r="F35" s="4" t="str">
        <f>IF(D35="Far",IF(E35&lt;$U$23,"Positive","Negative"),IF(E35&gt;$U$23,"Positive","Negative"))</f>
        <v>Negative</v>
      </c>
      <c r="H35" s="15" t="s">
        <v>5</v>
      </c>
      <c r="I35" s="11">
        <f>E31</f>
        <v>-419.62926700000003</v>
      </c>
      <c r="J35" s="7">
        <f>E30</f>
        <v>-420.29445399999901</v>
      </c>
    </row>
    <row r="36" spans="1:10" x14ac:dyDescent="0.55000000000000004">
      <c r="A36" s="3" t="s">
        <v>11</v>
      </c>
      <c r="B36" s="32">
        <v>3</v>
      </c>
      <c r="C36" s="32">
        <v>50</v>
      </c>
      <c r="D36" s="32" t="s">
        <v>8</v>
      </c>
      <c r="E36" s="32">
        <v>-421.29773499999902</v>
      </c>
      <c r="F36" s="4" t="str">
        <f>IF(D36="Far",IF(E36&lt;$U$23,"Positive","Negative"),IF(E36&gt;$U$23,"Positive","Negative"))</f>
        <v>Positive</v>
      </c>
      <c r="H36" s="16" t="s">
        <v>9</v>
      </c>
      <c r="I36" s="12">
        <f>E61</f>
        <v>-395.03718227544903</v>
      </c>
      <c r="J36" s="4">
        <f>E60</f>
        <v>-413.60368299999999</v>
      </c>
    </row>
    <row r="37" spans="1:10" x14ac:dyDescent="0.55000000000000004">
      <c r="A37" s="3" t="s">
        <v>11</v>
      </c>
      <c r="B37" s="32">
        <v>3</v>
      </c>
      <c r="C37" s="32">
        <v>50</v>
      </c>
      <c r="D37" s="32" t="s">
        <v>6</v>
      </c>
      <c r="E37" s="32">
        <v>-418.05220600000001</v>
      </c>
      <c r="F37" s="4" t="str">
        <f>IF(D37="Far",IF(E37&lt;$U$23,"Positive","Negative"),IF(E37&gt;$U$23,"Positive","Negative"))</f>
        <v>Negative</v>
      </c>
      <c r="H37" s="16" t="s">
        <v>10</v>
      </c>
      <c r="I37" s="12">
        <f>E91</f>
        <v>-406.38059299999998</v>
      </c>
      <c r="J37" s="4">
        <f>E90</f>
        <v>-406.25314499999899</v>
      </c>
    </row>
    <row r="38" spans="1:10" x14ac:dyDescent="0.55000000000000004">
      <c r="A38" s="3" t="s">
        <v>11</v>
      </c>
      <c r="B38" s="32">
        <v>4</v>
      </c>
      <c r="C38" s="32">
        <v>50</v>
      </c>
      <c r="D38" s="32" t="s">
        <v>8</v>
      </c>
      <c r="E38" s="32">
        <v>-416.371116999999</v>
      </c>
      <c r="F38" s="4" t="str">
        <f>IF(D38="Far",IF(E38&lt;$U$23,"Positive","Negative"),IF(E38&gt;$U$23,"Positive","Negative"))</f>
        <v>Positive</v>
      </c>
      <c r="H38" s="16" t="s">
        <v>11</v>
      </c>
      <c r="I38" s="12">
        <f>E121</f>
        <v>-409.07437900000002</v>
      </c>
      <c r="J38" s="4">
        <f>E120</f>
        <v>-415.89242899999903</v>
      </c>
    </row>
    <row r="39" spans="1:10" ht="14.65" thickBot="1" x14ac:dyDescent="0.6">
      <c r="A39" s="3" t="s">
        <v>11</v>
      </c>
      <c r="B39" s="32">
        <v>4</v>
      </c>
      <c r="C39" s="32">
        <v>50</v>
      </c>
      <c r="D39" s="32" t="s">
        <v>6</v>
      </c>
      <c r="E39" s="32">
        <v>-405.56886600000001</v>
      </c>
      <c r="F39" s="4" t="str">
        <f>IF(D39="Far",IF(E39&lt;$U$23,"Positive","Negative"),IF(E39&gt;$U$23,"Positive","Negative"))</f>
        <v>Positive</v>
      </c>
      <c r="H39" s="17" t="s">
        <v>12</v>
      </c>
      <c r="I39" s="13">
        <f>E151</f>
        <v>-410.69423599999999</v>
      </c>
      <c r="J39" s="6">
        <f>E150</f>
        <v>-418.494665555555</v>
      </c>
    </row>
    <row r="40" spans="1:10" x14ac:dyDescent="0.55000000000000004">
      <c r="A40" s="3" t="s">
        <v>11</v>
      </c>
      <c r="B40" s="32">
        <v>5</v>
      </c>
      <c r="C40" s="32">
        <v>50</v>
      </c>
      <c r="D40" s="32" t="s">
        <v>8</v>
      </c>
      <c r="E40" s="32">
        <v>-406.00706400000001</v>
      </c>
      <c r="F40" s="4" t="str">
        <f>IF(D40="Far",IF(E40&lt;$U$23,"Positive","Negative"),IF(E40&gt;$U$23,"Positive","Negative"))</f>
        <v>Negative</v>
      </c>
    </row>
    <row r="41" spans="1:10" x14ac:dyDescent="0.55000000000000004">
      <c r="A41" s="3" t="s">
        <v>11</v>
      </c>
      <c r="B41" s="32">
        <v>5</v>
      </c>
      <c r="C41" s="32">
        <v>50</v>
      </c>
      <c r="D41" s="32" t="s">
        <v>6</v>
      </c>
      <c r="E41" s="32">
        <v>-406.13552800000002</v>
      </c>
      <c r="F41" s="4" t="str">
        <f>IF(D41="Far",IF(E41&lt;$U$23,"Positive","Negative"),IF(E41&gt;$U$23,"Positive","Negative"))</f>
        <v>Positive</v>
      </c>
    </row>
    <row r="42" spans="1:10" x14ac:dyDescent="0.55000000000000004">
      <c r="A42" s="3" t="s">
        <v>12</v>
      </c>
      <c r="B42" s="32">
        <v>1</v>
      </c>
      <c r="C42" s="32">
        <v>50</v>
      </c>
      <c r="D42" s="32" t="s">
        <v>8</v>
      </c>
      <c r="E42" s="32">
        <v>-424.73098499999998</v>
      </c>
      <c r="F42" s="4" t="str">
        <f>IF(D42="Far",IF(E42&lt;$U$23,"Positive","Negative"),IF(E42&gt;$U$23,"Positive","Negative"))</f>
        <v>Positive</v>
      </c>
    </row>
    <row r="43" spans="1:10" x14ac:dyDescent="0.55000000000000004">
      <c r="A43" s="3" t="s">
        <v>12</v>
      </c>
      <c r="B43" s="32">
        <v>1</v>
      </c>
      <c r="C43" s="32">
        <v>50</v>
      </c>
      <c r="D43" s="32" t="s">
        <v>6</v>
      </c>
      <c r="E43" s="32">
        <v>-423.91091499999999</v>
      </c>
      <c r="F43" s="4" t="str">
        <f>IF(D43="Far",IF(E43&lt;$U$23,"Positive","Negative"),IF(E43&gt;$U$23,"Positive","Negative"))</f>
        <v>Negative</v>
      </c>
    </row>
    <row r="44" spans="1:10" x14ac:dyDescent="0.55000000000000004">
      <c r="A44" s="3" t="s">
        <v>12</v>
      </c>
      <c r="B44" s="32">
        <v>2</v>
      </c>
      <c r="C44" s="32">
        <v>50</v>
      </c>
      <c r="D44" s="32" t="s">
        <v>8</v>
      </c>
      <c r="E44" s="32">
        <v>-425.32193399999898</v>
      </c>
      <c r="F44" s="4" t="str">
        <f>IF(D44="Far",IF(E44&lt;$U$23,"Positive","Negative"),IF(E44&gt;$U$23,"Positive","Negative"))</f>
        <v>Positive</v>
      </c>
    </row>
    <row r="45" spans="1:10" x14ac:dyDescent="0.55000000000000004">
      <c r="A45" s="3" t="s">
        <v>12</v>
      </c>
      <c r="B45" s="32">
        <v>2</v>
      </c>
      <c r="C45" s="32">
        <v>50</v>
      </c>
      <c r="D45" s="32" t="s">
        <v>6</v>
      </c>
      <c r="E45" s="32">
        <v>-424.86690599999901</v>
      </c>
      <c r="F45" s="4" t="str">
        <f>IF(D45="Far",IF(E45&lt;$U$23,"Positive","Negative"),IF(E45&gt;$U$23,"Positive","Negative"))</f>
        <v>Negative</v>
      </c>
    </row>
    <row r="46" spans="1:10" x14ac:dyDescent="0.55000000000000004">
      <c r="A46" s="3" t="s">
        <v>12</v>
      </c>
      <c r="B46" s="32">
        <v>3</v>
      </c>
      <c r="C46" s="32">
        <v>50</v>
      </c>
      <c r="D46" s="32" t="s">
        <v>8</v>
      </c>
      <c r="E46" s="32">
        <v>-415.583394</v>
      </c>
      <c r="F46" s="4" t="str">
        <f>IF(D46="Far",IF(E46&lt;$U$23,"Positive","Negative"),IF(E46&gt;$U$23,"Positive","Negative"))</f>
        <v>Positive</v>
      </c>
    </row>
    <row r="47" spans="1:10" x14ac:dyDescent="0.55000000000000004">
      <c r="A47" s="3" t="s">
        <v>12</v>
      </c>
      <c r="B47" s="32">
        <v>3</v>
      </c>
      <c r="C47" s="32">
        <v>50</v>
      </c>
      <c r="D47" s="32" t="s">
        <v>6</v>
      </c>
      <c r="E47" s="32">
        <v>-419.52521400000001</v>
      </c>
      <c r="F47" s="4" t="str">
        <f>IF(D47="Far",IF(E47&lt;$U$23,"Positive","Negative"),IF(E47&gt;$U$23,"Positive","Negative"))</f>
        <v>Negative</v>
      </c>
    </row>
    <row r="48" spans="1:10" x14ac:dyDescent="0.55000000000000004">
      <c r="A48" s="3" t="s">
        <v>12</v>
      </c>
      <c r="B48" s="32">
        <v>4</v>
      </c>
      <c r="C48" s="32">
        <v>50</v>
      </c>
      <c r="D48" s="32" t="s">
        <v>8</v>
      </c>
      <c r="E48" s="32">
        <v>-419.79411099999999</v>
      </c>
      <c r="F48" s="4" t="str">
        <f>IF(D48="Far",IF(E48&lt;$U$23,"Positive","Negative"),IF(E48&gt;$U$23,"Positive","Negative"))</f>
        <v>Positive</v>
      </c>
    </row>
    <row r="49" spans="1:15" x14ac:dyDescent="0.55000000000000004">
      <c r="A49" s="3" t="s">
        <v>12</v>
      </c>
      <c r="B49" s="32">
        <v>4</v>
      </c>
      <c r="C49" s="32">
        <v>50</v>
      </c>
      <c r="D49" s="32" t="s">
        <v>6</v>
      </c>
      <c r="E49" s="32">
        <v>-418.43720299999899</v>
      </c>
      <c r="F49" s="4" t="str">
        <f>IF(D49="Far",IF(E49&lt;$U$23,"Positive","Negative"),IF(E49&gt;$U$23,"Positive","Negative"))</f>
        <v>Negative</v>
      </c>
      <c r="H49" t="s">
        <v>35</v>
      </c>
      <c r="I49">
        <f>COUNTIF(F:F,"Positive")</f>
        <v>87</v>
      </c>
      <c r="J49" t="s">
        <v>37</v>
      </c>
      <c r="K49">
        <f>MIN(E2:E151)</f>
        <v>-425.89338799999899</v>
      </c>
      <c r="L49">
        <f>K50 - K49</f>
        <v>31.074091952094989</v>
      </c>
    </row>
    <row r="50" spans="1:15" x14ac:dyDescent="0.55000000000000004">
      <c r="A50" s="3" t="s">
        <v>12</v>
      </c>
      <c r="B50" s="32">
        <v>5</v>
      </c>
      <c r="C50" s="32">
        <v>50</v>
      </c>
      <c r="D50" s="32" t="s">
        <v>8</v>
      </c>
      <c r="E50" s="32">
        <v>-417.65571555555499</v>
      </c>
      <c r="F50" s="4" t="str">
        <f>IF(D50="Far",IF(E50&lt;$U$23,"Positive","Negative"),IF(E50&gt;$U$23,"Positive","Negative"))</f>
        <v>Positive</v>
      </c>
      <c r="H50" t="s">
        <v>36</v>
      </c>
      <c r="I50">
        <f>COUNTIF(F:F,"Negative")</f>
        <v>63</v>
      </c>
      <c r="J50" t="s">
        <v>38</v>
      </c>
      <c r="K50">
        <f>MAX(E2:E151)</f>
        <v>-394.819296047904</v>
      </c>
      <c r="L50">
        <f>L49/11</f>
        <v>2.8249174501904535</v>
      </c>
    </row>
    <row r="51" spans="1:15" ht="14.65" thickBot="1" x14ac:dyDescent="0.6">
      <c r="A51" s="3" t="s">
        <v>12</v>
      </c>
      <c r="B51" s="32">
        <v>5</v>
      </c>
      <c r="C51" s="32">
        <v>50</v>
      </c>
      <c r="D51" s="32" t="s">
        <v>6</v>
      </c>
      <c r="E51" s="32">
        <v>-409.99116199999997</v>
      </c>
      <c r="F51" s="4" t="str">
        <f>IF(D51="Far",IF(E51&lt;$U$23,"Positive","Negative"),IF(E51&gt;$U$23,"Positive","Negative"))</f>
        <v>Negative</v>
      </c>
    </row>
    <row r="52" spans="1:15" ht="14.4" x14ac:dyDescent="0.55000000000000004">
      <c r="A52" s="3" t="s">
        <v>5</v>
      </c>
      <c r="B52" s="32">
        <v>1</v>
      </c>
      <c r="C52" s="32">
        <v>40</v>
      </c>
      <c r="D52" s="32" t="s">
        <v>8</v>
      </c>
      <c r="E52" s="32">
        <v>-414.701187</v>
      </c>
      <c r="F52" s="4" t="str">
        <f>IF(D52="Far",IF(E52&lt;$U$23,"Positive","Negative"),IF(E52&gt;$U$23,"Positive","Negative"))</f>
        <v>Positive</v>
      </c>
      <c r="H52" s="53" t="s">
        <v>39</v>
      </c>
      <c r="I52" s="48" t="s">
        <v>43</v>
      </c>
      <c r="J52" s="39"/>
      <c r="K52" s="48" t="s">
        <v>42</v>
      </c>
      <c r="L52" s="39"/>
      <c r="M52" s="45" t="s">
        <v>44</v>
      </c>
      <c r="N52" s="45" t="s">
        <v>45</v>
      </c>
      <c r="O52" s="46" t="s">
        <v>46</v>
      </c>
    </row>
    <row r="53" spans="1:15" ht="14.7" thickBot="1" x14ac:dyDescent="0.6">
      <c r="A53" s="3" t="s">
        <v>5</v>
      </c>
      <c r="B53" s="32">
        <v>1</v>
      </c>
      <c r="C53" s="32">
        <v>40</v>
      </c>
      <c r="D53" s="32" t="s">
        <v>6</v>
      </c>
      <c r="E53" s="32">
        <v>-414.02561599999899</v>
      </c>
      <c r="F53" s="4" t="str">
        <f>IF(D53="Far",IF(E53&lt;$U$23,"Positive","Negative"),IF(E53&gt;$U$23,"Positive","Negative"))</f>
        <v>Negative</v>
      </c>
      <c r="H53" s="54"/>
      <c r="I53" s="37" t="s">
        <v>40</v>
      </c>
      <c r="J53" s="49" t="s">
        <v>41</v>
      </c>
      <c r="K53" s="5" t="s">
        <v>33</v>
      </c>
      <c r="L53" s="6" t="s">
        <v>41</v>
      </c>
      <c r="M53" s="44"/>
      <c r="N53" s="44"/>
      <c r="O53" s="47"/>
    </row>
    <row r="54" spans="1:15" ht="14.7" thickBot="1" x14ac:dyDescent="0.6">
      <c r="A54" s="3" t="s">
        <v>5</v>
      </c>
      <c r="B54" s="32">
        <v>2</v>
      </c>
      <c r="C54" s="32">
        <v>40</v>
      </c>
      <c r="D54" s="32" t="s">
        <v>8</v>
      </c>
      <c r="E54" s="32">
        <v>-416.66741499999898</v>
      </c>
      <c r="F54" s="4" t="str">
        <f>IF(D54="Far",IF(E54&lt;$U$23,"Positive","Negative"),IF(E54&gt;$U$23,"Positive","Negative"))</f>
        <v>Positive</v>
      </c>
      <c r="H54" s="55"/>
      <c r="I54" s="40"/>
      <c r="J54" s="50"/>
      <c r="K54" s="11">
        <f>0</f>
        <v>0</v>
      </c>
      <c r="L54" s="38">
        <f>0</f>
        <v>0</v>
      </c>
      <c r="M54" s="11">
        <f>1-K54/$K$66</f>
        <v>1</v>
      </c>
      <c r="N54" s="38">
        <f>1-L54/$L$66</f>
        <v>1</v>
      </c>
      <c r="O54" s="7">
        <f>(M55-M56)*N55</f>
        <v>3.4482758620689613E-2</v>
      </c>
    </row>
    <row r="55" spans="1:15" ht="14.4" x14ac:dyDescent="0.55000000000000004">
      <c r="A55" s="3" t="s">
        <v>5</v>
      </c>
      <c r="B55" s="32">
        <v>2</v>
      </c>
      <c r="C55" s="32">
        <v>40</v>
      </c>
      <c r="D55" s="32" t="s">
        <v>6</v>
      </c>
      <c r="E55" s="32">
        <v>-411.10514799999999</v>
      </c>
      <c r="F55" s="4" t="str">
        <f>IF(D55="Far",IF(E55&lt;$U$23,"Positive","Negative"),IF(E55&gt;$U$23,"Positive","Negative"))</f>
        <v>Negative</v>
      </c>
      <c r="G55" s="36"/>
      <c r="H55" s="41" t="s">
        <v>47</v>
      </c>
      <c r="I55" s="11">
        <f>COUNTIFS(E2:E51,"&gt;-403",F2:F51,"Positive")</f>
        <v>2</v>
      </c>
      <c r="J55" s="38">
        <f>COUNTIFS(E2:E51,"&gt;-403",F2:F51,"Negative")</f>
        <v>0</v>
      </c>
      <c r="K55" s="11">
        <f>SUM($I$55:I55)</f>
        <v>2</v>
      </c>
      <c r="L55" s="38">
        <f>SUM($J$55:J55)</f>
        <v>0</v>
      </c>
      <c r="M55" s="11">
        <f>1-K55/$K$66</f>
        <v>0.93103448275862066</v>
      </c>
      <c r="N55" s="38">
        <f>1-L55/$L$66</f>
        <v>1</v>
      </c>
      <c r="O55" s="4">
        <f>(M56-M57)*N56</f>
        <v>9.8522167487684706E-2</v>
      </c>
    </row>
    <row r="56" spans="1:15" ht="14.4" x14ac:dyDescent="0.55000000000000004">
      <c r="A56" s="3" t="s">
        <v>5</v>
      </c>
      <c r="B56" s="32">
        <v>3</v>
      </c>
      <c r="C56" s="32">
        <v>40</v>
      </c>
      <c r="D56" s="32" t="s">
        <v>8</v>
      </c>
      <c r="E56" s="32">
        <v>-410.78230000000002</v>
      </c>
      <c r="F56" s="4" t="str">
        <f>IF(D56="Far",IF(E56&lt;$U$23,"Positive","Negative"),IF(E56&gt;$U$23,"Positive","Negative"))</f>
        <v>Positive</v>
      </c>
      <c r="G56" s="36"/>
      <c r="H56" s="42" t="s">
        <v>48</v>
      </c>
      <c r="I56" s="12">
        <f>COUNTIFS(E2:E51,"&lt;=-403",E2:E51,"&gt;-405",F2:F51,"Positive")</f>
        <v>1</v>
      </c>
      <c r="J56" s="32">
        <f>COUNTIFS(E2:E51,"&lt;=-403",E2:E51,"&gt;-405",F2:F51,"Negative")</f>
        <v>1</v>
      </c>
      <c r="K56" s="11">
        <f>SUM($I$55:I56)</f>
        <v>3</v>
      </c>
      <c r="L56" s="38">
        <f>SUM($J$55:J56)</f>
        <v>1</v>
      </c>
      <c r="M56" s="11">
        <f>1-K56/$K$66</f>
        <v>0.89655172413793105</v>
      </c>
      <c r="N56" s="38">
        <f>1-L56/$L$66</f>
        <v>0.95238095238095233</v>
      </c>
      <c r="O56" s="4">
        <f>(M57-M58)*N57</f>
        <v>9.3596059113300475E-2</v>
      </c>
    </row>
    <row r="57" spans="1:15" ht="14.4" x14ac:dyDescent="0.55000000000000004">
      <c r="A57" s="3" t="s">
        <v>5</v>
      </c>
      <c r="B57" s="32">
        <v>3</v>
      </c>
      <c r="C57" s="32">
        <v>40</v>
      </c>
      <c r="D57" s="32" t="s">
        <v>6</v>
      </c>
      <c r="E57" s="32">
        <v>-407.77953399999899</v>
      </c>
      <c r="F57" s="4" t="str">
        <f>IF(D57="Far",IF(E57&lt;$U$23,"Positive","Negative"),IF(E57&gt;$U$23,"Positive","Negative"))</f>
        <v>Negative</v>
      </c>
      <c r="G57" s="36"/>
      <c r="H57" s="42" t="s">
        <v>49</v>
      </c>
      <c r="I57" s="12">
        <f>COUNTIFS(E2:E51,"&lt;=-405",E2:E51,"&gt;-407",F2:F51,"Positive")</f>
        <v>3</v>
      </c>
      <c r="J57" s="32">
        <f>COUNTIFS(E2:E51,"&lt;=-405",E2:E51,"&gt;-407",F2:F51,"Negative")</f>
        <v>1</v>
      </c>
      <c r="K57" s="11">
        <f>SUM($I$55:I57)</f>
        <v>6</v>
      </c>
      <c r="L57" s="38">
        <f>SUM($J$55:J57)</f>
        <v>2</v>
      </c>
      <c r="M57" s="11">
        <f>1-K57/$K$66</f>
        <v>0.7931034482758621</v>
      </c>
      <c r="N57" s="38">
        <f>1-L57/$L$66</f>
        <v>0.90476190476190477</v>
      </c>
      <c r="O57" s="4">
        <f>(M58-M60)*N58</f>
        <v>0.11165845648604274</v>
      </c>
    </row>
    <row r="58" spans="1:15" ht="14.4" x14ac:dyDescent="0.55000000000000004">
      <c r="A58" s="3" t="s">
        <v>5</v>
      </c>
      <c r="B58" s="32">
        <v>4</v>
      </c>
      <c r="C58" s="32">
        <v>40</v>
      </c>
      <c r="D58" s="32" t="s">
        <v>8</v>
      </c>
      <c r="E58" s="32">
        <v>-412.51606299999997</v>
      </c>
      <c r="F58" s="4" t="str">
        <f>IF(D58="Far",IF(E58&lt;$U$23,"Positive","Negative"),IF(E58&gt;$U$23,"Positive","Negative"))</f>
        <v>Positive</v>
      </c>
      <c r="G58" s="36"/>
      <c r="H58" s="42" t="s">
        <v>50</v>
      </c>
      <c r="I58" s="12">
        <f>COUNTIFS(E2:E51,"&lt;=-407",E2:E51,"&gt;-409",F2:F51,"Positive")</f>
        <v>3</v>
      </c>
      <c r="J58" s="32">
        <f>COUNTIFS(E2:E51,"&lt;=-407",E2:E51,"&gt;-409",F2:F51,"Negative")</f>
        <v>2</v>
      </c>
      <c r="K58" s="11">
        <f>SUM($I$55:I58)</f>
        <v>9</v>
      </c>
      <c r="L58" s="38">
        <f>SUM($J$55:J58)</f>
        <v>4</v>
      </c>
      <c r="M58" s="11">
        <f>1-K58/$K$66</f>
        <v>0.68965517241379315</v>
      </c>
      <c r="N58" s="38">
        <f>1-L58/$L$66</f>
        <v>0.80952380952380953</v>
      </c>
      <c r="O58" s="4">
        <f>(M60-M61)*N60</f>
        <v>6.8965517241379309E-2</v>
      </c>
    </row>
    <row r="59" spans="1:15" ht="14.4" x14ac:dyDescent="0.55000000000000004">
      <c r="A59" s="3" t="s">
        <v>5</v>
      </c>
      <c r="B59" s="32">
        <v>4</v>
      </c>
      <c r="C59" s="32">
        <v>40</v>
      </c>
      <c r="D59" s="32" t="s">
        <v>6</v>
      </c>
      <c r="E59" s="32">
        <v>-411.633073999999</v>
      </c>
      <c r="F59" s="4" t="str">
        <f>IF(D59="Far",IF(E59&lt;$U$23,"Positive","Negative"),IF(E59&gt;$U$23,"Positive","Negative"))</f>
        <v>Negative</v>
      </c>
      <c r="G59" s="36"/>
      <c r="H59" s="42" t="s">
        <v>58</v>
      </c>
      <c r="I59" s="12">
        <f>COUNTIFS(E2:E51,"&lt;=-409",E2:E51,"&gt;-411",F2:F51,"Positive")</f>
        <v>2</v>
      </c>
      <c r="J59" s="32">
        <f>COUNTIFS(E2:E51,"&lt;=-409",E2:E51,"&gt;-411",F2:F51,"Negative")</f>
        <v>2</v>
      </c>
      <c r="K59" s="11">
        <f>SUM($I$55:I59)</f>
        <v>11</v>
      </c>
      <c r="L59" s="38">
        <f>SUM($J$55:J59)</f>
        <v>6</v>
      </c>
      <c r="M59" s="11">
        <f>1-K59/$K$66</f>
        <v>0.62068965517241381</v>
      </c>
      <c r="N59" s="38">
        <f>1-L59/$L$66</f>
        <v>0.7142857142857143</v>
      </c>
      <c r="O59" s="4">
        <f>(M61-M62)*N61</f>
        <v>5.4187192118226597E-2</v>
      </c>
    </row>
    <row r="60" spans="1:15" ht="14.4" x14ac:dyDescent="0.55000000000000004">
      <c r="A60" s="3" t="s">
        <v>5</v>
      </c>
      <c r="B60" s="32">
        <v>5</v>
      </c>
      <c r="C60" s="32">
        <v>40</v>
      </c>
      <c r="D60" s="32" t="s">
        <v>8</v>
      </c>
      <c r="E60" s="32">
        <v>-413.60368299999999</v>
      </c>
      <c r="F60" s="4" t="str">
        <f>IF(D60="Far",IF(E60&lt;$U$23,"Positive","Negative"),IF(E60&gt;$U$23,"Positive","Negative"))</f>
        <v>Positive</v>
      </c>
      <c r="G60" s="36"/>
      <c r="H60" s="42" t="s">
        <v>51</v>
      </c>
      <c r="I60" s="12">
        <f>COUNTIFS(E2:E51,"&lt;=-411",E2:E51,"&gt;-413",F2:F51,"Positive")</f>
        <v>2</v>
      </c>
      <c r="J60" s="32">
        <f>COUNTIFS(E2:E51,"&lt;=-411",E2:E51,"&gt;-413",F2:F51,"Negative")</f>
        <v>1</v>
      </c>
      <c r="K60" s="11">
        <f>SUM($I$55:I60)</f>
        <v>13</v>
      </c>
      <c r="L60" s="38">
        <f>SUM($J$55:J60)</f>
        <v>7</v>
      </c>
      <c r="M60" s="11">
        <f>1-K60/$K$66</f>
        <v>0.55172413793103448</v>
      </c>
      <c r="N60" s="38">
        <f>1-L60/$L$66</f>
        <v>0.66666666666666674</v>
      </c>
      <c r="O60" s="4">
        <f>(M61-M62)*N61</f>
        <v>5.4187192118226597E-2</v>
      </c>
    </row>
    <row r="61" spans="1:15" ht="14.4" x14ac:dyDescent="0.55000000000000004">
      <c r="A61" s="3" t="s">
        <v>5</v>
      </c>
      <c r="B61" s="32">
        <v>5</v>
      </c>
      <c r="C61" s="32">
        <v>40</v>
      </c>
      <c r="D61" s="32" t="s">
        <v>6</v>
      </c>
      <c r="E61" s="32">
        <v>-395.03718227544903</v>
      </c>
      <c r="F61" s="4" t="str">
        <f>IF(D61="Far",IF(E61&lt;$U$23,"Positive","Negative"),IF(E61&gt;$U$23,"Positive","Negative"))</f>
        <v>Positive</v>
      </c>
      <c r="G61" s="36"/>
      <c r="H61" s="42" t="s">
        <v>52</v>
      </c>
      <c r="I61" s="12">
        <f>COUNTIFS(E2:E51,"&lt;=-413",E2:E51,"&gt;-415",F2:F51,"Positive")</f>
        <v>3</v>
      </c>
      <c r="J61" s="32">
        <f>COUNTIFS(E2:E51,"&lt;=-413",E2:E51,"&gt;-415",F2:F51,"Negative")</f>
        <v>3</v>
      </c>
      <c r="K61" s="11">
        <f>SUM($I$55:I61)</f>
        <v>16</v>
      </c>
      <c r="L61" s="38">
        <f>SUM($J$55:J61)</f>
        <v>10</v>
      </c>
      <c r="M61" s="11">
        <f>1-K61/$K$66</f>
        <v>0.44827586206896552</v>
      </c>
      <c r="N61" s="38">
        <f>1-L61/$L$66</f>
        <v>0.52380952380952384</v>
      </c>
      <c r="O61" s="4">
        <f>(M62-M63)*N62</f>
        <v>1.6420361247947487E-2</v>
      </c>
    </row>
    <row r="62" spans="1:15" ht="14.4" x14ac:dyDescent="0.55000000000000004">
      <c r="A62" s="3" t="s">
        <v>9</v>
      </c>
      <c r="B62" s="32">
        <v>1</v>
      </c>
      <c r="C62" s="32">
        <v>40</v>
      </c>
      <c r="D62" s="32" t="s">
        <v>8</v>
      </c>
      <c r="E62" s="32">
        <v>-411.72718200000003</v>
      </c>
      <c r="F62" s="4" t="str">
        <f>IF(D62="Far",IF(E62&lt;$U$23,"Positive","Negative"),IF(E62&gt;$U$23,"Positive","Negative"))</f>
        <v>Positive</v>
      </c>
      <c r="G62" s="36"/>
      <c r="H62" s="42" t="s">
        <v>53</v>
      </c>
      <c r="I62" s="12">
        <f>COUNTIFS(E2:E51,"&lt;=-415",E2:E51,"&gt;-417",F2:F51,"Positive")</f>
        <v>3</v>
      </c>
      <c r="J62" s="32">
        <f>COUNTIFS(E2:E51,"&lt;=-415",E2:E51,"&gt;-417",F2:F51,"Negative")</f>
        <v>1</v>
      </c>
      <c r="K62" s="11">
        <f>SUM($I$55:I62)</f>
        <v>19</v>
      </c>
      <c r="L62" s="38">
        <f>SUM($J$55:J62)</f>
        <v>11</v>
      </c>
      <c r="M62" s="11">
        <f>1-K62/$K$66</f>
        <v>0.34482758620689657</v>
      </c>
      <c r="N62" s="38">
        <f>1-L62/$L$66</f>
        <v>0.47619047619047616</v>
      </c>
      <c r="O62" s="4">
        <f>(M63-M64)*N63</f>
        <v>4.5977011494252859E-2</v>
      </c>
    </row>
    <row r="63" spans="1:15" ht="14.4" x14ac:dyDescent="0.55000000000000004">
      <c r="A63" s="3" t="s">
        <v>9</v>
      </c>
      <c r="B63" s="32">
        <v>1</v>
      </c>
      <c r="C63" s="32">
        <v>40</v>
      </c>
      <c r="D63" s="32" t="s">
        <v>6</v>
      </c>
      <c r="E63" s="32">
        <v>-418.61914799999897</v>
      </c>
      <c r="F63" s="4" t="str">
        <f>IF(D63="Far",IF(E63&lt;$U$23,"Positive","Negative"),IF(E63&gt;$U$23,"Positive","Negative"))</f>
        <v>Negative</v>
      </c>
      <c r="G63" s="36"/>
      <c r="H63" s="42" t="s">
        <v>54</v>
      </c>
      <c r="I63" s="12">
        <f>COUNTIFS(E2:E51,"&lt;=-417",E2:E51,"&gt;-419",F2:F51,"Positive")</f>
        <v>1</v>
      </c>
      <c r="J63" s="32">
        <f>COUNTIFS(E2:E51,"&lt;=-417",E2:E51,"&gt;-419",F2:F51,"Negative")</f>
        <v>3</v>
      </c>
      <c r="K63" s="11">
        <f>SUM($I$55:I63)</f>
        <v>20</v>
      </c>
      <c r="L63" s="38">
        <f>SUM($J$55:J63)</f>
        <v>14</v>
      </c>
      <c r="M63" s="11">
        <f>1-K63/$K$66</f>
        <v>0.31034482758620685</v>
      </c>
      <c r="N63" s="38">
        <f>1-L63/$L$66</f>
        <v>0.33333333333333337</v>
      </c>
      <c r="O63" s="4">
        <f>(M64-M65)*N64</f>
        <v>1.4778325123152712E-2</v>
      </c>
    </row>
    <row r="64" spans="1:15" ht="14.4" x14ac:dyDescent="0.55000000000000004">
      <c r="A64" s="3" t="s">
        <v>9</v>
      </c>
      <c r="B64" s="32">
        <v>2</v>
      </c>
      <c r="C64" s="32">
        <v>40</v>
      </c>
      <c r="D64" s="32" t="s">
        <v>8</v>
      </c>
      <c r="E64" s="32">
        <v>-405.09318699999898</v>
      </c>
      <c r="F64" s="4" t="str">
        <f>IF(D64="Far",IF(E64&lt;$U$23,"Positive","Negative"),IF(E64&gt;$U$23,"Positive","Negative"))</f>
        <v>Negative</v>
      </c>
      <c r="G64" s="36"/>
      <c r="H64" s="42" t="s">
        <v>55</v>
      </c>
      <c r="I64" s="12">
        <f>COUNTIFS(E2:E51,"&lt;=-419",E2:E51,"&gt;-421",F2:F51,"Positive")</f>
        <v>4</v>
      </c>
      <c r="J64" s="12">
        <f>COUNTIFS(E2:E51,"&lt;=-419",E2:E51,"&gt;-421",F2:F51,"Negative")</f>
        <v>4</v>
      </c>
      <c r="K64" s="11">
        <f>SUM($I$55:I64)</f>
        <v>24</v>
      </c>
      <c r="L64" s="38">
        <f>SUM($J$55:J64)</f>
        <v>18</v>
      </c>
      <c r="M64" s="11">
        <f>1-K64/$K$66</f>
        <v>0.17241379310344829</v>
      </c>
      <c r="N64" s="38">
        <f>1-L64/$L$66</f>
        <v>0.1428571428571429</v>
      </c>
      <c r="O64" s="4">
        <f>(M65-M66)*N65</f>
        <v>9.85221674876848E-3</v>
      </c>
    </row>
    <row r="65" spans="1:15" ht="14.4" x14ac:dyDescent="0.55000000000000004">
      <c r="A65" s="3" t="s">
        <v>9</v>
      </c>
      <c r="B65" s="32">
        <v>2</v>
      </c>
      <c r="C65" s="32">
        <v>40</v>
      </c>
      <c r="D65" s="32" t="s">
        <v>6</v>
      </c>
      <c r="E65" s="32">
        <v>-414.56993199999903</v>
      </c>
      <c r="F65" s="4" t="str">
        <f>IF(D65="Far",IF(E65&lt;$U$23,"Positive","Negative"),IF(E65&gt;$U$23,"Positive","Negative"))</f>
        <v>Negative</v>
      </c>
      <c r="G65" s="36"/>
      <c r="H65" s="60" t="s">
        <v>56</v>
      </c>
      <c r="I65" s="61">
        <f>COUNTIFS(E2:E51,"&lt;=-421",E2:E51,"&gt;-423",F2:F51,"Positive")</f>
        <v>3</v>
      </c>
      <c r="J65" s="61">
        <f>COUNTIFS(E2:E51,"&lt;=-421",E2:E51,"&gt;-423",F2:F51,"Negative")</f>
        <v>0</v>
      </c>
      <c r="K65" s="62">
        <f>SUM($I$55:I65)</f>
        <v>27</v>
      </c>
      <c r="L65" s="63">
        <f>SUM($J$55:J65)</f>
        <v>18</v>
      </c>
      <c r="M65" s="62">
        <f>1-K65/$K$66</f>
        <v>6.8965517241379337E-2</v>
      </c>
      <c r="N65" s="63">
        <f>1-L65/$L$66</f>
        <v>0.1428571428571429</v>
      </c>
      <c r="O65" s="64">
        <f>(M66-M67)*N66</f>
        <v>0</v>
      </c>
    </row>
    <row r="66" spans="1:15" ht="14.7" thickBot="1" x14ac:dyDescent="0.6">
      <c r="A66" s="3" t="s">
        <v>9</v>
      </c>
      <c r="B66" s="32">
        <v>3</v>
      </c>
      <c r="C66" s="32">
        <v>40</v>
      </c>
      <c r="D66" s="32" t="s">
        <v>8</v>
      </c>
      <c r="E66" s="32">
        <v>-407.79607700000003</v>
      </c>
      <c r="F66" s="4" t="str">
        <f>IF(D66="Far",IF(E66&lt;$U$23,"Positive","Negative"),IF(E66&gt;$U$23,"Positive","Negative"))</f>
        <v>Positive</v>
      </c>
      <c r="G66" s="36"/>
      <c r="H66" s="43" t="s">
        <v>57</v>
      </c>
      <c r="I66" s="13">
        <f>COUNTIFS(E2:E51,"&lt;=-423",F2:F51,"Positive")</f>
        <v>2</v>
      </c>
      <c r="J66" s="13">
        <f>COUNTIFS(E2:E51,"&lt;-423",F2:F51,"Negative")</f>
        <v>3</v>
      </c>
      <c r="K66" s="13">
        <f>SUM($I$55:I66)</f>
        <v>29</v>
      </c>
      <c r="L66" s="34">
        <f>SUM($J$55:J66)</f>
        <v>21</v>
      </c>
      <c r="M66" s="13">
        <f>1-K66/$K$66</f>
        <v>0</v>
      </c>
      <c r="N66" s="34">
        <f>1-L66/$L$66</f>
        <v>0</v>
      </c>
      <c r="O66" s="6">
        <f>(M67-M68)*N67</f>
        <v>0</v>
      </c>
    </row>
    <row r="67" spans="1:15" ht="14.4" x14ac:dyDescent="0.55000000000000004">
      <c r="A67" s="3" t="s">
        <v>9</v>
      </c>
      <c r="B67" s="32">
        <v>3</v>
      </c>
      <c r="C67" s="32">
        <v>40</v>
      </c>
      <c r="D67" s="32" t="s">
        <v>6</v>
      </c>
      <c r="E67" s="32">
        <v>-404.36680000000001</v>
      </c>
      <c r="F67" s="4" t="str">
        <f>IF(D67="Far",IF(E67&lt;$U$23,"Positive","Negative"),IF(E67&gt;$U$23,"Positive","Negative"))</f>
        <v>Positive</v>
      </c>
      <c r="H67" s="36"/>
    </row>
    <row r="68" spans="1:15" ht="14.65" thickBot="1" x14ac:dyDescent="0.6">
      <c r="A68" s="3" t="s">
        <v>9</v>
      </c>
      <c r="B68" s="32">
        <v>4</v>
      </c>
      <c r="C68" s="32">
        <v>40</v>
      </c>
      <c r="D68" s="32" t="s">
        <v>8</v>
      </c>
      <c r="E68" s="32">
        <v>-407.572634808852</v>
      </c>
      <c r="F68" s="4" t="str">
        <f>IF(D68="Far",IF(E68&lt;$U$23,"Positive","Negative"),IF(E68&gt;$U$23,"Positive","Negative"))</f>
        <v>Positive</v>
      </c>
    </row>
    <row r="69" spans="1:15" x14ac:dyDescent="0.55000000000000004">
      <c r="A69" s="3" t="s">
        <v>9</v>
      </c>
      <c r="B69" s="32">
        <v>4</v>
      </c>
      <c r="C69" s="32">
        <v>40</v>
      </c>
      <c r="D69" s="32" t="s">
        <v>6</v>
      </c>
      <c r="E69" s="32">
        <v>-396.32921347305398</v>
      </c>
      <c r="F69" s="4" t="str">
        <f>IF(D69="Far",IF(E69&lt;$U$23,"Positive","Negative"),IF(E69&gt;$U$23,"Positive","Negative"))</f>
        <v>Positive</v>
      </c>
      <c r="L69" s="56">
        <v>0</v>
      </c>
      <c r="M69" s="57">
        <v>0</v>
      </c>
    </row>
    <row r="70" spans="1:15" ht="14.65" thickBot="1" x14ac:dyDescent="0.6">
      <c r="A70" s="3" t="s">
        <v>9</v>
      </c>
      <c r="B70" s="32">
        <v>5</v>
      </c>
      <c r="C70" s="32">
        <v>40</v>
      </c>
      <c r="D70" s="32" t="s">
        <v>8</v>
      </c>
      <c r="E70" s="32">
        <v>-414.89013699999902</v>
      </c>
      <c r="F70" s="4" t="str">
        <f>IF(D70="Far",IF(E70&lt;$U$23,"Positive","Negative"),IF(E70&gt;$U$23,"Positive","Negative"))</f>
        <v>Positive</v>
      </c>
      <c r="L70" s="58">
        <v>1</v>
      </c>
      <c r="M70" s="59">
        <v>1</v>
      </c>
    </row>
    <row r="71" spans="1:15" x14ac:dyDescent="0.55000000000000004">
      <c r="A71" s="3" t="s">
        <v>9</v>
      </c>
      <c r="B71" s="32">
        <v>5</v>
      </c>
      <c r="C71" s="32">
        <v>40</v>
      </c>
      <c r="D71" s="32" t="s">
        <v>6</v>
      </c>
      <c r="E71" s="32">
        <v>-408.43343399999998</v>
      </c>
      <c r="F71" s="4" t="str">
        <f>IF(D71="Far",IF(E71&lt;$U$23,"Positive","Negative"),IF(E71&gt;$U$23,"Positive","Negative"))</f>
        <v>Negative</v>
      </c>
    </row>
    <row r="72" spans="1:15" x14ac:dyDescent="0.55000000000000004">
      <c r="A72" s="3" t="s">
        <v>13</v>
      </c>
      <c r="B72" s="32">
        <v>1</v>
      </c>
      <c r="C72" s="32">
        <v>40</v>
      </c>
      <c r="D72" s="32" t="s">
        <v>8</v>
      </c>
      <c r="E72" s="32">
        <v>-409.771413</v>
      </c>
      <c r="F72" s="4" t="str">
        <f>IF(D72="Far",IF(E72&lt;$U$23,"Positive","Negative"),IF(E72&gt;$U$23,"Positive","Negative"))</f>
        <v>Positive</v>
      </c>
    </row>
    <row r="73" spans="1:15" x14ac:dyDescent="0.55000000000000004">
      <c r="A73" s="3" t="s">
        <v>13</v>
      </c>
      <c r="B73" s="32">
        <v>1</v>
      </c>
      <c r="C73" s="32">
        <v>40</v>
      </c>
      <c r="D73" s="32" t="s">
        <v>6</v>
      </c>
      <c r="E73" s="32">
        <v>-406.76716299999998</v>
      </c>
      <c r="F73" s="4" t="str">
        <f>IF(D73="Far",IF(E73&lt;$U$23,"Positive","Negative"),IF(E73&gt;$U$23,"Positive","Negative"))</f>
        <v>Positive</v>
      </c>
    </row>
    <row r="74" spans="1:15" x14ac:dyDescent="0.55000000000000004">
      <c r="A74" s="3" t="s">
        <v>13</v>
      </c>
      <c r="B74" s="32">
        <v>2</v>
      </c>
      <c r="C74" s="32">
        <v>40</v>
      </c>
      <c r="D74" s="32" t="s">
        <v>8</v>
      </c>
      <c r="E74" s="32">
        <v>-422.35555099999902</v>
      </c>
      <c r="F74" s="4" t="str">
        <f>IF(D74="Far",IF(E74&lt;$U$23,"Positive","Negative"),IF(E74&gt;$U$23,"Positive","Negative"))</f>
        <v>Positive</v>
      </c>
      <c r="M74">
        <f>SUM(M54:N66)</f>
        <v>14.494252873563218</v>
      </c>
    </row>
    <row r="75" spans="1:15" x14ac:dyDescent="0.55000000000000004">
      <c r="A75" s="3" t="s">
        <v>13</v>
      </c>
      <c r="B75" s="32">
        <v>2</v>
      </c>
      <c r="C75" s="32">
        <v>40</v>
      </c>
      <c r="D75" s="32" t="s">
        <v>6</v>
      </c>
      <c r="E75" s="32">
        <v>-420.59463199999902</v>
      </c>
      <c r="F75" s="4" t="str">
        <f>IF(D75="Far",IF(E75&lt;$U$23,"Positive","Negative"),IF(E75&gt;$U$23,"Positive","Negative"))</f>
        <v>Negative</v>
      </c>
    </row>
    <row r="76" spans="1:15" x14ac:dyDescent="0.55000000000000004">
      <c r="A76" s="3" t="s">
        <v>13</v>
      </c>
      <c r="B76" s="32">
        <v>3</v>
      </c>
      <c r="C76" s="32">
        <v>40</v>
      </c>
      <c r="D76" s="32" t="s">
        <v>8</v>
      </c>
      <c r="E76" s="32">
        <v>-421.43637799999902</v>
      </c>
      <c r="F76" s="4" t="str">
        <f>IF(D76="Far",IF(E76&lt;$U$23,"Positive","Negative"),IF(E76&gt;$U$23,"Positive","Negative"))</f>
        <v>Positive</v>
      </c>
    </row>
    <row r="77" spans="1:15" x14ac:dyDescent="0.55000000000000004">
      <c r="A77" s="3" t="s">
        <v>13</v>
      </c>
      <c r="B77" s="32">
        <v>3</v>
      </c>
      <c r="C77" s="32">
        <v>40</v>
      </c>
      <c r="D77" s="32" t="s">
        <v>6</v>
      </c>
      <c r="E77" s="32">
        <v>-415.15921500000002</v>
      </c>
      <c r="F77" s="4" t="str">
        <f>IF(D77="Far",IF(E77&lt;$U$23,"Positive","Negative"),IF(E77&gt;$U$23,"Positive","Negative"))</f>
        <v>Negative</v>
      </c>
    </row>
    <row r="78" spans="1:15" x14ac:dyDescent="0.55000000000000004">
      <c r="A78" s="3" t="s">
        <v>13</v>
      </c>
      <c r="B78" s="32">
        <v>4</v>
      </c>
      <c r="C78" s="32">
        <v>40</v>
      </c>
      <c r="D78" s="32" t="s">
        <v>8</v>
      </c>
      <c r="E78" s="32">
        <v>-421.29346500000003</v>
      </c>
      <c r="F78" s="4" t="str">
        <f>IF(D78="Far",IF(E78&lt;$U$23,"Positive","Negative"),IF(E78&gt;$U$23,"Positive","Negative"))</f>
        <v>Positive</v>
      </c>
    </row>
    <row r="79" spans="1:15" x14ac:dyDescent="0.55000000000000004">
      <c r="A79" s="3" t="s">
        <v>13</v>
      </c>
      <c r="B79" s="32">
        <v>4</v>
      </c>
      <c r="C79" s="32">
        <v>40</v>
      </c>
      <c r="D79" s="32" t="s">
        <v>6</v>
      </c>
      <c r="E79" s="32">
        <v>-419.35160100000002</v>
      </c>
      <c r="F79" s="4" t="str">
        <f>IF(D79="Far",IF(E79&lt;$U$23,"Positive","Negative"),IF(E79&gt;$U$23,"Positive","Negative"))</f>
        <v>Negative</v>
      </c>
    </row>
    <row r="80" spans="1:15" x14ac:dyDescent="0.55000000000000004">
      <c r="A80" s="3" t="s">
        <v>13</v>
      </c>
      <c r="B80" s="32">
        <v>5</v>
      </c>
      <c r="C80" s="32">
        <v>40</v>
      </c>
      <c r="D80" s="32" t="s">
        <v>8</v>
      </c>
      <c r="E80" s="32">
        <v>-420.43174699999901</v>
      </c>
      <c r="F80" s="4" t="str">
        <f>IF(D80="Far",IF(E80&lt;$U$23,"Positive","Negative"),IF(E80&gt;$U$23,"Positive","Negative"))</f>
        <v>Positive</v>
      </c>
    </row>
    <row r="81" spans="1:6" x14ac:dyDescent="0.55000000000000004">
      <c r="A81" s="3" t="s">
        <v>13</v>
      </c>
      <c r="B81" s="32">
        <v>5</v>
      </c>
      <c r="C81" s="32">
        <v>40</v>
      </c>
      <c r="D81" s="32" t="s">
        <v>6</v>
      </c>
      <c r="E81" s="32">
        <v>-419.843842</v>
      </c>
      <c r="F81" s="4" t="str">
        <f>IF(D81="Far",IF(E81&lt;$U$23,"Positive","Negative"),IF(E81&gt;$U$23,"Positive","Negative"))</f>
        <v>Negative</v>
      </c>
    </row>
    <row r="82" spans="1:6" x14ac:dyDescent="0.55000000000000004">
      <c r="A82" s="3" t="s">
        <v>11</v>
      </c>
      <c r="B82" s="32">
        <v>1</v>
      </c>
      <c r="C82" s="32">
        <v>40</v>
      </c>
      <c r="D82" s="32" t="s">
        <v>8</v>
      </c>
      <c r="E82" s="32">
        <v>-419.226676</v>
      </c>
      <c r="F82" s="4" t="str">
        <f>IF(D82="Far",IF(E82&lt;$U$23,"Positive","Negative"),IF(E82&gt;$U$23,"Positive","Negative"))</f>
        <v>Positive</v>
      </c>
    </row>
    <row r="83" spans="1:6" x14ac:dyDescent="0.55000000000000004">
      <c r="A83" s="3" t="s">
        <v>11</v>
      </c>
      <c r="B83" s="32">
        <v>1</v>
      </c>
      <c r="C83" s="32">
        <v>40</v>
      </c>
      <c r="D83" s="32" t="s">
        <v>6</v>
      </c>
      <c r="E83" s="32">
        <v>-424.60326999999899</v>
      </c>
      <c r="F83" s="4" t="str">
        <f>IF(D83="Far",IF(E83&lt;$U$23,"Positive","Negative"),IF(E83&gt;$U$23,"Positive","Negative"))</f>
        <v>Negative</v>
      </c>
    </row>
    <row r="84" spans="1:6" x14ac:dyDescent="0.55000000000000004">
      <c r="A84" s="3" t="s">
        <v>11</v>
      </c>
      <c r="B84" s="32">
        <v>2</v>
      </c>
      <c r="C84" s="32">
        <v>40</v>
      </c>
      <c r="D84" s="32" t="s">
        <v>8</v>
      </c>
      <c r="E84" s="32">
        <v>-409.29817400000002</v>
      </c>
      <c r="F84" s="4" t="str">
        <f>IF(D84="Far",IF(E84&lt;$U$23,"Positive","Negative"),IF(E84&gt;$U$23,"Positive","Negative"))</f>
        <v>Positive</v>
      </c>
    </row>
    <row r="85" spans="1:6" x14ac:dyDescent="0.55000000000000004">
      <c r="A85" s="3" t="s">
        <v>11</v>
      </c>
      <c r="B85" s="32">
        <v>2</v>
      </c>
      <c r="C85" s="32">
        <v>40</v>
      </c>
      <c r="D85" s="32" t="s">
        <v>6</v>
      </c>
      <c r="E85" s="32">
        <v>-415.70050099999997</v>
      </c>
      <c r="F85" s="4" t="str">
        <f>IF(D85="Far",IF(E85&lt;$U$23,"Positive","Negative"),IF(E85&gt;$U$23,"Positive","Negative"))</f>
        <v>Negative</v>
      </c>
    </row>
    <row r="86" spans="1:6" x14ac:dyDescent="0.55000000000000004">
      <c r="A86" s="3" t="s">
        <v>11</v>
      </c>
      <c r="B86" s="32">
        <v>3</v>
      </c>
      <c r="C86" s="32">
        <v>40</v>
      </c>
      <c r="D86" s="32" t="s">
        <v>8</v>
      </c>
      <c r="E86" s="32">
        <v>-421.517438999999</v>
      </c>
      <c r="F86" s="4" t="str">
        <f>IF(D86="Far",IF(E86&lt;$U$23,"Positive","Negative"),IF(E86&gt;$U$23,"Positive","Negative"))</f>
        <v>Positive</v>
      </c>
    </row>
    <row r="87" spans="1:6" x14ac:dyDescent="0.55000000000000004">
      <c r="A87" s="3" t="s">
        <v>11</v>
      </c>
      <c r="B87" s="32">
        <v>3</v>
      </c>
      <c r="C87" s="32">
        <v>40</v>
      </c>
      <c r="D87" s="32" t="s">
        <v>6</v>
      </c>
      <c r="E87" s="32">
        <v>-418.22338000000002</v>
      </c>
      <c r="F87" s="4" t="str">
        <f>IF(D87="Far",IF(E87&lt;$U$23,"Positive","Negative"),IF(E87&gt;$U$23,"Positive","Negative"))</f>
        <v>Negative</v>
      </c>
    </row>
    <row r="88" spans="1:6" x14ac:dyDescent="0.55000000000000004">
      <c r="A88" s="3" t="s">
        <v>11</v>
      </c>
      <c r="B88" s="32">
        <v>4</v>
      </c>
      <c r="C88" s="32">
        <v>40</v>
      </c>
      <c r="D88" s="32" t="s">
        <v>8</v>
      </c>
      <c r="E88" s="32">
        <v>-416.49412499999897</v>
      </c>
      <c r="F88" s="4" t="str">
        <f>IF(D88="Far",IF(E88&lt;$U$23,"Positive","Negative"),IF(E88&gt;$U$23,"Positive","Negative"))</f>
        <v>Positive</v>
      </c>
    </row>
    <row r="89" spans="1:6" x14ac:dyDescent="0.55000000000000004">
      <c r="A89" s="3" t="s">
        <v>11</v>
      </c>
      <c r="B89" s="32">
        <v>4</v>
      </c>
      <c r="C89" s="32">
        <v>40</v>
      </c>
      <c r="D89" s="32" t="s">
        <v>6</v>
      </c>
      <c r="E89" s="32">
        <v>-405.73248000000001</v>
      </c>
      <c r="F89" s="4" t="str">
        <f>IF(D89="Far",IF(E89&lt;$U$23,"Positive","Negative"),IF(E89&gt;$U$23,"Positive","Negative"))</f>
        <v>Positive</v>
      </c>
    </row>
    <row r="90" spans="1:6" x14ac:dyDescent="0.55000000000000004">
      <c r="A90" s="3" t="s">
        <v>11</v>
      </c>
      <c r="B90" s="32">
        <v>5</v>
      </c>
      <c r="C90" s="32">
        <v>40</v>
      </c>
      <c r="D90" s="32" t="s">
        <v>8</v>
      </c>
      <c r="E90" s="32">
        <v>-406.25314499999899</v>
      </c>
      <c r="F90" s="4" t="str">
        <f>IF(D90="Far",IF(E90&lt;$U$23,"Positive","Negative"),IF(E90&gt;$U$23,"Positive","Negative"))</f>
        <v>Negative</v>
      </c>
    </row>
    <row r="91" spans="1:6" x14ac:dyDescent="0.55000000000000004">
      <c r="A91" s="3" t="s">
        <v>11</v>
      </c>
      <c r="B91" s="32">
        <v>5</v>
      </c>
      <c r="C91" s="32">
        <v>40</v>
      </c>
      <c r="D91" s="32" t="s">
        <v>6</v>
      </c>
      <c r="E91" s="32">
        <v>-406.38059299999998</v>
      </c>
      <c r="F91" s="4" t="str">
        <f>IF(D91="Far",IF(E91&lt;$U$23,"Positive","Negative"),IF(E91&gt;$U$23,"Positive","Negative"))</f>
        <v>Positive</v>
      </c>
    </row>
    <row r="92" spans="1:6" x14ac:dyDescent="0.55000000000000004">
      <c r="A92" s="3" t="s">
        <v>12</v>
      </c>
      <c r="B92" s="32">
        <v>1</v>
      </c>
      <c r="C92" s="32">
        <v>40</v>
      </c>
      <c r="D92" s="32" t="s">
        <v>8</v>
      </c>
      <c r="E92" s="32">
        <v>-424.89020799999997</v>
      </c>
      <c r="F92" s="4" t="str">
        <f>IF(D92="Far",IF(E92&lt;$U$23,"Positive","Negative"),IF(E92&gt;$U$23,"Positive","Negative"))</f>
        <v>Positive</v>
      </c>
    </row>
    <row r="93" spans="1:6" x14ac:dyDescent="0.55000000000000004">
      <c r="A93" s="3" t="s">
        <v>12</v>
      </c>
      <c r="B93" s="32">
        <v>1</v>
      </c>
      <c r="C93" s="32">
        <v>40</v>
      </c>
      <c r="D93" s="32" t="s">
        <v>6</v>
      </c>
      <c r="E93" s="32">
        <v>-424.02974</v>
      </c>
      <c r="F93" s="4" t="str">
        <f>IF(D93="Far",IF(E93&lt;$U$23,"Positive","Negative"),IF(E93&gt;$U$23,"Positive","Negative"))</f>
        <v>Negative</v>
      </c>
    </row>
    <row r="94" spans="1:6" x14ac:dyDescent="0.55000000000000004">
      <c r="A94" s="3" t="s">
        <v>12</v>
      </c>
      <c r="B94" s="32">
        <v>2</v>
      </c>
      <c r="C94" s="32">
        <v>40</v>
      </c>
      <c r="D94" s="32" t="s">
        <v>8</v>
      </c>
      <c r="E94" s="32">
        <v>-425.47469100000001</v>
      </c>
      <c r="F94" s="4" t="str">
        <f>IF(D94="Far",IF(E94&lt;$U$23,"Positive","Negative"),IF(E94&gt;$U$23,"Positive","Negative"))</f>
        <v>Positive</v>
      </c>
    </row>
    <row r="95" spans="1:6" x14ac:dyDescent="0.55000000000000004">
      <c r="A95" s="3" t="s">
        <v>12</v>
      </c>
      <c r="B95" s="32">
        <v>2</v>
      </c>
      <c r="C95" s="32">
        <v>40</v>
      </c>
      <c r="D95" s="32" t="s">
        <v>6</v>
      </c>
      <c r="E95" s="32">
        <v>-425.01430099999902</v>
      </c>
      <c r="F95" s="4" t="str">
        <f>IF(D95="Far",IF(E95&lt;$U$23,"Positive","Negative"),IF(E95&gt;$U$23,"Positive","Negative"))</f>
        <v>Negative</v>
      </c>
    </row>
    <row r="96" spans="1:6" x14ac:dyDescent="0.55000000000000004">
      <c r="A96" s="3" t="s">
        <v>12</v>
      </c>
      <c r="B96" s="32">
        <v>3</v>
      </c>
      <c r="C96" s="32">
        <v>40</v>
      </c>
      <c r="D96" s="32" t="s">
        <v>8</v>
      </c>
      <c r="E96" s="32">
        <v>-415.817429</v>
      </c>
      <c r="F96" s="4" t="str">
        <f>IF(D96="Far",IF(E96&lt;$U$23,"Positive","Negative"),IF(E96&gt;$U$23,"Positive","Negative"))</f>
        <v>Positive</v>
      </c>
    </row>
    <row r="97" spans="1:6" x14ac:dyDescent="0.55000000000000004">
      <c r="A97" s="3" t="s">
        <v>12</v>
      </c>
      <c r="B97" s="32">
        <v>3</v>
      </c>
      <c r="C97" s="32">
        <v>40</v>
      </c>
      <c r="D97" s="32" t="s">
        <v>6</v>
      </c>
      <c r="E97" s="32">
        <v>-419.78301399999998</v>
      </c>
      <c r="F97" s="4" t="str">
        <f>IF(D97="Far",IF(E97&lt;$U$23,"Positive","Negative"),IF(E97&gt;$U$23,"Positive","Negative"))</f>
        <v>Negative</v>
      </c>
    </row>
    <row r="98" spans="1:6" x14ac:dyDescent="0.55000000000000004">
      <c r="A98" s="3" t="s">
        <v>12</v>
      </c>
      <c r="B98" s="32">
        <v>4</v>
      </c>
      <c r="C98" s="32">
        <v>40</v>
      </c>
      <c r="D98" s="32" t="s">
        <v>8</v>
      </c>
      <c r="E98" s="32">
        <v>-420.01748700000002</v>
      </c>
      <c r="F98" s="4" t="str">
        <f>IF(D98="Far",IF(E98&lt;$U$23,"Positive","Negative"),IF(E98&gt;$U$23,"Positive","Negative"))</f>
        <v>Positive</v>
      </c>
    </row>
    <row r="99" spans="1:6" x14ac:dyDescent="0.55000000000000004">
      <c r="A99" s="3" t="s">
        <v>12</v>
      </c>
      <c r="B99" s="32">
        <v>4</v>
      </c>
      <c r="C99" s="32">
        <v>40</v>
      </c>
      <c r="D99" s="32" t="s">
        <v>6</v>
      </c>
      <c r="E99" s="32">
        <v>-418.65796199999897</v>
      </c>
      <c r="F99" s="4" t="str">
        <f>IF(D99="Far",IF(E99&lt;$U$23,"Positive","Negative"),IF(E99&gt;$U$23,"Positive","Negative"))</f>
        <v>Negative</v>
      </c>
    </row>
    <row r="100" spans="1:6" x14ac:dyDescent="0.55000000000000004">
      <c r="A100" s="3" t="s">
        <v>12</v>
      </c>
      <c r="B100" s="32">
        <v>5</v>
      </c>
      <c r="C100" s="32">
        <v>40</v>
      </c>
      <c r="D100" s="32" t="s">
        <v>8</v>
      </c>
      <c r="E100" s="32">
        <v>-417.80031222222198</v>
      </c>
      <c r="F100" s="4" t="str">
        <f>IF(D100="Far",IF(E100&lt;$U$23,"Positive","Negative"),IF(E100&gt;$U$23,"Positive","Negative"))</f>
        <v>Positive</v>
      </c>
    </row>
    <row r="101" spans="1:6" x14ac:dyDescent="0.55000000000000004">
      <c r="A101" s="3" t="s">
        <v>12</v>
      </c>
      <c r="B101" s="32">
        <v>5</v>
      </c>
      <c r="C101" s="32">
        <v>40</v>
      </c>
      <c r="D101" s="32" t="s">
        <v>6</v>
      </c>
      <c r="E101" s="32">
        <v>-410.16981500000003</v>
      </c>
      <c r="F101" s="4" t="str">
        <f>IF(D101="Far",IF(E101&lt;$U$23,"Positive","Negative"),IF(E101&gt;$U$23,"Positive","Negative"))</f>
        <v>Negative</v>
      </c>
    </row>
    <row r="102" spans="1:6" x14ac:dyDescent="0.55000000000000004">
      <c r="A102" s="3" t="s">
        <v>5</v>
      </c>
      <c r="B102" s="32">
        <v>1</v>
      </c>
      <c r="C102" s="32">
        <v>20</v>
      </c>
      <c r="D102" s="32" t="s">
        <v>8</v>
      </c>
      <c r="E102" s="32">
        <v>-416.073070999999</v>
      </c>
      <c r="F102" s="4" t="str">
        <f>IF(D102="Far",IF(E102&lt;$U$23,"Positive","Negative"),IF(E102&gt;$U$23,"Positive","Negative"))</f>
        <v>Positive</v>
      </c>
    </row>
    <row r="103" spans="1:6" x14ac:dyDescent="0.55000000000000004">
      <c r="A103" s="3" t="s">
        <v>5</v>
      </c>
      <c r="B103" s="32">
        <v>1</v>
      </c>
      <c r="C103" s="32">
        <v>20</v>
      </c>
      <c r="D103" s="32" t="s">
        <v>6</v>
      </c>
      <c r="E103" s="32">
        <v>-414.48324300000002</v>
      </c>
      <c r="F103" s="4" t="str">
        <f>IF(D103="Far",IF(E103&lt;$U$23,"Positive","Negative"),IF(E103&gt;$U$23,"Positive","Negative"))</f>
        <v>Negative</v>
      </c>
    </row>
    <row r="104" spans="1:6" x14ac:dyDescent="0.55000000000000004">
      <c r="A104" s="3" t="s">
        <v>5</v>
      </c>
      <c r="B104" s="32">
        <v>2</v>
      </c>
      <c r="C104" s="32">
        <v>20</v>
      </c>
      <c r="D104" s="32" t="s">
        <v>8</v>
      </c>
      <c r="E104" s="32">
        <v>-417.251340999999</v>
      </c>
      <c r="F104" s="4" t="str">
        <f>IF(D104="Far",IF(E104&lt;$U$23,"Positive","Negative"),IF(E104&gt;$U$23,"Positive","Negative"))</f>
        <v>Positive</v>
      </c>
    </row>
    <row r="105" spans="1:6" x14ac:dyDescent="0.55000000000000004">
      <c r="A105" s="3" t="s">
        <v>5</v>
      </c>
      <c r="B105" s="32">
        <v>2</v>
      </c>
      <c r="C105" s="32">
        <v>20</v>
      </c>
      <c r="D105" s="32" t="s">
        <v>6</v>
      </c>
      <c r="E105" s="32">
        <v>-411.48032599999999</v>
      </c>
      <c r="F105" s="4" t="str">
        <f>IF(D105="Far",IF(E105&lt;$U$23,"Positive","Negative"),IF(E105&gt;$U$23,"Positive","Negative"))</f>
        <v>Negative</v>
      </c>
    </row>
    <row r="106" spans="1:6" x14ac:dyDescent="0.55000000000000004">
      <c r="A106" s="3" t="s">
        <v>5</v>
      </c>
      <c r="B106" s="32">
        <v>3</v>
      </c>
      <c r="C106" s="32">
        <v>20</v>
      </c>
      <c r="D106" s="32" t="s">
        <v>8</v>
      </c>
      <c r="E106" s="32">
        <v>-411.32717100000002</v>
      </c>
      <c r="F106" s="4" t="str">
        <f>IF(D106="Far",IF(E106&lt;$U$23,"Positive","Negative"),IF(E106&gt;$U$23,"Positive","Negative"))</f>
        <v>Positive</v>
      </c>
    </row>
    <row r="107" spans="1:6" x14ac:dyDescent="0.55000000000000004">
      <c r="A107" s="3" t="s">
        <v>5</v>
      </c>
      <c r="B107" s="32">
        <v>3</v>
      </c>
      <c r="C107" s="32">
        <v>20</v>
      </c>
      <c r="D107" s="32" t="s">
        <v>6</v>
      </c>
      <c r="E107" s="32">
        <v>-408.21014399999899</v>
      </c>
      <c r="F107" s="4" t="str">
        <f>IF(D107="Far",IF(E107&lt;$U$23,"Positive","Negative"),IF(E107&gt;$U$23,"Positive","Negative"))</f>
        <v>Negative</v>
      </c>
    </row>
    <row r="108" spans="1:6" x14ac:dyDescent="0.55000000000000004">
      <c r="A108" s="3" t="s">
        <v>5</v>
      </c>
      <c r="B108" s="32">
        <v>4</v>
      </c>
      <c r="C108" s="32">
        <v>20</v>
      </c>
      <c r="D108" s="32" t="s">
        <v>8</v>
      </c>
      <c r="E108" s="32">
        <v>-413.27146099999902</v>
      </c>
      <c r="F108" s="4" t="str">
        <f>IF(D108="Far",IF(E108&lt;$U$23,"Positive","Negative"),IF(E108&gt;$U$23,"Positive","Negative"))</f>
        <v>Positive</v>
      </c>
    </row>
    <row r="109" spans="1:6" x14ac:dyDescent="0.55000000000000004">
      <c r="A109" s="3" t="s">
        <v>5</v>
      </c>
      <c r="B109" s="32">
        <v>4</v>
      </c>
      <c r="C109" s="32">
        <v>20</v>
      </c>
      <c r="D109" s="32" t="s">
        <v>6</v>
      </c>
      <c r="E109" s="32">
        <v>-412.141212</v>
      </c>
      <c r="F109" s="4" t="str">
        <f>IF(D109="Far",IF(E109&lt;$U$23,"Positive","Negative"),IF(E109&gt;$U$23,"Positive","Negative"))</f>
        <v>Negative</v>
      </c>
    </row>
    <row r="110" spans="1:6" x14ac:dyDescent="0.55000000000000004">
      <c r="A110" s="3" t="s">
        <v>5</v>
      </c>
      <c r="B110" s="32">
        <v>5</v>
      </c>
      <c r="C110" s="32">
        <v>20</v>
      </c>
      <c r="D110" s="32" t="s">
        <v>8</v>
      </c>
      <c r="E110" s="32">
        <v>-414.104986</v>
      </c>
      <c r="F110" s="4" t="str">
        <f>IF(D110="Far",IF(E110&lt;$U$23,"Positive","Negative"),IF(E110&gt;$U$23,"Positive","Negative"))</f>
        <v>Positive</v>
      </c>
    </row>
    <row r="111" spans="1:6" x14ac:dyDescent="0.55000000000000004">
      <c r="A111" s="3" t="s">
        <v>5</v>
      </c>
      <c r="B111" s="32">
        <v>5</v>
      </c>
      <c r="C111" s="32">
        <v>20</v>
      </c>
      <c r="D111" s="32" t="s">
        <v>6</v>
      </c>
      <c r="E111" s="32">
        <v>-395.53821221556802</v>
      </c>
      <c r="F111" s="4" t="str">
        <f>IF(D111="Far",IF(E111&lt;$U$23,"Positive","Negative"),IF(E111&gt;$U$23,"Positive","Negative"))</f>
        <v>Positive</v>
      </c>
    </row>
    <row r="112" spans="1:6" x14ac:dyDescent="0.55000000000000004">
      <c r="A112" s="3" t="s">
        <v>9</v>
      </c>
      <c r="B112" s="32">
        <v>1</v>
      </c>
      <c r="C112" s="32">
        <v>20</v>
      </c>
      <c r="D112" s="32" t="s">
        <v>8</v>
      </c>
      <c r="E112" s="32">
        <v>-412.17858199999898</v>
      </c>
      <c r="F112" s="4" t="str">
        <f>IF(D112="Far",IF(E112&lt;$U$23,"Positive","Negative"),IF(E112&gt;$U$23,"Positive","Negative"))</f>
        <v>Positive</v>
      </c>
    </row>
    <row r="113" spans="1:6" x14ac:dyDescent="0.55000000000000004">
      <c r="A113" s="3" t="s">
        <v>9</v>
      </c>
      <c r="B113" s="32">
        <v>1</v>
      </c>
      <c r="C113" s="32">
        <v>20</v>
      </c>
      <c r="D113" s="32" t="s">
        <v>6</v>
      </c>
      <c r="E113" s="32">
        <v>-419.12572599999999</v>
      </c>
      <c r="F113" s="4" t="str">
        <f>IF(D113="Far",IF(E113&lt;$U$23,"Positive","Negative"),IF(E113&gt;$U$23,"Positive","Negative"))</f>
        <v>Negative</v>
      </c>
    </row>
    <row r="114" spans="1:6" x14ac:dyDescent="0.55000000000000004">
      <c r="A114" s="3" t="s">
        <v>9</v>
      </c>
      <c r="B114" s="32">
        <v>2</v>
      </c>
      <c r="C114" s="32">
        <v>20</v>
      </c>
      <c r="D114" s="32" t="s">
        <v>8</v>
      </c>
      <c r="E114" s="32">
        <v>-405.84283199999999</v>
      </c>
      <c r="F114" s="4" t="str">
        <f>IF(D114="Far",IF(E114&lt;$U$23,"Positive","Negative"),IF(E114&gt;$U$23,"Positive","Negative"))</f>
        <v>Negative</v>
      </c>
    </row>
    <row r="115" spans="1:6" x14ac:dyDescent="0.55000000000000004">
      <c r="A115" s="3" t="s">
        <v>9</v>
      </c>
      <c r="B115" s="32">
        <v>2</v>
      </c>
      <c r="C115" s="32">
        <v>20</v>
      </c>
      <c r="D115" s="32" t="s">
        <v>6</v>
      </c>
      <c r="E115" s="32">
        <v>-415.25006300000001</v>
      </c>
      <c r="F115" s="4" t="str">
        <f>IF(D115="Far",IF(E115&lt;$U$23,"Positive","Negative"),IF(E115&gt;$U$23,"Positive","Negative"))</f>
        <v>Negative</v>
      </c>
    </row>
    <row r="116" spans="1:6" x14ac:dyDescent="0.55000000000000004">
      <c r="A116" s="3" t="s">
        <v>9</v>
      </c>
      <c r="B116" s="32">
        <v>3</v>
      </c>
      <c r="C116" s="32">
        <v>20</v>
      </c>
      <c r="D116" s="32" t="s">
        <v>8</v>
      </c>
      <c r="E116" s="32">
        <v>-408.31250899999998</v>
      </c>
      <c r="F116" s="4" t="str">
        <f>IF(D116="Far",IF(E116&lt;$U$23,"Positive","Negative"),IF(E116&gt;$U$23,"Positive","Negative"))</f>
        <v>Positive</v>
      </c>
    </row>
    <row r="117" spans="1:6" x14ac:dyDescent="0.55000000000000004">
      <c r="A117" s="3" t="s">
        <v>9</v>
      </c>
      <c r="B117" s="32">
        <v>3</v>
      </c>
      <c r="C117" s="32">
        <v>20</v>
      </c>
      <c r="D117" s="32" t="s">
        <v>6</v>
      </c>
      <c r="E117" s="32">
        <v>-404.740951</v>
      </c>
      <c r="F117" s="4" t="str">
        <f>IF(D117="Far",IF(E117&lt;$U$23,"Positive","Negative"),IF(E117&gt;$U$23,"Positive","Negative"))</f>
        <v>Positive</v>
      </c>
    </row>
    <row r="118" spans="1:6" x14ac:dyDescent="0.55000000000000004">
      <c r="A118" s="3" t="s">
        <v>9</v>
      </c>
      <c r="B118" s="32">
        <v>4</v>
      </c>
      <c r="C118" s="32">
        <v>20</v>
      </c>
      <c r="D118" s="32" t="s">
        <v>8</v>
      </c>
      <c r="E118" s="32">
        <v>-408.51515392354099</v>
      </c>
      <c r="F118" s="4" t="str">
        <f>IF(D118="Far",IF(E118&lt;$U$23,"Positive","Negative"),IF(E118&gt;$U$23,"Positive","Negative"))</f>
        <v>Positive</v>
      </c>
    </row>
    <row r="119" spans="1:6" x14ac:dyDescent="0.55000000000000004">
      <c r="A119" s="3" t="s">
        <v>9</v>
      </c>
      <c r="B119" s="32">
        <v>4</v>
      </c>
      <c r="C119" s="32">
        <v>20</v>
      </c>
      <c r="D119" s="32" t="s">
        <v>6</v>
      </c>
      <c r="E119" s="32">
        <v>-396.967131217565</v>
      </c>
      <c r="F119" s="4" t="str">
        <f>IF(D119="Far",IF(E119&lt;$U$23,"Positive","Negative"),IF(E119&gt;$U$23,"Positive","Negative"))</f>
        <v>Positive</v>
      </c>
    </row>
    <row r="120" spans="1:6" x14ac:dyDescent="0.55000000000000004">
      <c r="A120" s="3" t="s">
        <v>9</v>
      </c>
      <c r="B120" s="32">
        <v>5</v>
      </c>
      <c r="C120" s="32">
        <v>20</v>
      </c>
      <c r="D120" s="32" t="s">
        <v>8</v>
      </c>
      <c r="E120" s="32">
        <v>-415.89242899999903</v>
      </c>
      <c r="F120" s="4" t="str">
        <f>IF(D120="Far",IF(E120&lt;$U$23,"Positive","Negative"),IF(E120&gt;$U$23,"Positive","Negative"))</f>
        <v>Positive</v>
      </c>
    </row>
    <row r="121" spans="1:6" x14ac:dyDescent="0.55000000000000004">
      <c r="A121" s="3" t="s">
        <v>9</v>
      </c>
      <c r="B121" s="32">
        <v>5</v>
      </c>
      <c r="C121" s="32">
        <v>20</v>
      </c>
      <c r="D121" s="32" t="s">
        <v>6</v>
      </c>
      <c r="E121" s="32">
        <v>-409.07437900000002</v>
      </c>
      <c r="F121" s="4" t="str">
        <f>IF(D121="Far",IF(E121&lt;$U$23,"Positive","Negative"),IF(E121&gt;$U$23,"Positive","Negative"))</f>
        <v>Negative</v>
      </c>
    </row>
    <row r="122" spans="1:6" x14ac:dyDescent="0.55000000000000004">
      <c r="A122" s="3" t="s">
        <v>13</v>
      </c>
      <c r="B122" s="32">
        <v>1</v>
      </c>
      <c r="C122" s="32">
        <v>20</v>
      </c>
      <c r="D122" s="32" t="s">
        <v>8</v>
      </c>
      <c r="E122" s="32">
        <v>-410.67274900000001</v>
      </c>
      <c r="F122" s="4" t="str">
        <f>IF(D122="Far",IF(E122&lt;$U$23,"Positive","Negative"),IF(E122&gt;$U$23,"Positive","Negative"))</f>
        <v>Positive</v>
      </c>
    </row>
    <row r="123" spans="1:6" x14ac:dyDescent="0.55000000000000004">
      <c r="A123" s="3" t="s">
        <v>13</v>
      </c>
      <c r="B123" s="32">
        <v>1</v>
      </c>
      <c r="C123" s="32">
        <v>20</v>
      </c>
      <c r="D123" s="32" t="s">
        <v>6</v>
      </c>
      <c r="E123" s="32">
        <v>-407.56582500000002</v>
      </c>
      <c r="F123" s="4" t="str">
        <f>IF(D123="Far",IF(E123&lt;$U$23,"Positive","Negative"),IF(E123&gt;$U$23,"Positive","Negative"))</f>
        <v>Negative</v>
      </c>
    </row>
    <row r="124" spans="1:6" x14ac:dyDescent="0.55000000000000004">
      <c r="A124" s="3" t="s">
        <v>13</v>
      </c>
      <c r="B124" s="32">
        <v>2</v>
      </c>
      <c r="C124" s="32">
        <v>20</v>
      </c>
      <c r="D124" s="32" t="s">
        <v>8</v>
      </c>
      <c r="E124" s="32">
        <v>-422.81209799999999</v>
      </c>
      <c r="F124" s="4" t="str">
        <f>IF(D124="Far",IF(E124&lt;$U$23,"Positive","Negative"),IF(E124&gt;$U$23,"Positive","Negative"))</f>
        <v>Positive</v>
      </c>
    </row>
    <row r="125" spans="1:6" x14ac:dyDescent="0.55000000000000004">
      <c r="A125" s="3" t="s">
        <v>13</v>
      </c>
      <c r="B125" s="32">
        <v>2</v>
      </c>
      <c r="C125" s="32">
        <v>20</v>
      </c>
      <c r="D125" s="32" t="s">
        <v>6</v>
      </c>
      <c r="E125" s="32">
        <v>-420.43545299999897</v>
      </c>
      <c r="F125" s="4" t="str">
        <f>IF(D125="Far",IF(E125&lt;$U$23,"Positive","Negative"),IF(E125&gt;$U$23,"Positive","Negative"))</f>
        <v>Negative</v>
      </c>
    </row>
    <row r="126" spans="1:6" x14ac:dyDescent="0.55000000000000004">
      <c r="A126" s="3" t="s">
        <v>13</v>
      </c>
      <c r="B126" s="32">
        <v>3</v>
      </c>
      <c r="C126" s="32">
        <v>20</v>
      </c>
      <c r="D126" s="32" t="s">
        <v>8</v>
      </c>
      <c r="E126" s="32">
        <v>-422.84276699999998</v>
      </c>
      <c r="F126" s="4" t="str">
        <f>IF(D126="Far",IF(E126&lt;$U$23,"Positive","Negative"),IF(E126&gt;$U$23,"Positive","Negative"))</f>
        <v>Positive</v>
      </c>
    </row>
    <row r="127" spans="1:6" x14ac:dyDescent="0.55000000000000004">
      <c r="A127" s="3" t="s">
        <v>13</v>
      </c>
      <c r="B127" s="32">
        <v>3</v>
      </c>
      <c r="C127" s="32">
        <v>20</v>
      </c>
      <c r="D127" s="32" t="s">
        <v>6</v>
      </c>
      <c r="E127" s="32">
        <v>-415.91119300000003</v>
      </c>
      <c r="F127" s="4" t="str">
        <f>IF(D127="Far",IF(E127&lt;$U$23,"Positive","Negative"),IF(E127&gt;$U$23,"Positive","Negative"))</f>
        <v>Negative</v>
      </c>
    </row>
    <row r="128" spans="1:6" x14ac:dyDescent="0.55000000000000004">
      <c r="A128" s="3" t="s">
        <v>13</v>
      </c>
      <c r="B128" s="32">
        <v>4</v>
      </c>
      <c r="C128" s="32">
        <v>20</v>
      </c>
      <c r="D128" s="32" t="s">
        <v>8</v>
      </c>
      <c r="E128" s="32">
        <v>-422.29122799999999</v>
      </c>
      <c r="F128" s="4" t="str">
        <f>IF(D128="Far",IF(E128&lt;$U$23,"Positive","Negative"),IF(E128&gt;$U$23,"Positive","Negative"))</f>
        <v>Positive</v>
      </c>
    </row>
    <row r="129" spans="1:6" x14ac:dyDescent="0.55000000000000004">
      <c r="A129" s="3" t="s">
        <v>13</v>
      </c>
      <c r="B129" s="32">
        <v>4</v>
      </c>
      <c r="C129" s="32">
        <v>20</v>
      </c>
      <c r="D129" s="32" t="s">
        <v>6</v>
      </c>
      <c r="E129" s="32">
        <v>-419.96551199999902</v>
      </c>
      <c r="F129" s="4" t="str">
        <f>IF(D129="Far",IF(E129&lt;$U$23,"Positive","Negative"),IF(E129&gt;$U$23,"Positive","Negative"))</f>
        <v>Negative</v>
      </c>
    </row>
    <row r="130" spans="1:6" x14ac:dyDescent="0.55000000000000004">
      <c r="A130" s="3" t="s">
        <v>13</v>
      </c>
      <c r="B130" s="32">
        <v>5</v>
      </c>
      <c r="C130" s="32">
        <v>20</v>
      </c>
      <c r="D130" s="32" t="s">
        <v>8</v>
      </c>
      <c r="E130" s="32">
        <v>-422.165154999999</v>
      </c>
      <c r="F130" s="4" t="str">
        <f>IF(D130="Far",IF(E130&lt;$U$23,"Positive","Negative"),IF(E130&gt;$U$23,"Positive","Negative"))</f>
        <v>Positive</v>
      </c>
    </row>
    <row r="131" spans="1:6" x14ac:dyDescent="0.55000000000000004">
      <c r="A131" s="3" t="s">
        <v>13</v>
      </c>
      <c r="B131" s="32">
        <v>5</v>
      </c>
      <c r="C131" s="32">
        <v>20</v>
      </c>
      <c r="D131" s="32" t="s">
        <v>6</v>
      </c>
      <c r="E131" s="32">
        <v>-420.9948</v>
      </c>
      <c r="F131" s="4" t="str">
        <f>IF(D131="Far",IF(E131&lt;$U$23,"Positive","Negative"),IF(E131&gt;$U$23,"Positive","Negative"))</f>
        <v>Negative</v>
      </c>
    </row>
    <row r="132" spans="1:6" x14ac:dyDescent="0.55000000000000004">
      <c r="A132" s="3" t="s">
        <v>11</v>
      </c>
      <c r="B132" s="32">
        <v>1</v>
      </c>
      <c r="C132" s="32">
        <v>20</v>
      </c>
      <c r="D132" s="32" t="s">
        <v>8</v>
      </c>
      <c r="E132" s="32">
        <v>-420.75463399999899</v>
      </c>
      <c r="F132" s="4" t="str">
        <f>IF(D132="Far",IF(E132&lt;$U$23,"Positive","Negative"),IF(E132&gt;$U$23,"Positive","Negative"))</f>
        <v>Positive</v>
      </c>
    </row>
    <row r="133" spans="1:6" x14ac:dyDescent="0.55000000000000004">
      <c r="A133" s="3" t="s">
        <v>11</v>
      </c>
      <c r="B133" s="32">
        <v>1</v>
      </c>
      <c r="C133" s="32">
        <v>20</v>
      </c>
      <c r="D133" s="32" t="s">
        <v>6</v>
      </c>
      <c r="E133" s="32">
        <v>-425.12276800000001</v>
      </c>
      <c r="F133" s="4" t="str">
        <f>IF(D133="Far",IF(E133&lt;$U$23,"Positive","Negative"),IF(E133&gt;$U$23,"Positive","Negative"))</f>
        <v>Negative</v>
      </c>
    </row>
    <row r="134" spans="1:6" x14ac:dyDescent="0.55000000000000004">
      <c r="A134" s="3" t="s">
        <v>11</v>
      </c>
      <c r="B134" s="32">
        <v>2</v>
      </c>
      <c r="C134" s="32">
        <v>20</v>
      </c>
      <c r="D134" s="32" t="s">
        <v>8</v>
      </c>
      <c r="E134" s="32">
        <v>-410.05803100000003</v>
      </c>
      <c r="F134" s="4" t="str">
        <f>IF(D134="Far",IF(E134&lt;$U$23,"Positive","Negative"),IF(E134&gt;$U$23,"Positive","Negative"))</f>
        <v>Positive</v>
      </c>
    </row>
    <row r="135" spans="1:6" x14ac:dyDescent="0.55000000000000004">
      <c r="A135" s="3" t="s">
        <v>11</v>
      </c>
      <c r="B135" s="32">
        <v>2</v>
      </c>
      <c r="C135" s="32">
        <v>20</v>
      </c>
      <c r="D135" s="32" t="s">
        <v>6</v>
      </c>
      <c r="E135" s="32">
        <v>-416.27615899999898</v>
      </c>
      <c r="F135" s="4" t="str">
        <f>IF(D135="Far",IF(E135&lt;$U$23,"Positive","Negative"),IF(E135&gt;$U$23,"Positive","Negative"))</f>
        <v>Negative</v>
      </c>
    </row>
    <row r="136" spans="1:6" x14ac:dyDescent="0.55000000000000004">
      <c r="A136" s="3" t="s">
        <v>11</v>
      </c>
      <c r="B136" s="32">
        <v>3</v>
      </c>
      <c r="C136" s="32">
        <v>20</v>
      </c>
      <c r="D136" s="32" t="s">
        <v>8</v>
      </c>
      <c r="E136" s="32">
        <v>-422.56145299999997</v>
      </c>
      <c r="F136" s="4" t="str">
        <f>IF(D136="Far",IF(E136&lt;$U$23,"Positive","Negative"),IF(E136&gt;$U$23,"Positive","Negative"))</f>
        <v>Positive</v>
      </c>
    </row>
    <row r="137" spans="1:6" x14ac:dyDescent="0.55000000000000004">
      <c r="A137" s="3" t="s">
        <v>11</v>
      </c>
      <c r="B137" s="32">
        <v>3</v>
      </c>
      <c r="C137" s="32">
        <v>20</v>
      </c>
      <c r="D137" s="32" t="s">
        <v>6</v>
      </c>
      <c r="E137" s="32">
        <v>-419.002397999999</v>
      </c>
      <c r="F137" s="4" t="str">
        <f>IF(D137="Far",IF(E137&lt;$U$23,"Positive","Negative"),IF(E137&gt;$U$23,"Positive","Negative"))</f>
        <v>Negative</v>
      </c>
    </row>
    <row r="138" spans="1:6" x14ac:dyDescent="0.55000000000000004">
      <c r="A138" s="3" t="s">
        <v>11</v>
      </c>
      <c r="B138" s="32">
        <v>4</v>
      </c>
      <c r="C138" s="32">
        <v>20</v>
      </c>
      <c r="D138" s="32" t="s">
        <v>8</v>
      </c>
      <c r="E138" s="32">
        <v>-416.92977299999899</v>
      </c>
      <c r="F138" s="4" t="str">
        <f>IF(D138="Far",IF(E138&lt;$U$23,"Positive","Negative"),IF(E138&gt;$U$23,"Positive","Negative"))</f>
        <v>Positive</v>
      </c>
    </row>
    <row r="139" spans="1:6" x14ac:dyDescent="0.55000000000000004">
      <c r="A139" s="3" t="s">
        <v>11</v>
      </c>
      <c r="B139" s="32">
        <v>4</v>
      </c>
      <c r="C139" s="32">
        <v>20</v>
      </c>
      <c r="D139" s="32" t="s">
        <v>6</v>
      </c>
      <c r="E139" s="32">
        <v>-406.27683499999898</v>
      </c>
      <c r="F139" s="4" t="str">
        <f>IF(D139="Far",IF(E139&lt;$U$23,"Positive","Negative"),IF(E139&gt;$U$23,"Positive","Negative"))</f>
        <v>Positive</v>
      </c>
    </row>
    <row r="140" spans="1:6" x14ac:dyDescent="0.55000000000000004">
      <c r="A140" s="3" t="s">
        <v>11</v>
      </c>
      <c r="B140" s="32">
        <v>5</v>
      </c>
      <c r="C140" s="32">
        <v>20</v>
      </c>
      <c r="D140" s="32" t="s">
        <v>8</v>
      </c>
      <c r="E140" s="32">
        <v>-407.114633999999</v>
      </c>
      <c r="F140" s="4" t="str">
        <f>IF(D140="Far",IF(E140&lt;$U$23,"Positive","Negative"),IF(E140&gt;$U$23,"Positive","Negative"))</f>
        <v>Positive</v>
      </c>
    </row>
    <row r="141" spans="1:6" x14ac:dyDescent="0.55000000000000004">
      <c r="A141" s="3" t="s">
        <v>11</v>
      </c>
      <c r="B141" s="32">
        <v>5</v>
      </c>
      <c r="C141" s="32">
        <v>20</v>
      </c>
      <c r="D141" s="32" t="s">
        <v>6</v>
      </c>
      <c r="E141" s="32">
        <v>-407.05493599999897</v>
      </c>
      <c r="F141" s="4" t="str">
        <f>IF(D141="Far",IF(E141&lt;$U$23,"Positive","Negative"),IF(E141&gt;$U$23,"Positive","Negative"))</f>
        <v>Positive</v>
      </c>
    </row>
    <row r="142" spans="1:6" x14ac:dyDescent="0.55000000000000004">
      <c r="A142" s="3" t="s">
        <v>12</v>
      </c>
      <c r="B142" s="32">
        <v>1</v>
      </c>
      <c r="C142" s="32">
        <v>20</v>
      </c>
      <c r="D142" s="32" t="s">
        <v>8</v>
      </c>
      <c r="E142" s="32">
        <v>-425.28542399999901</v>
      </c>
      <c r="F142" s="4" t="str">
        <f>IF(D142="Far",IF(E142&lt;$U$23,"Positive","Negative"),IF(E142&gt;$U$23,"Positive","Negative"))</f>
        <v>Positive</v>
      </c>
    </row>
    <row r="143" spans="1:6" x14ac:dyDescent="0.55000000000000004">
      <c r="A143" s="3" t="s">
        <v>12</v>
      </c>
      <c r="B143" s="32">
        <v>1</v>
      </c>
      <c r="C143" s="32">
        <v>20</v>
      </c>
      <c r="D143" s="32" t="s">
        <v>6</v>
      </c>
      <c r="E143" s="32">
        <v>-424.47572499999899</v>
      </c>
      <c r="F143" s="4" t="str">
        <f>IF(D143="Far",IF(E143&lt;$U$23,"Positive","Negative"),IF(E143&gt;$U$23,"Positive","Negative"))</f>
        <v>Negative</v>
      </c>
    </row>
    <row r="144" spans="1:6" x14ac:dyDescent="0.55000000000000004">
      <c r="A144" s="3" t="s">
        <v>12</v>
      </c>
      <c r="B144" s="32">
        <v>2</v>
      </c>
      <c r="C144" s="32">
        <v>20</v>
      </c>
      <c r="D144" s="32" t="s">
        <v>8</v>
      </c>
      <c r="E144" s="32">
        <v>-425.89338799999899</v>
      </c>
      <c r="F144" s="4" t="str">
        <f>IF(D144="Far",IF(E144&lt;$U$23,"Positive","Negative"),IF(E144&gt;$U$23,"Positive","Negative"))</f>
        <v>Positive</v>
      </c>
    </row>
    <row r="145" spans="1:6" x14ac:dyDescent="0.55000000000000004">
      <c r="A145" s="3" t="s">
        <v>12</v>
      </c>
      <c r="B145" s="32">
        <v>2</v>
      </c>
      <c r="C145" s="32">
        <v>20</v>
      </c>
      <c r="D145" s="32" t="s">
        <v>6</v>
      </c>
      <c r="E145" s="32">
        <v>-425.30879099999999</v>
      </c>
      <c r="F145" s="4" t="str">
        <f>IF(D145="Far",IF(E145&lt;$U$23,"Positive","Negative"),IF(E145&gt;$U$23,"Positive","Negative"))</f>
        <v>Negative</v>
      </c>
    </row>
    <row r="146" spans="1:6" x14ac:dyDescent="0.55000000000000004">
      <c r="A146" s="3" t="s">
        <v>12</v>
      </c>
      <c r="B146" s="32">
        <v>3</v>
      </c>
      <c r="C146" s="32">
        <v>20</v>
      </c>
      <c r="D146" s="32" t="s">
        <v>8</v>
      </c>
      <c r="E146" s="32">
        <v>-416.30357900000001</v>
      </c>
      <c r="F146" s="4" t="str">
        <f>IF(D146="Far",IF(E146&lt;$U$23,"Positive","Negative"),IF(E146&gt;$U$23,"Positive","Negative"))</f>
        <v>Positive</v>
      </c>
    </row>
    <row r="147" spans="1:6" x14ac:dyDescent="0.55000000000000004">
      <c r="A147" s="3" t="s">
        <v>12</v>
      </c>
      <c r="B147" s="32">
        <v>3</v>
      </c>
      <c r="C147" s="32">
        <v>20</v>
      </c>
      <c r="D147" s="32" t="s">
        <v>6</v>
      </c>
      <c r="E147" s="32">
        <v>-420.30676699999998</v>
      </c>
      <c r="F147" s="4" t="str">
        <f>IF(D147="Far",IF(E147&lt;$U$23,"Positive","Negative"),IF(E147&gt;$U$23,"Positive","Negative"))</f>
        <v>Negative</v>
      </c>
    </row>
    <row r="148" spans="1:6" x14ac:dyDescent="0.55000000000000004">
      <c r="A148" s="3" t="s">
        <v>12</v>
      </c>
      <c r="B148" s="32">
        <v>4</v>
      </c>
      <c r="C148" s="32">
        <v>20</v>
      </c>
      <c r="D148" s="32" t="s">
        <v>8</v>
      </c>
      <c r="E148" s="32">
        <v>-420.74868999999899</v>
      </c>
      <c r="F148" s="4" t="str">
        <f>IF(D148="Far",IF(E148&lt;$U$23,"Positive","Negative"),IF(E148&gt;$U$23,"Positive","Negative"))</f>
        <v>Positive</v>
      </c>
    </row>
    <row r="149" spans="1:6" x14ac:dyDescent="0.55000000000000004">
      <c r="A149" s="3" t="s">
        <v>12</v>
      </c>
      <c r="B149" s="32">
        <v>4</v>
      </c>
      <c r="C149" s="32">
        <v>20</v>
      </c>
      <c r="D149" s="32" t="s">
        <v>6</v>
      </c>
      <c r="E149" s="32">
        <v>-419.41013800000002</v>
      </c>
      <c r="F149" s="4" t="str">
        <f>IF(D149="Far",IF(E149&lt;$U$23,"Positive","Negative"),IF(E149&gt;$U$23,"Positive","Negative"))</f>
        <v>Negative</v>
      </c>
    </row>
    <row r="150" spans="1:6" x14ac:dyDescent="0.55000000000000004">
      <c r="A150" s="3" t="s">
        <v>12</v>
      </c>
      <c r="B150" s="32">
        <v>5</v>
      </c>
      <c r="C150" s="32">
        <v>20</v>
      </c>
      <c r="D150" s="32" t="s">
        <v>8</v>
      </c>
      <c r="E150" s="32">
        <v>-418.494665555555</v>
      </c>
      <c r="F150" s="4" t="str">
        <f>IF(D150="Far",IF(E150&lt;$U$23,"Positive","Negative"),IF(E150&gt;$U$23,"Positive","Negative"))</f>
        <v>Positive</v>
      </c>
    </row>
    <row r="151" spans="1:6" ht="14.65" thickBot="1" x14ac:dyDescent="0.6">
      <c r="A151" s="5" t="s">
        <v>12</v>
      </c>
      <c r="B151" s="34">
        <v>5</v>
      </c>
      <c r="C151" s="34">
        <v>20</v>
      </c>
      <c r="D151" s="34" t="s">
        <v>6</v>
      </c>
      <c r="E151" s="34">
        <v>-410.69423599999999</v>
      </c>
      <c r="F151" s="6" t="str">
        <f>IF(D151="Far",IF(E151&lt;$U$23,"Positive","Negative"),IF(E151&gt;$U$23,"Positive","Negative"))</f>
        <v>Negative</v>
      </c>
    </row>
  </sheetData>
  <autoFilter ref="A1:F151" xr:uid="{00000000-0001-0000-0000-000000000000}">
    <sortState xmlns:xlrd2="http://schemas.microsoft.com/office/spreadsheetml/2017/richdata2" ref="A2:F151">
      <sortCondition descending="1" ref="C1:C151"/>
    </sortState>
  </autoFilter>
  <mergeCells count="9">
    <mergeCell ref="O52:O53"/>
    <mergeCell ref="I53:I54"/>
    <mergeCell ref="J53:J54"/>
    <mergeCell ref="H4:J4"/>
    <mergeCell ref="H52:H54"/>
    <mergeCell ref="I52:J52"/>
    <mergeCell ref="K52:L52"/>
    <mergeCell ref="M52:M53"/>
    <mergeCell ref="N52:N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9297-1D54-4D78-B9D1-B5AC5A5FC9A2}">
  <sheetPr codeName="Sheet2"/>
  <dimension ref="A1:W151"/>
  <sheetViews>
    <sheetView topLeftCell="I1" zoomScaleNormal="100" workbookViewId="0">
      <selection activeCell="U21" sqref="U21"/>
    </sheetView>
  </sheetViews>
  <sheetFormatPr defaultRowHeight="15" x14ac:dyDescent="0.55000000000000004"/>
  <cols>
    <col min="1" max="1" width="16.83984375" bestFit="1" customWidth="1"/>
    <col min="2" max="2" width="8" bestFit="1" customWidth="1"/>
    <col min="3" max="3" width="9" bestFit="1" customWidth="1"/>
    <col min="4" max="4" width="11.15625" bestFit="1" customWidth="1"/>
    <col min="5" max="5" width="15" bestFit="1" customWidth="1"/>
    <col min="6" max="6" width="16.68359375" bestFit="1" customWidth="1"/>
    <col min="7" max="7" width="9.26171875" bestFit="1" customWidth="1"/>
    <col min="8" max="8" width="11.83984375" customWidth="1"/>
    <col min="9" max="10" width="12.26171875" bestFit="1" customWidth="1"/>
    <col min="11" max="11" width="11.26171875" bestFit="1" customWidth="1"/>
    <col min="12" max="12" width="11.68359375" bestFit="1" customWidth="1"/>
    <col min="13" max="13" width="15.15625" bestFit="1" customWidth="1"/>
    <col min="14" max="14" width="14.83984375" bestFit="1" customWidth="1"/>
    <col min="15" max="19" width="9.15625" bestFit="1" customWidth="1"/>
    <col min="20" max="20" width="20.41796875" bestFit="1" customWidth="1"/>
    <col min="21" max="21" width="15" bestFit="1" customWidth="1"/>
    <col min="22" max="22" width="12.83984375" bestFit="1" customWidth="1"/>
    <col min="23" max="23" width="10.26171875" bestFit="1" customWidth="1"/>
    <col min="24" max="97" width="15" bestFit="1" customWidth="1"/>
    <col min="98" max="98" width="10.26171875" bestFit="1" customWidth="1"/>
    <col min="99" max="99" width="13" bestFit="1" customWidth="1"/>
    <col min="100" max="100" width="21.41796875" bestFit="1" customWidth="1"/>
    <col min="101" max="101" width="13" bestFit="1" customWidth="1"/>
    <col min="102" max="102" width="15.41796875" bestFit="1" customWidth="1"/>
    <col min="103" max="103" width="13" bestFit="1" customWidth="1"/>
    <col min="104" max="104" width="15.41796875" bestFit="1" customWidth="1"/>
    <col min="105" max="105" width="13" bestFit="1" customWidth="1"/>
    <col min="106" max="106" width="21.41796875" bestFit="1" customWidth="1"/>
    <col min="107" max="107" width="13" bestFit="1" customWidth="1"/>
    <col min="108" max="108" width="15.41796875" bestFit="1" customWidth="1"/>
    <col min="109" max="109" width="13" bestFit="1" customWidth="1"/>
    <col min="110" max="110" width="15.41796875" bestFit="1" customWidth="1"/>
    <col min="111" max="111" width="13" bestFit="1" customWidth="1"/>
    <col min="112" max="112" width="21.41796875" bestFit="1" customWidth="1"/>
    <col min="113" max="113" width="13" bestFit="1" customWidth="1"/>
    <col min="114" max="114" width="15.41796875" bestFit="1" customWidth="1"/>
    <col min="115" max="115" width="13" bestFit="1" customWidth="1"/>
    <col min="116" max="116" width="15.41796875" bestFit="1" customWidth="1"/>
    <col min="117" max="117" width="13" bestFit="1" customWidth="1"/>
    <col min="118" max="118" width="15.41796875" bestFit="1" customWidth="1"/>
    <col min="119" max="119" width="13" bestFit="1" customWidth="1"/>
    <col min="120" max="120" width="21.41796875" bestFit="1" customWidth="1"/>
    <col min="121" max="121" width="13" bestFit="1" customWidth="1"/>
    <col min="122" max="122" width="15.41796875" bestFit="1" customWidth="1"/>
    <col min="123" max="123" width="13" bestFit="1" customWidth="1"/>
    <col min="124" max="124" width="15.41796875" bestFit="1" customWidth="1"/>
    <col min="125" max="125" width="13" bestFit="1" customWidth="1"/>
    <col min="126" max="126" width="21.41796875" bestFit="1" customWidth="1"/>
    <col min="127" max="127" width="13" bestFit="1" customWidth="1"/>
    <col min="128" max="128" width="15.41796875" bestFit="1" customWidth="1"/>
    <col min="129" max="129" width="13" bestFit="1" customWidth="1"/>
    <col min="130" max="130" width="21.41796875" bestFit="1" customWidth="1"/>
    <col min="131" max="131" width="13" bestFit="1" customWidth="1"/>
    <col min="132" max="132" width="15.41796875" bestFit="1" customWidth="1"/>
    <col min="133" max="133" width="11.26171875" bestFit="1" customWidth="1"/>
    <col min="134" max="134" width="13.41796875" bestFit="1" customWidth="1"/>
    <col min="135" max="135" width="13" bestFit="1" customWidth="1"/>
    <col min="136" max="136" width="15.41796875" bestFit="1" customWidth="1"/>
    <col min="137" max="137" width="13" bestFit="1" customWidth="1"/>
    <col min="138" max="138" width="15.41796875" bestFit="1" customWidth="1"/>
    <col min="139" max="139" width="13" bestFit="1" customWidth="1"/>
    <col min="140" max="140" width="15.41796875" bestFit="1" customWidth="1"/>
    <col min="141" max="141" width="13" bestFit="1" customWidth="1"/>
    <col min="142" max="142" width="15.41796875" bestFit="1" customWidth="1"/>
    <col min="143" max="143" width="13" bestFit="1" customWidth="1"/>
    <col min="144" max="144" width="15.41796875" bestFit="1" customWidth="1"/>
    <col min="145" max="145" width="13" bestFit="1" customWidth="1"/>
    <col min="146" max="146" width="15.41796875" bestFit="1" customWidth="1"/>
    <col min="147" max="147" width="13" bestFit="1" customWidth="1"/>
    <col min="148" max="148" width="15.41796875" bestFit="1" customWidth="1"/>
    <col min="149" max="149" width="14" bestFit="1" customWidth="1"/>
    <col min="150" max="150" width="21.41796875" bestFit="1" customWidth="1"/>
    <col min="151" max="151" width="13" bestFit="1" customWidth="1"/>
    <col min="152" max="152" width="15.41796875" bestFit="1" customWidth="1"/>
    <col min="153" max="153" width="13" bestFit="1" customWidth="1"/>
    <col min="154" max="154" width="15.41796875" bestFit="1" customWidth="1"/>
    <col min="155" max="155" width="14" bestFit="1" customWidth="1"/>
    <col min="156" max="156" width="21.41796875" bestFit="1" customWidth="1"/>
    <col min="157" max="157" width="12" bestFit="1" customWidth="1"/>
    <col min="158" max="158" width="14.41796875" bestFit="1" customWidth="1"/>
    <col min="159" max="159" width="14" bestFit="1" customWidth="1"/>
    <col min="160" max="160" width="21.41796875" bestFit="1" customWidth="1"/>
    <col min="161" max="161" width="13" bestFit="1" customWidth="1"/>
    <col min="162" max="162" width="21.41796875" bestFit="1" customWidth="1"/>
    <col min="163" max="163" width="13" bestFit="1" customWidth="1"/>
    <col min="164" max="164" width="21.41796875" bestFit="1" customWidth="1"/>
    <col min="165" max="165" width="13" bestFit="1" customWidth="1"/>
    <col min="166" max="166" width="15.41796875" bestFit="1" customWidth="1"/>
    <col min="167" max="167" width="13" bestFit="1" customWidth="1"/>
    <col min="168" max="168" width="15.41796875" bestFit="1" customWidth="1"/>
    <col min="169" max="169" width="13" bestFit="1" customWidth="1"/>
    <col min="170" max="170" width="21.41796875" bestFit="1" customWidth="1"/>
    <col min="171" max="171" width="13" bestFit="1" customWidth="1"/>
    <col min="172" max="172" width="15.41796875" bestFit="1" customWidth="1"/>
    <col min="173" max="173" width="10.26171875" bestFit="1" customWidth="1"/>
  </cols>
  <sheetData>
    <row r="1" spans="1:23" thickBot="1" x14ac:dyDescent="0.6">
      <c r="A1" s="29" t="s">
        <v>0</v>
      </c>
      <c r="B1" s="30" t="s">
        <v>1</v>
      </c>
      <c r="C1" s="30" t="s">
        <v>2</v>
      </c>
      <c r="D1" s="30" t="s">
        <v>14</v>
      </c>
      <c r="E1" s="31" t="s">
        <v>3</v>
      </c>
      <c r="F1" t="s">
        <v>34</v>
      </c>
      <c r="H1" t="s">
        <v>4</v>
      </c>
    </row>
    <row r="2" spans="1:23" x14ac:dyDescent="0.55000000000000004">
      <c r="A2" s="1" t="s">
        <v>5</v>
      </c>
      <c r="B2" s="33">
        <v>1</v>
      </c>
      <c r="C2" s="33">
        <v>20</v>
      </c>
      <c r="D2" s="33" t="s">
        <v>8</v>
      </c>
      <c r="E2" s="33">
        <v>-416.073070999999</v>
      </c>
      <c r="F2" s="2" t="str">
        <f>IF(D2="Far",IF(E2&lt;$U$23,"Positive","Negative"),IF(E2&gt;$U$23,"Positive","Negative"))</f>
        <v>Positive</v>
      </c>
      <c r="G2" s="35"/>
      <c r="H2" t="s">
        <v>7</v>
      </c>
    </row>
    <row r="3" spans="1:23" x14ac:dyDescent="0.55000000000000004">
      <c r="A3" s="3" t="s">
        <v>5</v>
      </c>
      <c r="B3" s="32">
        <v>1</v>
      </c>
      <c r="C3" s="32">
        <v>20</v>
      </c>
      <c r="D3" s="32" t="s">
        <v>6</v>
      </c>
      <c r="E3" s="32">
        <v>-414.48324300000002</v>
      </c>
      <c r="F3" s="4" t="str">
        <f>IF(D3="Far",IF(E3&lt;$U$23,"Positive","Negative"),IF(E3&gt;$U$23,"Positive","Negative"))</f>
        <v>Negative</v>
      </c>
    </row>
    <row r="4" spans="1:23" ht="14.7" thickBot="1" x14ac:dyDescent="0.6">
      <c r="A4" s="3" t="s">
        <v>5</v>
      </c>
      <c r="B4" s="32">
        <v>1</v>
      </c>
      <c r="C4" s="32">
        <v>40</v>
      </c>
      <c r="D4" s="32" t="s">
        <v>8</v>
      </c>
      <c r="E4" s="32">
        <v>-414.701187</v>
      </c>
      <c r="F4" s="4" t="str">
        <f>IF(D4="Far",IF(E4&lt;$U$23,"Positive","Negative"),IF(E4&gt;$U$23,"Positive","Negative"))</f>
        <v>Positive</v>
      </c>
      <c r="H4" s="26" t="s">
        <v>15</v>
      </c>
      <c r="I4" s="26"/>
      <c r="J4" s="26"/>
    </row>
    <row r="5" spans="1:23" thickBot="1" x14ac:dyDescent="0.6">
      <c r="A5" s="3" t="s">
        <v>5</v>
      </c>
      <c r="B5" s="32">
        <v>1</v>
      </c>
      <c r="C5" s="32">
        <v>40</v>
      </c>
      <c r="D5" s="32" t="s">
        <v>6</v>
      </c>
      <c r="E5" s="32">
        <v>-414.02561599999899</v>
      </c>
      <c r="F5" s="4" t="str">
        <f>IF(D5="Far",IF(E5&lt;$U$23,"Positive","Negative"),IF(E5&gt;$U$23,"Positive","Negative"))</f>
        <v>Negative</v>
      </c>
      <c r="T5" s="8" t="s">
        <v>17</v>
      </c>
      <c r="U5" s="9" t="s">
        <v>16</v>
      </c>
      <c r="W5" t="s">
        <v>30</v>
      </c>
    </row>
    <row r="6" spans="1:23" thickBot="1" x14ac:dyDescent="0.6">
      <c r="A6" s="3" t="s">
        <v>5</v>
      </c>
      <c r="B6" s="32">
        <v>1</v>
      </c>
      <c r="C6" s="32">
        <v>50</v>
      </c>
      <c r="D6" s="32" t="s">
        <v>8</v>
      </c>
      <c r="E6" s="32">
        <v>-414.59568599999898</v>
      </c>
      <c r="F6" s="4" t="str">
        <f>IF(D6="Far",IF(E6&lt;$U$23,"Positive","Negative"),IF(E6&gt;$U$23,"Positive","Negative"))</f>
        <v>Positive</v>
      </c>
      <c r="H6" s="14">
        <v>1</v>
      </c>
      <c r="I6" s="10" t="s">
        <v>6</v>
      </c>
      <c r="J6" s="9" t="s">
        <v>8</v>
      </c>
      <c r="T6" s="21" t="s">
        <v>6</v>
      </c>
      <c r="U6" s="2">
        <f>SUMIF(D2:D151,D3,E2:E151)/COUNTIF(D2:D151,D3)</f>
        <v>-413.39397312463035</v>
      </c>
      <c r="W6" t="s">
        <v>31</v>
      </c>
    </row>
    <row r="7" spans="1:23" thickBot="1" x14ac:dyDescent="0.6">
      <c r="A7" s="3" t="s">
        <v>5</v>
      </c>
      <c r="B7" s="32">
        <v>1</v>
      </c>
      <c r="C7" s="32">
        <v>50</v>
      </c>
      <c r="D7" s="32" t="s">
        <v>6</v>
      </c>
      <c r="E7" s="32">
        <v>-413.78227199999998</v>
      </c>
      <c r="F7" s="4" t="str">
        <f>IF(D7="Far",IF(E7&lt;$U$23,"Positive","Negative"),IF(E7&gt;$U$23,"Positive","Negative"))</f>
        <v>Negative</v>
      </c>
      <c r="H7" s="15" t="s">
        <v>5</v>
      </c>
      <c r="I7" s="11">
        <f>E7</f>
        <v>-413.78227199999998</v>
      </c>
      <c r="J7" s="7">
        <f>E6</f>
        <v>-414.59568599999898</v>
      </c>
      <c r="T7" s="20" t="s">
        <v>8</v>
      </c>
      <c r="U7" s="6">
        <f>SUMIF(D2:D151,D2,E2:E151)/COUNTIF(D2:D151,D2)</f>
        <v>-415.69718039422264</v>
      </c>
      <c r="W7" t="s">
        <v>32</v>
      </c>
    </row>
    <row r="8" spans="1:23" x14ac:dyDescent="0.55000000000000004">
      <c r="A8" s="3" t="s">
        <v>5</v>
      </c>
      <c r="B8" s="32">
        <v>2</v>
      </c>
      <c r="C8" s="32">
        <v>20</v>
      </c>
      <c r="D8" s="32" t="s">
        <v>8</v>
      </c>
      <c r="E8" s="32">
        <v>-417.251340999999</v>
      </c>
      <c r="F8" s="4" t="str">
        <f>IF(D8="Far",IF(E8&lt;$U$23,"Positive","Negative"),IF(E8&gt;$U$23,"Positive","Negative"))</f>
        <v>Positive</v>
      </c>
      <c r="H8" s="16" t="s">
        <v>9</v>
      </c>
      <c r="I8" s="12">
        <f>E37</f>
        <v>-418.45319699999902</v>
      </c>
      <c r="J8" s="4">
        <f>E36</f>
        <v>-411.47698599999899</v>
      </c>
      <c r="T8" s="22">
        <v>0.2</v>
      </c>
      <c r="U8" s="2">
        <f>SUMIF(C2:C151,C2,E2:E151)/COUNTIF(C2:C151,C2)</f>
        <v>-415.07021455824417</v>
      </c>
    </row>
    <row r="9" spans="1:23" x14ac:dyDescent="0.55000000000000004">
      <c r="A9" s="3" t="s">
        <v>5</v>
      </c>
      <c r="B9" s="32">
        <v>2</v>
      </c>
      <c r="C9" s="32">
        <v>20</v>
      </c>
      <c r="D9" s="32" t="s">
        <v>6</v>
      </c>
      <c r="E9" s="32">
        <v>-411.48032599999999</v>
      </c>
      <c r="F9" s="4" t="str">
        <f>IF(D9="Far",IF(E9&lt;$U$23,"Positive","Negative"),IF(E9&gt;$U$23,"Positive","Negative"))</f>
        <v>Negative</v>
      </c>
      <c r="H9" s="16" t="s">
        <v>10</v>
      </c>
      <c r="I9" s="12">
        <f>E67</f>
        <v>-406.64960100000002</v>
      </c>
      <c r="J9" s="4">
        <f>E66</f>
        <v>-409.57085599999999</v>
      </c>
      <c r="T9" s="19">
        <v>0.4</v>
      </c>
      <c r="U9" s="4">
        <f>SUMIF(C2:C151,C4,E2:E151)/COUNTIF(C2:C151,C4)</f>
        <v>-414.38677393559118</v>
      </c>
    </row>
    <row r="10" spans="1:23" thickBot="1" x14ac:dyDescent="0.6">
      <c r="A10" s="3" t="s">
        <v>5</v>
      </c>
      <c r="B10" s="32">
        <v>2</v>
      </c>
      <c r="C10" s="32">
        <v>40</v>
      </c>
      <c r="D10" s="32" t="s">
        <v>8</v>
      </c>
      <c r="E10" s="32">
        <v>-416.66741499999898</v>
      </c>
      <c r="F10" s="4" t="str">
        <f>IF(D10="Far",IF(E10&lt;$U$23,"Positive","Negative"),IF(E10&gt;$U$23,"Positive","Negative"))</f>
        <v>Positive</v>
      </c>
      <c r="H10" s="16" t="s">
        <v>11</v>
      </c>
      <c r="I10" s="12">
        <f>E97</f>
        <v>-424.45169299999901</v>
      </c>
      <c r="J10" s="4">
        <f>E96</f>
        <v>-419.16707400000001</v>
      </c>
      <c r="T10" s="23">
        <v>0.5</v>
      </c>
      <c r="U10" s="6">
        <f>SUMIF(C2:C151,C6,E2:E151)/COUNTIF(C2:C151,C6)</f>
        <v>-414.1797417844441</v>
      </c>
    </row>
    <row r="11" spans="1:23" thickBot="1" x14ac:dyDescent="0.6">
      <c r="A11" s="3" t="s">
        <v>5</v>
      </c>
      <c r="B11" s="32">
        <v>2</v>
      </c>
      <c r="C11" s="32">
        <v>40</v>
      </c>
      <c r="D11" s="32" t="s">
        <v>6</v>
      </c>
      <c r="E11" s="32">
        <v>-411.10514799999999</v>
      </c>
      <c r="F11" s="4" t="str">
        <f>IF(D11="Far",IF(E11&lt;$U$23,"Positive","Negative"),IF(E11&gt;$U$23,"Positive","Negative"))</f>
        <v>Negative</v>
      </c>
      <c r="H11" s="17" t="s">
        <v>12</v>
      </c>
      <c r="I11" s="13">
        <f>E127</f>
        <v>-423.91091499999999</v>
      </c>
      <c r="J11" s="6">
        <f>E126</f>
        <v>-424.73098499999998</v>
      </c>
      <c r="T11" s="21" t="s">
        <v>18</v>
      </c>
      <c r="U11" s="2">
        <f>AVERAGE(E122:E151)</f>
        <v>-420.27979674444401</v>
      </c>
    </row>
    <row r="12" spans="1:23" thickBot="1" x14ac:dyDescent="0.6">
      <c r="A12" s="3" t="s">
        <v>5</v>
      </c>
      <c r="B12" s="32">
        <v>2</v>
      </c>
      <c r="C12" s="32">
        <v>50</v>
      </c>
      <c r="D12" s="32" t="s">
        <v>8</v>
      </c>
      <c r="E12" s="32">
        <v>-416.38969799999899</v>
      </c>
      <c r="F12" s="4" t="str">
        <f>IF(D12="Far",IF(E12&lt;$U$23,"Positive","Negative"),IF(E12&gt;$U$23,"Positive","Negative"))</f>
        <v>Positive</v>
      </c>
      <c r="T12" s="18" t="s">
        <v>19</v>
      </c>
      <c r="U12" s="4">
        <f>AVERAGE(E92:E121)</f>
        <v>-414.53422879999954</v>
      </c>
    </row>
    <row r="13" spans="1:23" thickBot="1" x14ac:dyDescent="0.6">
      <c r="A13" s="3" t="s">
        <v>5</v>
      </c>
      <c r="B13" s="32">
        <v>2</v>
      </c>
      <c r="C13" s="32">
        <v>50</v>
      </c>
      <c r="D13" s="32" t="s">
        <v>6</v>
      </c>
      <c r="E13" s="32">
        <v>-410.75902899999897</v>
      </c>
      <c r="F13" s="4" t="str">
        <f>IF(D13="Far",IF(E13&lt;$U$23,"Positive","Negative"),IF(E13&gt;$U$23,"Positive","Negative"))</f>
        <v>Negative</v>
      </c>
      <c r="H13" s="14">
        <v>2</v>
      </c>
      <c r="I13" s="10" t="s">
        <v>6</v>
      </c>
      <c r="J13" s="9" t="s">
        <v>8</v>
      </c>
      <c r="T13" s="18" t="s">
        <v>20</v>
      </c>
      <c r="U13" s="4">
        <f>AVERAGE(E62:E91)</f>
        <v>-417.90202133333304</v>
      </c>
    </row>
    <row r="14" spans="1:23" x14ac:dyDescent="0.55000000000000004">
      <c r="A14" s="3" t="s">
        <v>5</v>
      </c>
      <c r="B14" s="32">
        <v>3</v>
      </c>
      <c r="C14" s="32">
        <v>20</v>
      </c>
      <c r="D14" s="32" t="s">
        <v>8</v>
      </c>
      <c r="E14" s="32">
        <v>-411.32717100000002</v>
      </c>
      <c r="F14" s="4" t="str">
        <f>IF(D14="Far",IF(E14&lt;$U$23,"Positive","Negative"),IF(E14&gt;$U$23,"Positive","Negative"))</f>
        <v>Positive</v>
      </c>
      <c r="H14" s="15" t="s">
        <v>5</v>
      </c>
      <c r="I14" s="11">
        <f>E13</f>
        <v>-410.75902899999897</v>
      </c>
      <c r="J14" s="7">
        <f>E12</f>
        <v>-416.38969799999899</v>
      </c>
      <c r="T14" s="18" t="s">
        <v>21</v>
      </c>
      <c r="U14" s="4">
        <f>AVERAGE(E32:E61)</f>
        <v>-409.08988470139241</v>
      </c>
    </row>
    <row r="15" spans="1:23" thickBot="1" x14ac:dyDescent="0.6">
      <c r="A15" s="3" t="s">
        <v>5</v>
      </c>
      <c r="B15" s="32">
        <v>3</v>
      </c>
      <c r="C15" s="32">
        <v>20</v>
      </c>
      <c r="D15" s="32" t="s">
        <v>6</v>
      </c>
      <c r="E15" s="32">
        <v>-408.21014399999899</v>
      </c>
      <c r="F15" s="4" t="str">
        <f>IF(D15="Far",IF(E15&lt;$U$23,"Positive","Negative"),IF(E15&gt;$U$23,"Positive","Negative"))</f>
        <v>Negative</v>
      </c>
      <c r="H15" s="16" t="s">
        <v>9</v>
      </c>
      <c r="I15" s="12">
        <f>E43</f>
        <v>-414.43664799999902</v>
      </c>
      <c r="J15" s="4">
        <f>E42</f>
        <v>-404.95466699999997</v>
      </c>
      <c r="T15" s="20" t="s">
        <v>22</v>
      </c>
      <c r="U15" s="6">
        <f>AVERAGE(E2:E31)</f>
        <v>-410.92195221796362</v>
      </c>
    </row>
    <row r="16" spans="1:23" x14ac:dyDescent="0.55000000000000004">
      <c r="A16" s="3" t="s">
        <v>5</v>
      </c>
      <c r="B16" s="32">
        <v>3</v>
      </c>
      <c r="C16" s="32">
        <v>40</v>
      </c>
      <c r="D16" s="32" t="s">
        <v>8</v>
      </c>
      <c r="E16" s="32">
        <v>-410.78230000000002</v>
      </c>
      <c r="F16" s="4" t="str">
        <f>IF(D16="Far",IF(E16&lt;$U$23,"Positive","Negative"),IF(E16&gt;$U$23,"Positive","Negative"))</f>
        <v>Positive</v>
      </c>
      <c r="H16" s="16" t="s">
        <v>10</v>
      </c>
      <c r="I16" s="12">
        <f>E73</f>
        <v>-420.01772099999903</v>
      </c>
      <c r="J16" s="4">
        <f>E72</f>
        <v>-422.18893999999898</v>
      </c>
      <c r="T16" s="1" t="s">
        <v>23</v>
      </c>
      <c r="U16" s="2">
        <f>SUMIF(C122:C151,C6,E122:E151)/COUNTIF(C122:C151,C6)</f>
        <v>-419.98175395555529</v>
      </c>
    </row>
    <row r="17" spans="1:21" x14ac:dyDescent="0.55000000000000004">
      <c r="A17" s="3" t="s">
        <v>5</v>
      </c>
      <c r="B17" s="32">
        <v>3</v>
      </c>
      <c r="C17" s="32">
        <v>40</v>
      </c>
      <c r="D17" s="32" t="s">
        <v>6</v>
      </c>
      <c r="E17" s="32">
        <v>-407.77953399999899</v>
      </c>
      <c r="F17" s="4" t="str">
        <f>IF(D17="Far",IF(E17&lt;$U$23,"Positive","Negative"),IF(E17&gt;$U$23,"Positive","Negative"))</f>
        <v>Positive</v>
      </c>
      <c r="H17" s="16" t="s">
        <v>11</v>
      </c>
      <c r="I17" s="12">
        <f>E103</f>
        <v>-415.51702199999897</v>
      </c>
      <c r="J17" s="4">
        <f>E102</f>
        <v>-408.87715500000002</v>
      </c>
      <c r="T17" s="3" t="s">
        <v>24</v>
      </c>
      <c r="U17" s="4">
        <f>SUMIF(C92:C121,C6,E92:E121)/COUNTIF(C92:C121,C6)</f>
        <v>-414.14454599999965</v>
      </c>
    </row>
    <row r="18" spans="1:21" thickBot="1" x14ac:dyDescent="0.6">
      <c r="A18" s="3" t="s">
        <v>5</v>
      </c>
      <c r="B18" s="32">
        <v>3</v>
      </c>
      <c r="C18" s="32">
        <v>50</v>
      </c>
      <c r="D18" s="32" t="s">
        <v>8</v>
      </c>
      <c r="E18" s="32">
        <v>-410.61978099999999</v>
      </c>
      <c r="F18" s="4" t="str">
        <f>IF(D18="Far",IF(E18&lt;$U$23,"Positive","Negative"),IF(E18&gt;$U$23,"Positive","Negative"))</f>
        <v>Positive</v>
      </c>
      <c r="H18" s="17" t="s">
        <v>12</v>
      </c>
      <c r="I18" s="13">
        <f>E133</f>
        <v>-424.86690599999901</v>
      </c>
      <c r="J18" s="6">
        <f>E132</f>
        <v>-425.32193399999898</v>
      </c>
      <c r="T18" s="3" t="s">
        <v>25</v>
      </c>
      <c r="U18" s="4">
        <f>SUMIF(C62:C91,C6,E62:E91)/COUNTIF(C62:C91,C6)</f>
        <v>-417.43988529999967</v>
      </c>
    </row>
    <row r="19" spans="1:21" thickBot="1" x14ac:dyDescent="0.6">
      <c r="A19" s="3" t="s">
        <v>5</v>
      </c>
      <c r="B19" s="32">
        <v>3</v>
      </c>
      <c r="C19" s="32">
        <v>50</v>
      </c>
      <c r="D19" s="32" t="s">
        <v>6</v>
      </c>
      <c r="E19" s="32">
        <v>-407.67148799999899</v>
      </c>
      <c r="F19" s="4" t="str">
        <f>IF(D19="Far",IF(E19&lt;$U$23,"Positive","Negative"),IF(E19&gt;$U$23,"Positive","Negative"))</f>
        <v>Positive</v>
      </c>
      <c r="T19" s="3" t="s">
        <v>26</v>
      </c>
      <c r="U19" s="4">
        <f>SUMIF(C32:C61,C6,E32:E61)/COUNTIF(C32:C61,C6)</f>
        <v>-408.73990396187651</v>
      </c>
    </row>
    <row r="20" spans="1:21" thickBot="1" x14ac:dyDescent="0.6">
      <c r="A20" s="3" t="s">
        <v>5</v>
      </c>
      <c r="B20" s="32">
        <v>4</v>
      </c>
      <c r="C20" s="32">
        <v>20</v>
      </c>
      <c r="D20" s="32" t="s">
        <v>8</v>
      </c>
      <c r="E20" s="32">
        <v>-413.27146099999902</v>
      </c>
      <c r="F20" s="4" t="str">
        <f>IF(D20="Far",IF(E20&lt;$U$23,"Positive","Negative"),IF(E20&gt;$U$23,"Positive","Negative"))</f>
        <v>Positive</v>
      </c>
      <c r="H20" s="14">
        <v>3</v>
      </c>
      <c r="I20" s="10" t="s">
        <v>6</v>
      </c>
      <c r="J20" s="9" t="s">
        <v>8</v>
      </c>
      <c r="T20" s="5" t="s">
        <v>27</v>
      </c>
      <c r="U20" s="6">
        <f>SUMIF(C2:C31,C6,E2:E31)/COUNTIF(C2:C31,C6)</f>
        <v>-410.59261970478991</v>
      </c>
    </row>
    <row r="21" spans="1:21" thickBot="1" x14ac:dyDescent="0.6">
      <c r="A21" s="3" t="s">
        <v>5</v>
      </c>
      <c r="B21" s="32">
        <v>4</v>
      </c>
      <c r="C21" s="32">
        <v>20</v>
      </c>
      <c r="D21" s="32" t="s">
        <v>6</v>
      </c>
      <c r="E21" s="32">
        <v>-412.141212</v>
      </c>
      <c r="F21" s="4" t="str">
        <f>IF(D21="Far",IF(E21&lt;$U$23,"Positive","Negative"),IF(E21&gt;$U$23,"Positive","Negative"))</f>
        <v>Negative</v>
      </c>
      <c r="H21" s="15" t="s">
        <v>5</v>
      </c>
      <c r="I21" s="11">
        <f>E19</f>
        <v>-407.67148799999899</v>
      </c>
      <c r="J21" s="7">
        <f>E18</f>
        <v>-410.61978099999999</v>
      </c>
    </row>
    <row r="22" spans="1:21" thickBot="1" x14ac:dyDescent="0.6">
      <c r="A22" s="3" t="s">
        <v>5</v>
      </c>
      <c r="B22" s="32">
        <v>4</v>
      </c>
      <c r="C22" s="32">
        <v>40</v>
      </c>
      <c r="D22" s="32" t="s">
        <v>8</v>
      </c>
      <c r="E22" s="32">
        <v>-412.51606299999997</v>
      </c>
      <c r="F22" s="4" t="str">
        <f>IF(D22="Far",IF(E22&lt;$U$23,"Positive","Negative"),IF(E22&gt;$U$23,"Positive","Negative"))</f>
        <v>Positive</v>
      </c>
      <c r="H22" s="16" t="s">
        <v>9</v>
      </c>
      <c r="I22" s="12">
        <f>E49</f>
        <v>-404.19278800000001</v>
      </c>
      <c r="J22" s="4">
        <f>E48</f>
        <v>-407.48606999999998</v>
      </c>
      <c r="T22" s="8" t="s">
        <v>28</v>
      </c>
      <c r="U22" s="9">
        <f>U7-U6</f>
        <v>-2.3032072695922921</v>
      </c>
    </row>
    <row r="23" spans="1:21" thickBot="1" x14ac:dyDescent="0.6">
      <c r="A23" s="3" t="s">
        <v>5</v>
      </c>
      <c r="B23" s="32">
        <v>4</v>
      </c>
      <c r="C23" s="32">
        <v>40</v>
      </c>
      <c r="D23" s="32" t="s">
        <v>6</v>
      </c>
      <c r="E23" s="32">
        <v>-411.633073999999</v>
      </c>
      <c r="F23" s="4" t="str">
        <f>IF(D23="Far",IF(E23&lt;$U$23,"Positive","Negative"),IF(E23&gt;$U$23,"Positive","Negative"))</f>
        <v>Negative</v>
      </c>
      <c r="H23" s="16" t="s">
        <v>10</v>
      </c>
      <c r="I23" s="12">
        <f>E79</f>
        <v>-414.96102100000002</v>
      </c>
      <c r="J23" s="4">
        <f>E78</f>
        <v>-421.18398100000002</v>
      </c>
      <c r="T23" s="24" t="s">
        <v>29</v>
      </c>
      <c r="U23" s="25">
        <v>-407.8</v>
      </c>
    </row>
    <row r="24" spans="1:21" x14ac:dyDescent="0.55000000000000004">
      <c r="A24" s="3" t="s">
        <v>5</v>
      </c>
      <c r="B24" s="32">
        <v>4</v>
      </c>
      <c r="C24" s="32">
        <v>50</v>
      </c>
      <c r="D24" s="32" t="s">
        <v>8</v>
      </c>
      <c r="E24" s="32">
        <v>-412.38958200000002</v>
      </c>
      <c r="F24" s="4" t="str">
        <f>IF(D24="Far",IF(E24&lt;$U$23,"Positive","Negative"),IF(E24&gt;$U$23,"Positive","Negative"))</f>
        <v>Positive</v>
      </c>
      <c r="H24" s="16" t="s">
        <v>11</v>
      </c>
      <c r="I24" s="12">
        <f>E109</f>
        <v>-418.05220600000001</v>
      </c>
      <c r="J24" s="4">
        <f>E108</f>
        <v>-421.29773499999902</v>
      </c>
    </row>
    <row r="25" spans="1:21" thickBot="1" x14ac:dyDescent="0.6">
      <c r="A25" s="3" t="s">
        <v>5</v>
      </c>
      <c r="B25" s="32">
        <v>4</v>
      </c>
      <c r="C25" s="32">
        <v>50</v>
      </c>
      <c r="D25" s="32" t="s">
        <v>6</v>
      </c>
      <c r="E25" s="32">
        <v>-411.50027899999901</v>
      </c>
      <c r="F25" s="4" t="str">
        <f>IF(D25="Far",IF(E25&lt;$U$23,"Positive","Negative"),IF(E25&gt;$U$23,"Positive","Negative"))</f>
        <v>Negative</v>
      </c>
      <c r="H25" s="17" t="s">
        <v>12</v>
      </c>
      <c r="I25" s="13">
        <f>E139</f>
        <v>-419.52521400000001</v>
      </c>
      <c r="J25" s="6">
        <f>E138</f>
        <v>-415.583394</v>
      </c>
    </row>
    <row r="26" spans="1:21" thickBot="1" x14ac:dyDescent="0.6">
      <c r="A26" s="3" t="s">
        <v>5</v>
      </c>
      <c r="B26" s="32">
        <v>5</v>
      </c>
      <c r="C26" s="32">
        <v>20</v>
      </c>
      <c r="D26" s="32" t="s">
        <v>8</v>
      </c>
      <c r="E26" s="32">
        <v>-414.104986</v>
      </c>
      <c r="F26" s="4" t="str">
        <f>IF(D26="Far",IF(E26&lt;$U$23,"Positive","Negative"),IF(E26&gt;$U$23,"Positive","Negative"))</f>
        <v>Positive</v>
      </c>
    </row>
    <row r="27" spans="1:21" thickBot="1" x14ac:dyDescent="0.6">
      <c r="A27" s="3" t="s">
        <v>5</v>
      </c>
      <c r="B27" s="32">
        <v>5</v>
      </c>
      <c r="C27" s="32">
        <v>20</v>
      </c>
      <c r="D27" s="32" t="s">
        <v>6</v>
      </c>
      <c r="E27" s="32">
        <v>-395.53821221556802</v>
      </c>
      <c r="F27" s="4" t="str">
        <f>IF(D27="Far",IF(E27&lt;$U$23,"Positive","Negative"),IF(E27&gt;$U$23,"Positive","Negative"))</f>
        <v>Positive</v>
      </c>
      <c r="H27" s="14">
        <v>4</v>
      </c>
      <c r="I27" s="10" t="s">
        <v>6</v>
      </c>
      <c r="J27" s="9" t="s">
        <v>8</v>
      </c>
    </row>
    <row r="28" spans="1:21" x14ac:dyDescent="0.55000000000000004">
      <c r="A28" s="3" t="s">
        <v>5</v>
      </c>
      <c r="B28" s="32">
        <v>5</v>
      </c>
      <c r="C28" s="32">
        <v>40</v>
      </c>
      <c r="D28" s="32" t="s">
        <v>8</v>
      </c>
      <c r="E28" s="32">
        <v>-413.60368299999999</v>
      </c>
      <c r="F28" s="4" t="str">
        <f>IF(D28="Far",IF(E28&lt;$U$23,"Positive","Negative"),IF(E28&gt;$U$23,"Positive","Negative"))</f>
        <v>Positive</v>
      </c>
      <c r="H28" s="15" t="s">
        <v>5</v>
      </c>
      <c r="I28" s="11">
        <f>E25</f>
        <v>-411.50027899999901</v>
      </c>
      <c r="J28" s="7">
        <f>E24</f>
        <v>-412.38958200000002</v>
      </c>
    </row>
    <row r="29" spans="1:21" x14ac:dyDescent="0.55000000000000004">
      <c r="A29" s="3" t="s">
        <v>5</v>
      </c>
      <c r="B29" s="32">
        <v>5</v>
      </c>
      <c r="C29" s="32">
        <v>40</v>
      </c>
      <c r="D29" s="32" t="s">
        <v>6</v>
      </c>
      <c r="E29" s="32">
        <v>-395.03718227544903</v>
      </c>
      <c r="F29" s="4" t="str">
        <f>IF(D29="Far",IF(E29&lt;$U$23,"Positive","Negative"),IF(E29&gt;$U$23,"Positive","Negative"))</f>
        <v>Positive</v>
      </c>
      <c r="H29" s="16" t="s">
        <v>9</v>
      </c>
      <c r="I29" s="12">
        <f>E55</f>
        <v>-396.17139111776402</v>
      </c>
      <c r="J29" s="4">
        <f>E54</f>
        <v>-407.41758350100503</v>
      </c>
    </row>
    <row r="30" spans="1:21" x14ac:dyDescent="0.55000000000000004">
      <c r="A30" s="3" t="s">
        <v>5</v>
      </c>
      <c r="B30" s="32">
        <v>5</v>
      </c>
      <c r="C30" s="32">
        <v>50</v>
      </c>
      <c r="D30" s="32" t="s">
        <v>8</v>
      </c>
      <c r="E30" s="32">
        <v>-413.39908600000001</v>
      </c>
      <c r="F30" s="4" t="str">
        <f>IF(D30="Far",IF(E30&lt;$U$23,"Positive","Negative"),IF(E30&gt;$U$23,"Positive","Negative"))</f>
        <v>Positive</v>
      </c>
      <c r="H30" s="16" t="s">
        <v>10</v>
      </c>
      <c r="I30" s="12">
        <f>E85</f>
        <v>-419.16714400000001</v>
      </c>
      <c r="J30" s="4">
        <f>E84</f>
        <v>-420.73586799999998</v>
      </c>
    </row>
    <row r="31" spans="1:21" x14ac:dyDescent="0.55000000000000004">
      <c r="A31" s="3" t="s">
        <v>5</v>
      </c>
      <c r="B31" s="32">
        <v>5</v>
      </c>
      <c r="C31" s="32">
        <v>50</v>
      </c>
      <c r="D31" s="32" t="s">
        <v>6</v>
      </c>
      <c r="E31" s="32">
        <v>-394.819296047904</v>
      </c>
      <c r="F31" s="4" t="str">
        <f>IF(D31="Far",IF(E31&lt;$U$23,"Positive","Negative"),IF(E31&gt;$U$23,"Positive","Negative"))</f>
        <v>Positive</v>
      </c>
      <c r="H31" s="16" t="s">
        <v>11</v>
      </c>
      <c r="I31" s="12">
        <f>E115</f>
        <v>-405.56886600000001</v>
      </c>
      <c r="J31" s="4">
        <f>E114</f>
        <v>-416.371116999999</v>
      </c>
    </row>
    <row r="32" spans="1:21" thickBot="1" x14ac:dyDescent="0.6">
      <c r="A32" s="3" t="s">
        <v>9</v>
      </c>
      <c r="B32" s="32">
        <v>1</v>
      </c>
      <c r="C32" s="32">
        <v>20</v>
      </c>
      <c r="D32" s="32" t="s">
        <v>8</v>
      </c>
      <c r="E32" s="32">
        <v>-412.17858199999898</v>
      </c>
      <c r="F32" s="4" t="str">
        <f>IF(D32="Far",IF(E32&lt;$U$23,"Positive","Negative"),IF(E32&gt;$U$23,"Positive","Negative"))</f>
        <v>Positive</v>
      </c>
      <c r="H32" s="17" t="s">
        <v>12</v>
      </c>
      <c r="I32" s="13">
        <f>E145</f>
        <v>-418.43720299999899</v>
      </c>
      <c r="J32" s="6">
        <f>E144</f>
        <v>-419.79411099999999</v>
      </c>
    </row>
    <row r="33" spans="1:10" thickBot="1" x14ac:dyDescent="0.6">
      <c r="A33" s="3" t="s">
        <v>9</v>
      </c>
      <c r="B33" s="32">
        <v>1</v>
      </c>
      <c r="C33" s="32">
        <v>20</v>
      </c>
      <c r="D33" s="32" t="s">
        <v>6</v>
      </c>
      <c r="E33" s="32">
        <v>-419.12572599999999</v>
      </c>
      <c r="F33" s="4" t="str">
        <f>IF(D33="Far",IF(E33&lt;$U$23,"Positive","Negative"),IF(E33&gt;$U$23,"Positive","Negative"))</f>
        <v>Negative</v>
      </c>
    </row>
    <row r="34" spans="1:10" thickBot="1" x14ac:dyDescent="0.6">
      <c r="A34" s="3" t="s">
        <v>9</v>
      </c>
      <c r="B34" s="32">
        <v>1</v>
      </c>
      <c r="C34" s="32">
        <v>40</v>
      </c>
      <c r="D34" s="32" t="s">
        <v>8</v>
      </c>
      <c r="E34" s="32">
        <v>-411.72718200000003</v>
      </c>
      <c r="F34" s="4" t="str">
        <f>IF(D34="Far",IF(E34&lt;$U$23,"Positive","Negative"),IF(E34&gt;$U$23,"Positive","Negative"))</f>
        <v>Positive</v>
      </c>
      <c r="H34" s="14">
        <v>5</v>
      </c>
      <c r="I34" s="10" t="s">
        <v>6</v>
      </c>
      <c r="J34" s="9" t="s">
        <v>8</v>
      </c>
    </row>
    <row r="35" spans="1:10" x14ac:dyDescent="0.55000000000000004">
      <c r="A35" s="3" t="s">
        <v>9</v>
      </c>
      <c r="B35" s="32">
        <v>1</v>
      </c>
      <c r="C35" s="32">
        <v>40</v>
      </c>
      <c r="D35" s="32" t="s">
        <v>6</v>
      </c>
      <c r="E35" s="32">
        <v>-418.61914799999897</v>
      </c>
      <c r="F35" s="4" t="str">
        <f>IF(D35="Far",IF(E35&lt;$U$23,"Positive","Negative"),IF(E35&gt;$U$23,"Positive","Negative"))</f>
        <v>Negative</v>
      </c>
      <c r="H35" s="15" t="s">
        <v>5</v>
      </c>
      <c r="I35" s="11">
        <f>E31</f>
        <v>-394.819296047904</v>
      </c>
      <c r="J35" s="7">
        <f>E30</f>
        <v>-413.39908600000001</v>
      </c>
    </row>
    <row r="36" spans="1:10" x14ac:dyDescent="0.55000000000000004">
      <c r="A36" s="3" t="s">
        <v>9</v>
      </c>
      <c r="B36" s="32">
        <v>1</v>
      </c>
      <c r="C36" s="32">
        <v>50</v>
      </c>
      <c r="D36" s="32" t="s">
        <v>8</v>
      </c>
      <c r="E36" s="32">
        <v>-411.47698599999899</v>
      </c>
      <c r="F36" s="4" t="str">
        <f>IF(D36="Far",IF(E36&lt;$U$23,"Positive","Negative"),IF(E36&gt;$U$23,"Positive","Negative"))</f>
        <v>Positive</v>
      </c>
      <c r="H36" s="16" t="s">
        <v>9</v>
      </c>
      <c r="I36" s="12">
        <f>E61</f>
        <v>-408.15661299999903</v>
      </c>
      <c r="J36" s="4">
        <f>E60</f>
        <v>-414.65309600000001</v>
      </c>
    </row>
    <row r="37" spans="1:10" x14ac:dyDescent="0.55000000000000004">
      <c r="A37" s="3" t="s">
        <v>9</v>
      </c>
      <c r="B37" s="32">
        <v>1</v>
      </c>
      <c r="C37" s="32">
        <v>50</v>
      </c>
      <c r="D37" s="32" t="s">
        <v>6</v>
      </c>
      <c r="E37" s="32">
        <v>-418.45319699999902</v>
      </c>
      <c r="F37" s="4" t="str">
        <f>IF(D37="Far",IF(E37&lt;$U$23,"Positive","Negative"),IF(E37&gt;$U$23,"Positive","Negative"))</f>
        <v>Negative</v>
      </c>
      <c r="H37" s="16" t="s">
        <v>10</v>
      </c>
      <c r="I37" s="12">
        <f>E91</f>
        <v>-419.62926700000003</v>
      </c>
      <c r="J37" s="4">
        <f>E90</f>
        <v>-420.29445399999901</v>
      </c>
    </row>
    <row r="38" spans="1:10" x14ac:dyDescent="0.55000000000000004">
      <c r="A38" s="3" t="s">
        <v>9</v>
      </c>
      <c r="B38" s="32">
        <v>2</v>
      </c>
      <c r="C38" s="32">
        <v>20</v>
      </c>
      <c r="D38" s="32" t="s">
        <v>8</v>
      </c>
      <c r="E38" s="32">
        <v>-405.84283199999999</v>
      </c>
      <c r="F38" s="4" t="str">
        <f>IF(D38="Far",IF(E38&lt;$U$23,"Positive","Negative"),IF(E38&gt;$U$23,"Positive","Negative"))</f>
        <v>Negative</v>
      </c>
      <c r="H38" s="16" t="s">
        <v>11</v>
      </c>
      <c r="I38" s="12">
        <f>E121</f>
        <v>-406.13552800000002</v>
      </c>
      <c r="J38" s="4">
        <f>E120</f>
        <v>-406.00706400000001</v>
      </c>
    </row>
    <row r="39" spans="1:10" thickBot="1" x14ac:dyDescent="0.6">
      <c r="A39" s="3" t="s">
        <v>9</v>
      </c>
      <c r="B39" s="32">
        <v>2</v>
      </c>
      <c r="C39" s="32">
        <v>20</v>
      </c>
      <c r="D39" s="32" t="s">
        <v>6</v>
      </c>
      <c r="E39" s="32">
        <v>-415.25006300000001</v>
      </c>
      <c r="F39" s="4" t="str">
        <f>IF(D39="Far",IF(E39&lt;$U$23,"Positive","Negative"),IF(E39&gt;$U$23,"Positive","Negative"))</f>
        <v>Negative</v>
      </c>
      <c r="H39" s="17" t="s">
        <v>12</v>
      </c>
      <c r="I39" s="13">
        <f>E151</f>
        <v>-409.99116199999997</v>
      </c>
      <c r="J39" s="6">
        <f>E150</f>
        <v>-417.65571555555499</v>
      </c>
    </row>
    <row r="40" spans="1:10" x14ac:dyDescent="0.55000000000000004">
      <c r="A40" s="3" t="s">
        <v>9</v>
      </c>
      <c r="B40" s="32">
        <v>2</v>
      </c>
      <c r="C40" s="32">
        <v>40</v>
      </c>
      <c r="D40" s="32" t="s">
        <v>8</v>
      </c>
      <c r="E40" s="32">
        <v>-405.09318699999898</v>
      </c>
      <c r="F40" s="4" t="str">
        <f>IF(D40="Far",IF(E40&lt;$U$23,"Positive","Negative"),IF(E40&gt;$U$23,"Positive","Negative"))</f>
        <v>Negative</v>
      </c>
    </row>
    <row r="41" spans="1:10" x14ac:dyDescent="0.55000000000000004">
      <c r="A41" s="3" t="s">
        <v>9</v>
      </c>
      <c r="B41" s="32">
        <v>2</v>
      </c>
      <c r="C41" s="32">
        <v>40</v>
      </c>
      <c r="D41" s="32" t="s">
        <v>6</v>
      </c>
      <c r="E41" s="32">
        <v>-414.56993199999903</v>
      </c>
      <c r="F41" s="4" t="str">
        <f>IF(D41="Far",IF(E41&lt;$U$23,"Positive","Negative"),IF(E41&gt;$U$23,"Positive","Negative"))</f>
        <v>Negative</v>
      </c>
    </row>
    <row r="42" spans="1:10" x14ac:dyDescent="0.55000000000000004">
      <c r="A42" s="3" t="s">
        <v>9</v>
      </c>
      <c r="B42" s="32">
        <v>2</v>
      </c>
      <c r="C42" s="32">
        <v>50</v>
      </c>
      <c r="D42" s="32" t="s">
        <v>8</v>
      </c>
      <c r="E42" s="32">
        <v>-404.95466699999997</v>
      </c>
      <c r="F42" s="4" t="str">
        <f>IF(D42="Far",IF(E42&lt;$U$23,"Positive","Negative"),IF(E42&gt;$U$23,"Positive","Negative"))</f>
        <v>Negative</v>
      </c>
    </row>
    <row r="43" spans="1:10" x14ac:dyDescent="0.55000000000000004">
      <c r="A43" s="3" t="s">
        <v>9</v>
      </c>
      <c r="B43" s="32">
        <v>2</v>
      </c>
      <c r="C43" s="32">
        <v>50</v>
      </c>
      <c r="D43" s="32" t="s">
        <v>6</v>
      </c>
      <c r="E43" s="32">
        <v>-414.43664799999902</v>
      </c>
      <c r="F43" s="4" t="str">
        <f>IF(D43="Far",IF(E43&lt;$U$23,"Positive","Negative"),IF(E43&gt;$U$23,"Positive","Negative"))</f>
        <v>Negative</v>
      </c>
    </row>
    <row r="44" spans="1:10" x14ac:dyDescent="0.55000000000000004">
      <c r="A44" s="3" t="s">
        <v>9</v>
      </c>
      <c r="B44" s="32">
        <v>3</v>
      </c>
      <c r="C44" s="32">
        <v>20</v>
      </c>
      <c r="D44" s="32" t="s">
        <v>8</v>
      </c>
      <c r="E44" s="32">
        <v>-408.31250899999998</v>
      </c>
      <c r="F44" s="4" t="str">
        <f>IF(D44="Far",IF(E44&lt;$U$23,"Positive","Negative"),IF(E44&gt;$U$23,"Positive","Negative"))</f>
        <v>Positive</v>
      </c>
    </row>
    <row r="45" spans="1:10" x14ac:dyDescent="0.55000000000000004">
      <c r="A45" s="3" t="s">
        <v>9</v>
      </c>
      <c r="B45" s="32">
        <v>3</v>
      </c>
      <c r="C45" s="32">
        <v>20</v>
      </c>
      <c r="D45" s="32" t="s">
        <v>6</v>
      </c>
      <c r="E45" s="32">
        <v>-404.740951</v>
      </c>
      <c r="F45" s="4" t="str">
        <f>IF(D45="Far",IF(E45&lt;$U$23,"Positive","Negative"),IF(E45&gt;$U$23,"Positive","Negative"))</f>
        <v>Positive</v>
      </c>
    </row>
    <row r="46" spans="1:10" x14ac:dyDescent="0.55000000000000004">
      <c r="A46" s="3" t="s">
        <v>9</v>
      </c>
      <c r="B46" s="32">
        <v>3</v>
      </c>
      <c r="C46" s="32">
        <v>40</v>
      </c>
      <c r="D46" s="32" t="s">
        <v>8</v>
      </c>
      <c r="E46" s="32">
        <v>-407.79607700000003</v>
      </c>
      <c r="F46" s="4" t="str">
        <f>IF(D46="Far",IF(E46&lt;$U$23,"Positive","Negative"),IF(E46&gt;$U$23,"Positive","Negative"))</f>
        <v>Negative</v>
      </c>
    </row>
    <row r="47" spans="1:10" x14ac:dyDescent="0.55000000000000004">
      <c r="A47" s="3" t="s">
        <v>9</v>
      </c>
      <c r="B47" s="32">
        <v>3</v>
      </c>
      <c r="C47" s="32">
        <v>40</v>
      </c>
      <c r="D47" s="32" t="s">
        <v>6</v>
      </c>
      <c r="E47" s="32">
        <v>-404.36680000000001</v>
      </c>
      <c r="F47" s="4" t="str">
        <f>IF(D47="Far",IF(E47&lt;$U$23,"Positive","Negative"),IF(E47&gt;$U$23,"Positive","Negative"))</f>
        <v>Positive</v>
      </c>
    </row>
    <row r="48" spans="1:10" x14ac:dyDescent="0.55000000000000004">
      <c r="A48" s="3" t="s">
        <v>9</v>
      </c>
      <c r="B48" s="32">
        <v>3</v>
      </c>
      <c r="C48" s="32">
        <v>50</v>
      </c>
      <c r="D48" s="32" t="s">
        <v>8</v>
      </c>
      <c r="E48" s="32">
        <v>-407.48606999999998</v>
      </c>
      <c r="F48" s="4" t="str">
        <f>IF(D48="Far",IF(E48&lt;$U$23,"Positive","Negative"),IF(E48&gt;$U$23,"Positive","Negative"))</f>
        <v>Negative</v>
      </c>
    </row>
    <row r="49" spans="1:15" x14ac:dyDescent="0.55000000000000004">
      <c r="A49" s="3" t="s">
        <v>9</v>
      </c>
      <c r="B49" s="32">
        <v>3</v>
      </c>
      <c r="C49" s="32">
        <v>50</v>
      </c>
      <c r="D49" s="32" t="s">
        <v>6</v>
      </c>
      <c r="E49" s="32">
        <v>-404.19278800000001</v>
      </c>
      <c r="F49" s="4" t="str">
        <f>IF(D49="Far",IF(E49&lt;$U$23,"Positive","Negative"),IF(E49&gt;$U$23,"Positive","Negative"))</f>
        <v>Positive</v>
      </c>
      <c r="H49" t="s">
        <v>35</v>
      </c>
      <c r="I49">
        <f>COUNTIF(F:F,"Positive")</f>
        <v>85</v>
      </c>
      <c r="J49" t="s">
        <v>37</v>
      </c>
      <c r="K49">
        <f>MIN(E2:E151)</f>
        <v>-425.89338799999899</v>
      </c>
      <c r="L49">
        <f>K50 - K49</f>
        <v>31.074091952094989</v>
      </c>
    </row>
    <row r="50" spans="1:15" x14ac:dyDescent="0.55000000000000004">
      <c r="A50" s="3" t="s">
        <v>9</v>
      </c>
      <c r="B50" s="32">
        <v>4</v>
      </c>
      <c r="C50" s="32">
        <v>20</v>
      </c>
      <c r="D50" s="32" t="s">
        <v>8</v>
      </c>
      <c r="E50" s="32">
        <v>-408.51515392354099</v>
      </c>
      <c r="F50" s="4" t="str">
        <f>IF(D50="Far",IF(E50&lt;$U$23,"Positive","Negative"),IF(E50&gt;$U$23,"Positive","Negative"))</f>
        <v>Positive</v>
      </c>
      <c r="H50" t="s">
        <v>36</v>
      </c>
      <c r="I50">
        <f>COUNTIF(F:F,"Negative")</f>
        <v>65</v>
      </c>
      <c r="J50" t="s">
        <v>38</v>
      </c>
      <c r="K50">
        <f>MAX(E2:E151)</f>
        <v>-394.819296047904</v>
      </c>
      <c r="L50">
        <f>L49/11</f>
        <v>2.8249174501904535</v>
      </c>
    </row>
    <row r="51" spans="1:15" thickBot="1" x14ac:dyDescent="0.6">
      <c r="A51" s="3" t="s">
        <v>9</v>
      </c>
      <c r="B51" s="32">
        <v>4</v>
      </c>
      <c r="C51" s="32">
        <v>20</v>
      </c>
      <c r="D51" s="32" t="s">
        <v>6</v>
      </c>
      <c r="E51" s="32">
        <v>-396.967131217565</v>
      </c>
      <c r="F51" s="4" t="str">
        <f>IF(D51="Far",IF(E51&lt;$U$23,"Positive","Negative"),IF(E51&gt;$U$23,"Positive","Negative"))</f>
        <v>Positive</v>
      </c>
    </row>
    <row r="52" spans="1:15" ht="14.4" x14ac:dyDescent="0.55000000000000004">
      <c r="A52" s="3" t="s">
        <v>9</v>
      </c>
      <c r="B52" s="32">
        <v>4</v>
      </c>
      <c r="C52" s="32">
        <v>40</v>
      </c>
      <c r="D52" s="32" t="s">
        <v>8</v>
      </c>
      <c r="E52" s="32">
        <v>-407.572634808852</v>
      </c>
      <c r="F52" s="4" t="str">
        <f>IF(D52="Far",IF(E52&lt;$U$23,"Positive","Negative"),IF(E52&gt;$U$23,"Positive","Negative"))</f>
        <v>Negative</v>
      </c>
      <c r="H52" s="53" t="s">
        <v>39</v>
      </c>
      <c r="I52" s="48" t="s">
        <v>43</v>
      </c>
      <c r="J52" s="39"/>
      <c r="K52" s="48" t="s">
        <v>42</v>
      </c>
      <c r="L52" s="39"/>
      <c r="M52" s="45" t="s">
        <v>44</v>
      </c>
      <c r="N52" s="45" t="s">
        <v>45</v>
      </c>
      <c r="O52" s="46" t="s">
        <v>46</v>
      </c>
    </row>
    <row r="53" spans="1:15" ht="14.7" thickBot="1" x14ac:dyDescent="0.6">
      <c r="A53" s="3" t="s">
        <v>9</v>
      </c>
      <c r="B53" s="32">
        <v>4</v>
      </c>
      <c r="C53" s="32">
        <v>40</v>
      </c>
      <c r="D53" s="32" t="s">
        <v>6</v>
      </c>
      <c r="E53" s="32">
        <v>-396.32921347305398</v>
      </c>
      <c r="F53" s="4" t="str">
        <f>IF(D53="Far",IF(E53&lt;$U$23,"Positive","Negative"),IF(E53&gt;$U$23,"Positive","Negative"))</f>
        <v>Positive</v>
      </c>
      <c r="H53" s="54"/>
      <c r="I53" s="37" t="s">
        <v>40</v>
      </c>
      <c r="J53" s="49" t="s">
        <v>41</v>
      </c>
      <c r="K53" s="5" t="s">
        <v>33</v>
      </c>
      <c r="L53" s="6" t="s">
        <v>41</v>
      </c>
      <c r="M53" s="44"/>
      <c r="N53" s="44"/>
      <c r="O53" s="47"/>
    </row>
    <row r="54" spans="1:15" ht="14.7" thickBot="1" x14ac:dyDescent="0.6">
      <c r="A54" s="3" t="s">
        <v>9</v>
      </c>
      <c r="B54" s="32">
        <v>4</v>
      </c>
      <c r="C54" s="32">
        <v>50</v>
      </c>
      <c r="D54" s="32" t="s">
        <v>8</v>
      </c>
      <c r="E54" s="32">
        <v>-407.41758350100503</v>
      </c>
      <c r="F54" s="4" t="str">
        <f>IF(D54="Far",IF(E54&lt;$U$23,"Positive","Negative"),IF(E54&gt;$U$23,"Positive","Negative"))</f>
        <v>Negative</v>
      </c>
      <c r="H54" s="55"/>
      <c r="I54" s="40"/>
      <c r="J54" s="50"/>
      <c r="K54" s="11">
        <f>0</f>
        <v>0</v>
      </c>
      <c r="L54" s="38">
        <f>0</f>
        <v>0</v>
      </c>
      <c r="M54" s="11">
        <f>1-K54/$K$66</f>
        <v>1</v>
      </c>
      <c r="N54" s="38">
        <f>1-L54/$L$66</f>
        <v>1</v>
      </c>
      <c r="O54" s="7">
        <f>(M55-M56)*N55</f>
        <v>3.5714285714285698E-2</v>
      </c>
    </row>
    <row r="55" spans="1:15" x14ac:dyDescent="0.55000000000000004">
      <c r="A55" s="3" t="s">
        <v>9</v>
      </c>
      <c r="B55" s="32">
        <v>4</v>
      </c>
      <c r="C55" s="32">
        <v>50</v>
      </c>
      <c r="D55" s="32" t="s">
        <v>6</v>
      </c>
      <c r="E55" s="32">
        <v>-396.17139111776402</v>
      </c>
      <c r="F55" s="4" t="str">
        <f>IF(D55="Far",IF(E55&lt;$U$23,"Positive","Negative"),IF(E55&gt;$U$23,"Positive","Negative"))</f>
        <v>Positive</v>
      </c>
      <c r="G55" s="36"/>
      <c r="H55" s="41" t="s">
        <v>47</v>
      </c>
      <c r="I55" s="11">
        <f>COUNTIFS(E:E,"&gt;-403",F:F,"Positive",C:C,"40")</f>
        <v>2</v>
      </c>
      <c r="J55" s="38">
        <f>COUNTIFS(E:E,"&gt;-403",F:F,"Negative",C:C,"40")</f>
        <v>0</v>
      </c>
      <c r="K55" s="11">
        <f>SUM($I$55:I55)</f>
        <v>2</v>
      </c>
      <c r="L55" s="38">
        <f>SUM($J$55:J55)</f>
        <v>0</v>
      </c>
      <c r="M55" s="11">
        <f>1-K55/$K$66</f>
        <v>0.9285714285714286</v>
      </c>
      <c r="N55" s="38">
        <f>1-L55/$L$66</f>
        <v>1</v>
      </c>
      <c r="O55" s="4">
        <f>(M56-M57)*N56</f>
        <v>0.10714285714285721</v>
      </c>
    </row>
    <row r="56" spans="1:15" x14ac:dyDescent="0.55000000000000004">
      <c r="A56" s="3" t="s">
        <v>9</v>
      </c>
      <c r="B56" s="32">
        <v>5</v>
      </c>
      <c r="C56" s="32">
        <v>20</v>
      </c>
      <c r="D56" s="32" t="s">
        <v>8</v>
      </c>
      <c r="E56" s="32">
        <v>-415.89242899999903</v>
      </c>
      <c r="F56" s="4" t="str">
        <f>IF(D56="Far",IF(E56&lt;$U$23,"Positive","Negative"),IF(E56&gt;$U$23,"Positive","Negative"))</f>
        <v>Positive</v>
      </c>
      <c r="G56" s="36"/>
      <c r="H56" s="42" t="s">
        <v>48</v>
      </c>
      <c r="I56" s="12">
        <f>COUNTIFS(E:E,"&lt;=-403",E:E,"&gt;-405",F:F,"Positive",C:C,"40")</f>
        <v>1</v>
      </c>
      <c r="J56" s="32">
        <f>COUNTIFS(E:E,"&lt;=-403",E:E,"&gt;-405",F:F,"Negative",C:C,"40")</f>
        <v>0</v>
      </c>
      <c r="K56" s="11">
        <f>SUM($I$55:I56)</f>
        <v>3</v>
      </c>
      <c r="L56" s="38">
        <f>SUM($J$55:J56)</f>
        <v>0</v>
      </c>
      <c r="M56" s="11">
        <f>1-K56/$K$66</f>
        <v>0.8928571428571429</v>
      </c>
      <c r="N56" s="38">
        <f>1-L56/$L$66</f>
        <v>1</v>
      </c>
      <c r="O56" s="4">
        <f>(M57-M58)*N57</f>
        <v>3.2467532467532451E-2</v>
      </c>
    </row>
    <row r="57" spans="1:15" x14ac:dyDescent="0.55000000000000004">
      <c r="A57" s="3" t="s">
        <v>9</v>
      </c>
      <c r="B57" s="32">
        <v>5</v>
      </c>
      <c r="C57" s="32">
        <v>20</v>
      </c>
      <c r="D57" s="32" t="s">
        <v>6</v>
      </c>
      <c r="E57" s="32">
        <v>-409.07437900000002</v>
      </c>
      <c r="F57" s="4" t="str">
        <f>IF(D57="Far",IF(E57&lt;$U$23,"Positive","Negative"),IF(E57&gt;$U$23,"Positive","Negative"))</f>
        <v>Negative</v>
      </c>
      <c r="G57" s="36"/>
      <c r="H57" s="42" t="s">
        <v>49</v>
      </c>
      <c r="I57" s="12">
        <f>COUNTIFS(E:E,"&lt;=-405",E:E,"&gt;-407",F:F,"Positive",C:C,"40")</f>
        <v>3</v>
      </c>
      <c r="J57" s="32">
        <f>COUNTIFS(E:E,"&lt;=-405",E:E,"&gt;-407",F:F,"Negative",C:C,"40")</f>
        <v>2</v>
      </c>
      <c r="K57" s="11">
        <f>SUM($I$55:I57)</f>
        <v>6</v>
      </c>
      <c r="L57" s="38">
        <f>SUM($J$55:J57)</f>
        <v>2</v>
      </c>
      <c r="M57" s="11">
        <f>1-K57/$K$66</f>
        <v>0.7857142857142857</v>
      </c>
      <c r="N57" s="38">
        <f>1-L57/$L$66</f>
        <v>0.90909090909090906</v>
      </c>
      <c r="O57" s="4">
        <f>(M58-M60)*N58</f>
        <v>0.13798701298701302</v>
      </c>
    </row>
    <row r="58" spans="1:15" x14ac:dyDescent="0.55000000000000004">
      <c r="A58" s="3" t="s">
        <v>9</v>
      </c>
      <c r="B58" s="32">
        <v>5</v>
      </c>
      <c r="C58" s="32">
        <v>40</v>
      </c>
      <c r="D58" s="32" t="s">
        <v>8</v>
      </c>
      <c r="E58" s="32">
        <v>-414.89013699999902</v>
      </c>
      <c r="F58" s="4" t="str">
        <f>IF(D58="Far",IF(E58&lt;$U$23,"Positive","Negative"),IF(E58&gt;$U$23,"Positive","Negative"))</f>
        <v>Positive</v>
      </c>
      <c r="G58" s="36"/>
      <c r="H58" s="42" t="s">
        <v>50</v>
      </c>
      <c r="I58" s="12">
        <f>COUNTIFS(E:E,"&lt;=-407",E:E,"&gt;-409",F:F,"Positive",C:C,"40")</f>
        <v>1</v>
      </c>
      <c r="J58" s="32">
        <f>COUNTIFS(E:E,"&lt;=-407",E:E,"&gt;-409",F:F,"Negative",C:C,"40")</f>
        <v>3</v>
      </c>
      <c r="K58" s="11">
        <f>SUM($I$55:I58)</f>
        <v>7</v>
      </c>
      <c r="L58" s="38">
        <f>SUM($J$55:J58)</f>
        <v>5</v>
      </c>
      <c r="M58" s="11">
        <f>1-K58/$K$66</f>
        <v>0.75</v>
      </c>
      <c r="N58" s="38">
        <f>1-L58/$L$66</f>
        <v>0.77272727272727271</v>
      </c>
      <c r="O58" s="4">
        <f>(M60-M61)*N60</f>
        <v>6.8181818181818149E-2</v>
      </c>
    </row>
    <row r="59" spans="1:15" x14ac:dyDescent="0.55000000000000004">
      <c r="A59" s="3" t="s">
        <v>9</v>
      </c>
      <c r="B59" s="32">
        <v>5</v>
      </c>
      <c r="C59" s="32">
        <v>40</v>
      </c>
      <c r="D59" s="32" t="s">
        <v>6</v>
      </c>
      <c r="E59" s="32">
        <v>-408.43343399999998</v>
      </c>
      <c r="F59" s="4" t="str">
        <f>IF(D59="Far",IF(E59&lt;$U$23,"Positive","Negative"),IF(E59&gt;$U$23,"Positive","Negative"))</f>
        <v>Negative</v>
      </c>
      <c r="G59" s="36"/>
      <c r="H59" s="42" t="s">
        <v>58</v>
      </c>
      <c r="I59" s="12">
        <f>COUNTIFS(E:E,"&lt;=-409",E:E,"&gt;-411",F:F,"Positive",C:C,"40")</f>
        <v>3</v>
      </c>
      <c r="J59" s="32">
        <f>COUNTIFS(E:E,"&lt;=-409",E:E,"&gt;-411",F:F,"Negative",C:C,"40")</f>
        <v>1</v>
      </c>
      <c r="K59" s="11">
        <f>SUM($I$55:I59)</f>
        <v>10</v>
      </c>
      <c r="L59" s="38">
        <f>SUM($J$55:J59)</f>
        <v>6</v>
      </c>
      <c r="M59" s="11">
        <f>1-K59/$K$66</f>
        <v>0.64285714285714279</v>
      </c>
      <c r="N59" s="38">
        <f>1-L59/$L$66</f>
        <v>0.72727272727272729</v>
      </c>
      <c r="O59" s="4">
        <f>(M61-M62)*N61</f>
        <v>5.8441558441558475E-2</v>
      </c>
    </row>
    <row r="60" spans="1:15" x14ac:dyDescent="0.55000000000000004">
      <c r="A60" s="3" t="s">
        <v>9</v>
      </c>
      <c r="B60" s="32">
        <v>5</v>
      </c>
      <c r="C60" s="32">
        <v>50</v>
      </c>
      <c r="D60" s="32" t="s">
        <v>8</v>
      </c>
      <c r="E60" s="32">
        <v>-414.65309600000001</v>
      </c>
      <c r="F60" s="4" t="str">
        <f>IF(D60="Far",IF(E60&lt;$U$23,"Positive","Negative"),IF(E60&gt;$U$23,"Positive","Negative"))</f>
        <v>Positive</v>
      </c>
      <c r="G60" s="36"/>
      <c r="H60" s="42" t="s">
        <v>51</v>
      </c>
      <c r="I60" s="12">
        <f>COUNTIFS(E:E,"&lt;=-411",E:E,"&gt;-413",F:F,"Positive",C:C,"40")</f>
        <v>2</v>
      </c>
      <c r="J60" s="32">
        <f>COUNTIFS(E:E,"&lt;=-411",E:E,"&gt;-413",F:F,"Negative",C:C,"40")</f>
        <v>2</v>
      </c>
      <c r="K60" s="11">
        <f>SUM($I$55:I60)</f>
        <v>12</v>
      </c>
      <c r="L60" s="38">
        <f>SUM($J$55:J60)</f>
        <v>8</v>
      </c>
      <c r="M60" s="11">
        <f>1-K60/$K$66</f>
        <v>0.5714285714285714</v>
      </c>
      <c r="N60" s="38">
        <f>1-L60/$L$66</f>
        <v>0.63636363636363635</v>
      </c>
      <c r="O60" s="4">
        <f>(M61-M62)*N61</f>
        <v>5.8441558441558475E-2</v>
      </c>
    </row>
    <row r="61" spans="1:15" x14ac:dyDescent="0.55000000000000004">
      <c r="A61" s="3" t="s">
        <v>9</v>
      </c>
      <c r="B61" s="32">
        <v>5</v>
      </c>
      <c r="C61" s="32">
        <v>50</v>
      </c>
      <c r="D61" s="32" t="s">
        <v>6</v>
      </c>
      <c r="E61" s="32">
        <v>-408.15661299999903</v>
      </c>
      <c r="F61" s="4" t="str">
        <f>IF(D61="Far",IF(E61&lt;$U$23,"Positive","Negative"),IF(E61&gt;$U$23,"Positive","Negative"))</f>
        <v>Negative</v>
      </c>
      <c r="G61" s="36"/>
      <c r="H61" s="42" t="s">
        <v>52</v>
      </c>
      <c r="I61" s="12">
        <f>COUNTIFS(E:E,"&lt;=-413",E:E,"&gt;-415",F:F,"Positive",C:C,"40")</f>
        <v>3</v>
      </c>
      <c r="J61" s="32">
        <f>COUNTIFS(E:E,"&lt;=-413",E:E,"&gt;-415",F:F,"Negative",C:C,"40")</f>
        <v>2</v>
      </c>
      <c r="K61" s="11">
        <f>SUM($I$55:I61)</f>
        <v>15</v>
      </c>
      <c r="L61" s="38">
        <f>SUM($J$55:J61)</f>
        <v>10</v>
      </c>
      <c r="M61" s="11">
        <f>1-K61/$K$66</f>
        <v>0.4642857142857143</v>
      </c>
      <c r="N61" s="38">
        <f>1-L61/$L$66</f>
        <v>0.54545454545454541</v>
      </c>
      <c r="O61" s="4">
        <f>(M62-M63)*N62</f>
        <v>1.6233766233766229E-2</v>
      </c>
    </row>
    <row r="62" spans="1:15" x14ac:dyDescent="0.55000000000000004">
      <c r="A62" s="3" t="s">
        <v>13</v>
      </c>
      <c r="B62" s="32">
        <v>1</v>
      </c>
      <c r="C62" s="32">
        <v>20</v>
      </c>
      <c r="D62" s="32" t="s">
        <v>8</v>
      </c>
      <c r="E62" s="32">
        <v>-410.67274900000001</v>
      </c>
      <c r="F62" s="4" t="str">
        <f>IF(D62="Far",IF(E62&lt;$U$23,"Positive","Negative"),IF(E62&gt;$U$23,"Positive","Negative"))</f>
        <v>Positive</v>
      </c>
      <c r="G62" s="36"/>
      <c r="H62" s="42" t="s">
        <v>53</v>
      </c>
      <c r="I62" s="12">
        <f>COUNTIFS(E:E,"&lt;=-415",E:E,"&gt;-417",F:F,"Positive",C:C,"40")</f>
        <v>3</v>
      </c>
      <c r="J62" s="32">
        <f>COUNTIFS(E:E,"&lt;=-415",E:E,"&gt;-417",F:F,"Negative",C:C,"40")</f>
        <v>2</v>
      </c>
      <c r="K62" s="11">
        <f>SUM($I$55:I62)</f>
        <v>18</v>
      </c>
      <c r="L62" s="38">
        <f>SUM($J$55:J62)</f>
        <v>12</v>
      </c>
      <c r="M62" s="11">
        <f>1-K62/$K$66</f>
        <v>0.3571428571428571</v>
      </c>
      <c r="N62" s="38">
        <f>1-L62/$L$66</f>
        <v>0.45454545454545459</v>
      </c>
      <c r="O62" s="4">
        <f>(M63-M64)*N63</f>
        <v>3.4090909090909081E-2</v>
      </c>
    </row>
    <row r="63" spans="1:15" ht="14.4" x14ac:dyDescent="0.55000000000000004">
      <c r="A63" s="3" t="s">
        <v>13</v>
      </c>
      <c r="B63" s="32">
        <v>1</v>
      </c>
      <c r="C63" s="32">
        <v>20</v>
      </c>
      <c r="D63" s="32" t="s">
        <v>6</v>
      </c>
      <c r="E63" s="32">
        <v>-407.56582500000002</v>
      </c>
      <c r="F63" s="4" t="str">
        <f>IF(D63="Far",IF(E63&lt;$U$23,"Positive","Negative"),IF(E63&gt;$U$23,"Positive","Negative"))</f>
        <v>Positive</v>
      </c>
      <c r="G63" s="36"/>
      <c r="H63" s="42" t="s">
        <v>54</v>
      </c>
      <c r="I63" s="12">
        <f>COUNTIFS(E:E,"&lt;=-417",E:E,"&gt;-419",F:F,"Positive",C:C,"40")</f>
        <v>1</v>
      </c>
      <c r="J63" s="32">
        <f>COUNTIFS(E:E,"&lt;=-417",E:E,"&gt;-419",F:F,"Negative",C:C,"40")</f>
        <v>3</v>
      </c>
      <c r="K63" s="11">
        <f>SUM($I$55:I63)</f>
        <v>19</v>
      </c>
      <c r="L63" s="38">
        <f>SUM($J$55:J63)</f>
        <v>15</v>
      </c>
      <c r="M63" s="11">
        <f>1-K63/$K$66</f>
        <v>0.3214285714285714</v>
      </c>
      <c r="N63" s="38">
        <f>1-L63/$L$66</f>
        <v>0.31818181818181823</v>
      </c>
      <c r="O63" s="4">
        <f>(M64-M65)*N64</f>
        <v>1.9480519480519487E-2</v>
      </c>
    </row>
    <row r="64" spans="1:15" x14ac:dyDescent="0.55000000000000004">
      <c r="A64" s="3" t="s">
        <v>13</v>
      </c>
      <c r="B64" s="32">
        <v>1</v>
      </c>
      <c r="C64" s="32">
        <v>40</v>
      </c>
      <c r="D64" s="32" t="s">
        <v>8</v>
      </c>
      <c r="E64" s="32">
        <v>-409.771413</v>
      </c>
      <c r="F64" s="4" t="str">
        <f>IF(D64="Far",IF(E64&lt;$U$23,"Positive","Negative"),IF(E64&gt;$U$23,"Positive","Negative"))</f>
        <v>Positive</v>
      </c>
      <c r="G64" s="36"/>
      <c r="H64" s="42" t="s">
        <v>55</v>
      </c>
      <c r="I64" s="12">
        <f>COUNTIFS(E:E,"&lt;=-419",E:E,"&gt;-421",F:F,"Positive",C:C,"40")</f>
        <v>3</v>
      </c>
      <c r="J64" s="12">
        <f>COUNTIFS(E:E,"&lt;=-419",E:E,"&gt;-421",F:F,"Negative",C:C,"40")</f>
        <v>4</v>
      </c>
      <c r="K64" s="11">
        <f>SUM($I$55:I64)</f>
        <v>22</v>
      </c>
      <c r="L64" s="38">
        <f>SUM($J$55:J64)</f>
        <v>19</v>
      </c>
      <c r="M64" s="11">
        <f>1-K64/$K$66</f>
        <v>0.2142857142857143</v>
      </c>
      <c r="N64" s="38">
        <f>1-L64/$L$66</f>
        <v>0.13636363636363635</v>
      </c>
      <c r="O64" s="4">
        <f>(M65-M66)*N65</f>
        <v>9.7402597402597348E-3</v>
      </c>
    </row>
    <row r="65" spans="1:15" x14ac:dyDescent="0.55000000000000004">
      <c r="A65" s="3" t="s">
        <v>13</v>
      </c>
      <c r="B65" s="32">
        <v>1</v>
      </c>
      <c r="C65" s="32">
        <v>40</v>
      </c>
      <c r="D65" s="32" t="s">
        <v>6</v>
      </c>
      <c r="E65" s="32">
        <v>-406.76716299999998</v>
      </c>
      <c r="F65" s="4" t="str">
        <f>IF(D65="Far",IF(E65&lt;$U$23,"Positive","Negative"),IF(E65&gt;$U$23,"Positive","Negative"))</f>
        <v>Positive</v>
      </c>
      <c r="G65" s="36"/>
      <c r="H65" s="60" t="s">
        <v>56</v>
      </c>
      <c r="I65" s="61">
        <f>COUNTIFS(E:E,"&lt;=-421",E:E,"&gt;-423",F:F,"Positive",C:C,"40")</f>
        <v>4</v>
      </c>
      <c r="J65" s="61">
        <f>COUNTIFS(E:E,"&lt;=-421",E:E,"&gt;-423",F:F,"Negative",C:C,"40")</f>
        <v>0</v>
      </c>
      <c r="K65" s="62">
        <f>SUM($I$55:I65)</f>
        <v>26</v>
      </c>
      <c r="L65" s="63">
        <f>SUM($J$55:J65)</f>
        <v>19</v>
      </c>
      <c r="M65" s="62">
        <f>1-K65/$K$66</f>
        <v>7.1428571428571397E-2</v>
      </c>
      <c r="N65" s="63">
        <f>1-L65/$L$66</f>
        <v>0.13636363636363635</v>
      </c>
      <c r="O65" s="64">
        <f>(M66-M67)*N66</f>
        <v>0</v>
      </c>
    </row>
    <row r="66" spans="1:15" thickBot="1" x14ac:dyDescent="0.6">
      <c r="A66" s="3" t="s">
        <v>13</v>
      </c>
      <c r="B66" s="32">
        <v>1</v>
      </c>
      <c r="C66" s="32">
        <v>50</v>
      </c>
      <c r="D66" s="32" t="s">
        <v>8</v>
      </c>
      <c r="E66" s="32">
        <v>-409.57085599999999</v>
      </c>
      <c r="F66" s="4" t="str">
        <f>IF(D66="Far",IF(E66&lt;$U$23,"Positive","Negative"),IF(E66&gt;$U$23,"Positive","Negative"))</f>
        <v>Positive</v>
      </c>
      <c r="G66" s="36"/>
      <c r="H66" s="43" t="s">
        <v>57</v>
      </c>
      <c r="I66" s="13">
        <f>COUNTIFS(E:E,"&lt;=-423",F:F,"Positive",C:C,"40")</f>
        <v>2</v>
      </c>
      <c r="J66" s="13">
        <f>COUNTIFS(E:E,"&lt;-423",F:F,"Negative",C:C,"40")</f>
        <v>3</v>
      </c>
      <c r="K66" s="13">
        <f>SUM($I$55:I66)</f>
        <v>28</v>
      </c>
      <c r="L66" s="34">
        <f>SUM($J$55:J66)</f>
        <v>22</v>
      </c>
      <c r="M66" s="13">
        <f>1-K66/$K$66</f>
        <v>0</v>
      </c>
      <c r="N66" s="34">
        <f>1-L66/$L$66</f>
        <v>0</v>
      </c>
      <c r="O66" s="6">
        <f>(M67-M68)*N67</f>
        <v>0</v>
      </c>
    </row>
    <row r="67" spans="1:15" x14ac:dyDescent="0.55000000000000004">
      <c r="A67" s="3" t="s">
        <v>13</v>
      </c>
      <c r="B67" s="32">
        <v>1</v>
      </c>
      <c r="C67" s="32">
        <v>50</v>
      </c>
      <c r="D67" s="32" t="s">
        <v>6</v>
      </c>
      <c r="E67" s="32">
        <v>-406.64960100000002</v>
      </c>
      <c r="F67" s="4" t="str">
        <f>IF(D67="Far",IF(E67&lt;$U$23,"Positive","Negative"),IF(E67&gt;$U$23,"Positive","Negative"))</f>
        <v>Positive</v>
      </c>
      <c r="H67" s="36"/>
    </row>
    <row r="68" spans="1:15" thickBot="1" x14ac:dyDescent="0.6">
      <c r="A68" s="3" t="s">
        <v>13</v>
      </c>
      <c r="B68" s="32">
        <v>2</v>
      </c>
      <c r="C68" s="32">
        <v>20</v>
      </c>
      <c r="D68" s="32" t="s">
        <v>8</v>
      </c>
      <c r="E68" s="32">
        <v>-422.81209799999999</v>
      </c>
      <c r="F68" s="4" t="str">
        <f>IF(D68="Far",IF(E68&lt;$U$23,"Positive","Negative"),IF(E68&gt;$U$23,"Positive","Negative"))</f>
        <v>Positive</v>
      </c>
    </row>
    <row r="69" spans="1:15" x14ac:dyDescent="0.55000000000000004">
      <c r="A69" s="3" t="s">
        <v>13</v>
      </c>
      <c r="B69" s="32">
        <v>2</v>
      </c>
      <c r="C69" s="32">
        <v>20</v>
      </c>
      <c r="D69" s="32" t="s">
        <v>6</v>
      </c>
      <c r="E69" s="32">
        <v>-420.43545299999897</v>
      </c>
      <c r="F69" s="4" t="str">
        <f>IF(D69="Far",IF(E69&lt;$U$23,"Positive","Negative"),IF(E69&gt;$U$23,"Positive","Negative"))</f>
        <v>Negative</v>
      </c>
      <c r="L69" s="56">
        <v>0</v>
      </c>
      <c r="M69" s="57">
        <v>0</v>
      </c>
    </row>
    <row r="70" spans="1:15" thickBot="1" x14ac:dyDescent="0.6">
      <c r="A70" s="3" t="s">
        <v>13</v>
      </c>
      <c r="B70" s="32">
        <v>2</v>
      </c>
      <c r="C70" s="32">
        <v>40</v>
      </c>
      <c r="D70" s="32" t="s">
        <v>8</v>
      </c>
      <c r="E70" s="32">
        <v>-422.35555099999902</v>
      </c>
      <c r="F70" s="4" t="str">
        <f>IF(D70="Far",IF(E70&lt;$U$23,"Positive","Negative"),IF(E70&gt;$U$23,"Positive","Negative"))</f>
        <v>Positive</v>
      </c>
      <c r="L70" s="58">
        <v>1</v>
      </c>
      <c r="M70" s="59">
        <v>1</v>
      </c>
    </row>
    <row r="71" spans="1:15" x14ac:dyDescent="0.55000000000000004">
      <c r="A71" s="3" t="s">
        <v>13</v>
      </c>
      <c r="B71" s="32">
        <v>2</v>
      </c>
      <c r="C71" s="32">
        <v>40</v>
      </c>
      <c r="D71" s="32" t="s">
        <v>6</v>
      </c>
      <c r="E71" s="32">
        <v>-420.59463199999902</v>
      </c>
      <c r="F71" s="4" t="str">
        <f>IF(D71="Far",IF(E71&lt;$U$23,"Positive","Negative"),IF(E71&gt;$U$23,"Positive","Negative"))</f>
        <v>Negative</v>
      </c>
    </row>
    <row r="72" spans="1:15" x14ac:dyDescent="0.55000000000000004">
      <c r="A72" s="3" t="s">
        <v>13</v>
      </c>
      <c r="B72" s="32">
        <v>2</v>
      </c>
      <c r="C72" s="32">
        <v>50</v>
      </c>
      <c r="D72" s="32" t="s">
        <v>8</v>
      </c>
      <c r="E72" s="32">
        <v>-422.18893999999898</v>
      </c>
      <c r="F72" s="4" t="str">
        <f>IF(D72="Far",IF(E72&lt;$U$23,"Positive","Negative"),IF(E72&gt;$U$23,"Positive","Negative"))</f>
        <v>Positive</v>
      </c>
    </row>
    <row r="73" spans="1:15" x14ac:dyDescent="0.55000000000000004">
      <c r="A73" s="3" t="s">
        <v>13</v>
      </c>
      <c r="B73" s="32">
        <v>2</v>
      </c>
      <c r="C73" s="32">
        <v>50</v>
      </c>
      <c r="D73" s="32" t="s">
        <v>6</v>
      </c>
      <c r="E73" s="32">
        <v>-420.01772099999903</v>
      </c>
      <c r="F73" s="4" t="str">
        <f>IF(D73="Far",IF(E73&lt;$U$23,"Positive","Negative"),IF(E73&gt;$U$23,"Positive","Negative"))</f>
        <v>Negative</v>
      </c>
    </row>
    <row r="74" spans="1:15" x14ac:dyDescent="0.55000000000000004">
      <c r="A74" s="3" t="s">
        <v>13</v>
      </c>
      <c r="B74" s="32">
        <v>3</v>
      </c>
      <c r="C74" s="32">
        <v>20</v>
      </c>
      <c r="D74" s="32" t="s">
        <v>8</v>
      </c>
      <c r="E74" s="32">
        <v>-422.84276699999998</v>
      </c>
      <c r="F74" s="4" t="str">
        <f>IF(D74="Far",IF(E74&lt;$U$23,"Positive","Negative"),IF(E74&gt;$U$23,"Positive","Negative"))</f>
        <v>Positive</v>
      </c>
      <c r="M74">
        <f>SUM(M54:N66)</f>
        <v>14.636363636363637</v>
      </c>
    </row>
    <row r="75" spans="1:15" x14ac:dyDescent="0.55000000000000004">
      <c r="A75" s="3" t="s">
        <v>13</v>
      </c>
      <c r="B75" s="32">
        <v>3</v>
      </c>
      <c r="C75" s="32">
        <v>20</v>
      </c>
      <c r="D75" s="32" t="s">
        <v>6</v>
      </c>
      <c r="E75" s="32">
        <v>-415.91119300000003</v>
      </c>
      <c r="F75" s="4" t="str">
        <f>IF(D75="Far",IF(E75&lt;$U$23,"Positive","Negative"),IF(E75&gt;$U$23,"Positive","Negative"))</f>
        <v>Negative</v>
      </c>
    </row>
    <row r="76" spans="1:15" x14ac:dyDescent="0.55000000000000004">
      <c r="A76" s="3" t="s">
        <v>13</v>
      </c>
      <c r="B76" s="32">
        <v>3</v>
      </c>
      <c r="C76" s="32">
        <v>40</v>
      </c>
      <c r="D76" s="32" t="s">
        <v>8</v>
      </c>
      <c r="E76" s="32">
        <v>-421.43637799999902</v>
      </c>
      <c r="F76" s="4" t="str">
        <f>IF(D76="Far",IF(E76&lt;$U$23,"Positive","Negative"),IF(E76&gt;$U$23,"Positive","Negative"))</f>
        <v>Positive</v>
      </c>
    </row>
    <row r="77" spans="1:15" x14ac:dyDescent="0.55000000000000004">
      <c r="A77" s="3" t="s">
        <v>13</v>
      </c>
      <c r="B77" s="32">
        <v>3</v>
      </c>
      <c r="C77" s="32">
        <v>40</v>
      </c>
      <c r="D77" s="32" t="s">
        <v>6</v>
      </c>
      <c r="E77" s="32">
        <v>-415.15921500000002</v>
      </c>
      <c r="F77" s="4" t="str">
        <f>IF(D77="Far",IF(E77&lt;$U$23,"Positive","Negative"),IF(E77&gt;$U$23,"Positive","Negative"))</f>
        <v>Negative</v>
      </c>
    </row>
    <row r="78" spans="1:15" x14ac:dyDescent="0.55000000000000004">
      <c r="A78" s="3" t="s">
        <v>13</v>
      </c>
      <c r="B78" s="32">
        <v>3</v>
      </c>
      <c r="C78" s="32">
        <v>50</v>
      </c>
      <c r="D78" s="32" t="s">
        <v>8</v>
      </c>
      <c r="E78" s="32">
        <v>-421.18398100000002</v>
      </c>
      <c r="F78" s="4" t="str">
        <f>IF(D78="Far",IF(E78&lt;$U$23,"Positive","Negative"),IF(E78&gt;$U$23,"Positive","Negative"))</f>
        <v>Positive</v>
      </c>
    </row>
    <row r="79" spans="1:15" x14ac:dyDescent="0.55000000000000004">
      <c r="A79" s="3" t="s">
        <v>13</v>
      </c>
      <c r="B79" s="32">
        <v>3</v>
      </c>
      <c r="C79" s="32">
        <v>50</v>
      </c>
      <c r="D79" s="32" t="s">
        <v>6</v>
      </c>
      <c r="E79" s="32">
        <v>-414.96102100000002</v>
      </c>
      <c r="F79" s="4" t="str">
        <f>IF(D79="Far",IF(E79&lt;$U$23,"Positive","Negative"),IF(E79&gt;$U$23,"Positive","Negative"))</f>
        <v>Negative</v>
      </c>
    </row>
    <row r="80" spans="1:15" x14ac:dyDescent="0.55000000000000004">
      <c r="A80" s="3" t="s">
        <v>13</v>
      </c>
      <c r="B80" s="32">
        <v>4</v>
      </c>
      <c r="C80" s="32">
        <v>20</v>
      </c>
      <c r="D80" s="32" t="s">
        <v>8</v>
      </c>
      <c r="E80" s="32">
        <v>-422.29122799999999</v>
      </c>
      <c r="F80" s="4" t="str">
        <f>IF(D80="Far",IF(E80&lt;$U$23,"Positive","Negative"),IF(E80&gt;$U$23,"Positive","Negative"))</f>
        <v>Positive</v>
      </c>
    </row>
    <row r="81" spans="1:6" x14ac:dyDescent="0.55000000000000004">
      <c r="A81" s="3" t="s">
        <v>13</v>
      </c>
      <c r="B81" s="32">
        <v>4</v>
      </c>
      <c r="C81" s="32">
        <v>20</v>
      </c>
      <c r="D81" s="32" t="s">
        <v>6</v>
      </c>
      <c r="E81" s="32">
        <v>-419.96551199999902</v>
      </c>
      <c r="F81" s="4" t="str">
        <f>IF(D81="Far",IF(E81&lt;$U$23,"Positive","Negative"),IF(E81&gt;$U$23,"Positive","Negative"))</f>
        <v>Negative</v>
      </c>
    </row>
    <row r="82" spans="1:6" x14ac:dyDescent="0.55000000000000004">
      <c r="A82" s="3" t="s">
        <v>13</v>
      </c>
      <c r="B82" s="32">
        <v>4</v>
      </c>
      <c r="C82" s="32">
        <v>40</v>
      </c>
      <c r="D82" s="32" t="s">
        <v>8</v>
      </c>
      <c r="E82" s="32">
        <v>-421.29346500000003</v>
      </c>
      <c r="F82" s="4" t="str">
        <f>IF(D82="Far",IF(E82&lt;$U$23,"Positive","Negative"),IF(E82&gt;$U$23,"Positive","Negative"))</f>
        <v>Positive</v>
      </c>
    </row>
    <row r="83" spans="1:6" x14ac:dyDescent="0.55000000000000004">
      <c r="A83" s="3" t="s">
        <v>13</v>
      </c>
      <c r="B83" s="32">
        <v>4</v>
      </c>
      <c r="C83" s="32">
        <v>40</v>
      </c>
      <c r="D83" s="32" t="s">
        <v>6</v>
      </c>
      <c r="E83" s="32">
        <v>-419.35160100000002</v>
      </c>
      <c r="F83" s="4" t="str">
        <f>IF(D83="Far",IF(E83&lt;$U$23,"Positive","Negative"),IF(E83&gt;$U$23,"Positive","Negative"))</f>
        <v>Negative</v>
      </c>
    </row>
    <row r="84" spans="1:6" x14ac:dyDescent="0.55000000000000004">
      <c r="A84" s="3" t="s">
        <v>13</v>
      </c>
      <c r="B84" s="32">
        <v>4</v>
      </c>
      <c r="C84" s="32">
        <v>50</v>
      </c>
      <c r="D84" s="32" t="s">
        <v>8</v>
      </c>
      <c r="E84" s="32">
        <v>-420.73586799999998</v>
      </c>
      <c r="F84" s="4" t="str">
        <f>IF(D84="Far",IF(E84&lt;$U$23,"Positive","Negative"),IF(E84&gt;$U$23,"Positive","Negative"))</f>
        <v>Positive</v>
      </c>
    </row>
    <row r="85" spans="1:6" x14ac:dyDescent="0.55000000000000004">
      <c r="A85" s="3" t="s">
        <v>13</v>
      </c>
      <c r="B85" s="32">
        <v>4</v>
      </c>
      <c r="C85" s="32">
        <v>50</v>
      </c>
      <c r="D85" s="32" t="s">
        <v>6</v>
      </c>
      <c r="E85" s="32">
        <v>-419.16714400000001</v>
      </c>
      <c r="F85" s="4" t="str">
        <f>IF(D85="Far",IF(E85&lt;$U$23,"Positive","Negative"),IF(E85&gt;$U$23,"Positive","Negative"))</f>
        <v>Negative</v>
      </c>
    </row>
    <row r="86" spans="1:6" x14ac:dyDescent="0.55000000000000004">
      <c r="A86" s="3" t="s">
        <v>13</v>
      </c>
      <c r="B86" s="32">
        <v>5</v>
      </c>
      <c r="C86" s="32">
        <v>20</v>
      </c>
      <c r="D86" s="32" t="s">
        <v>8</v>
      </c>
      <c r="E86" s="32">
        <v>-422.165154999999</v>
      </c>
      <c r="F86" s="4" t="str">
        <f>IF(D86="Far",IF(E86&lt;$U$23,"Positive","Negative"),IF(E86&gt;$U$23,"Positive","Negative"))</f>
        <v>Positive</v>
      </c>
    </row>
    <row r="87" spans="1:6" x14ac:dyDescent="0.55000000000000004">
      <c r="A87" s="3" t="s">
        <v>13</v>
      </c>
      <c r="B87" s="32">
        <v>5</v>
      </c>
      <c r="C87" s="32">
        <v>20</v>
      </c>
      <c r="D87" s="32" t="s">
        <v>6</v>
      </c>
      <c r="E87" s="32">
        <v>-420.9948</v>
      </c>
      <c r="F87" s="4" t="str">
        <f>IF(D87="Far",IF(E87&lt;$U$23,"Positive","Negative"),IF(E87&gt;$U$23,"Positive","Negative"))</f>
        <v>Negative</v>
      </c>
    </row>
    <row r="88" spans="1:6" x14ac:dyDescent="0.55000000000000004">
      <c r="A88" s="3" t="s">
        <v>13</v>
      </c>
      <c r="B88" s="32">
        <v>5</v>
      </c>
      <c r="C88" s="32">
        <v>40</v>
      </c>
      <c r="D88" s="32" t="s">
        <v>8</v>
      </c>
      <c r="E88" s="32">
        <v>-420.43174699999901</v>
      </c>
      <c r="F88" s="4" t="str">
        <f>IF(D88="Far",IF(E88&lt;$U$23,"Positive","Negative"),IF(E88&gt;$U$23,"Positive","Negative"))</f>
        <v>Positive</v>
      </c>
    </row>
    <row r="89" spans="1:6" x14ac:dyDescent="0.55000000000000004">
      <c r="A89" s="3" t="s">
        <v>13</v>
      </c>
      <c r="B89" s="32">
        <v>5</v>
      </c>
      <c r="C89" s="32">
        <v>40</v>
      </c>
      <c r="D89" s="32" t="s">
        <v>6</v>
      </c>
      <c r="E89" s="32">
        <v>-419.843842</v>
      </c>
      <c r="F89" s="4" t="str">
        <f>IF(D89="Far",IF(E89&lt;$U$23,"Positive","Negative"),IF(E89&gt;$U$23,"Positive","Negative"))</f>
        <v>Negative</v>
      </c>
    </row>
    <row r="90" spans="1:6" x14ac:dyDescent="0.55000000000000004">
      <c r="A90" s="3" t="s">
        <v>13</v>
      </c>
      <c r="B90" s="32">
        <v>5</v>
      </c>
      <c r="C90" s="32">
        <v>50</v>
      </c>
      <c r="D90" s="32" t="s">
        <v>8</v>
      </c>
      <c r="E90" s="32">
        <v>-420.29445399999901</v>
      </c>
      <c r="F90" s="4" t="str">
        <f>IF(D90="Far",IF(E90&lt;$U$23,"Positive","Negative"),IF(E90&gt;$U$23,"Positive","Negative"))</f>
        <v>Positive</v>
      </c>
    </row>
    <row r="91" spans="1:6" x14ac:dyDescent="0.55000000000000004">
      <c r="A91" s="3" t="s">
        <v>13</v>
      </c>
      <c r="B91" s="32">
        <v>5</v>
      </c>
      <c r="C91" s="32">
        <v>50</v>
      </c>
      <c r="D91" s="32" t="s">
        <v>6</v>
      </c>
      <c r="E91" s="32">
        <v>-419.62926700000003</v>
      </c>
      <c r="F91" s="4" t="str">
        <f>IF(D91="Far",IF(E91&lt;$U$23,"Positive","Negative"),IF(E91&gt;$U$23,"Positive","Negative"))</f>
        <v>Negative</v>
      </c>
    </row>
    <row r="92" spans="1:6" x14ac:dyDescent="0.55000000000000004">
      <c r="A92" s="3" t="s">
        <v>11</v>
      </c>
      <c r="B92" s="32">
        <v>1</v>
      </c>
      <c r="C92" s="32">
        <v>20</v>
      </c>
      <c r="D92" s="32" t="s">
        <v>8</v>
      </c>
      <c r="E92" s="32">
        <v>-420.75463399999899</v>
      </c>
      <c r="F92" s="4" t="str">
        <f>IF(D92="Far",IF(E92&lt;$U$23,"Positive","Negative"),IF(E92&gt;$U$23,"Positive","Negative"))</f>
        <v>Positive</v>
      </c>
    </row>
    <row r="93" spans="1:6" x14ac:dyDescent="0.55000000000000004">
      <c r="A93" s="3" t="s">
        <v>11</v>
      </c>
      <c r="B93" s="32">
        <v>1</v>
      </c>
      <c r="C93" s="32">
        <v>20</v>
      </c>
      <c r="D93" s="32" t="s">
        <v>6</v>
      </c>
      <c r="E93" s="32">
        <v>-425.12276800000001</v>
      </c>
      <c r="F93" s="4" t="str">
        <f>IF(D93="Far",IF(E93&lt;$U$23,"Positive","Negative"),IF(E93&gt;$U$23,"Positive","Negative"))</f>
        <v>Negative</v>
      </c>
    </row>
    <row r="94" spans="1:6" x14ac:dyDescent="0.55000000000000004">
      <c r="A94" s="3" t="s">
        <v>11</v>
      </c>
      <c r="B94" s="32">
        <v>1</v>
      </c>
      <c r="C94" s="32">
        <v>40</v>
      </c>
      <c r="D94" s="32" t="s">
        <v>8</v>
      </c>
      <c r="E94" s="32">
        <v>-419.226676</v>
      </c>
      <c r="F94" s="4" t="str">
        <f>IF(D94="Far",IF(E94&lt;$U$23,"Positive","Negative"),IF(E94&gt;$U$23,"Positive","Negative"))</f>
        <v>Positive</v>
      </c>
    </row>
    <row r="95" spans="1:6" x14ac:dyDescent="0.55000000000000004">
      <c r="A95" s="3" t="s">
        <v>11</v>
      </c>
      <c r="B95" s="32">
        <v>1</v>
      </c>
      <c r="C95" s="32">
        <v>40</v>
      </c>
      <c r="D95" s="32" t="s">
        <v>6</v>
      </c>
      <c r="E95" s="32">
        <v>-424.60326999999899</v>
      </c>
      <c r="F95" s="4" t="str">
        <f>IF(D95="Far",IF(E95&lt;$U$23,"Positive","Negative"),IF(E95&gt;$U$23,"Positive","Negative"))</f>
        <v>Negative</v>
      </c>
    </row>
    <row r="96" spans="1:6" x14ac:dyDescent="0.55000000000000004">
      <c r="A96" s="3" t="s">
        <v>11</v>
      </c>
      <c r="B96" s="32">
        <v>1</v>
      </c>
      <c r="C96" s="32">
        <v>50</v>
      </c>
      <c r="D96" s="32" t="s">
        <v>8</v>
      </c>
      <c r="E96" s="32">
        <v>-419.16707400000001</v>
      </c>
      <c r="F96" s="4" t="str">
        <f>IF(D96="Far",IF(E96&lt;$U$23,"Positive","Negative"),IF(E96&gt;$U$23,"Positive","Negative"))</f>
        <v>Positive</v>
      </c>
    </row>
    <row r="97" spans="1:6" x14ac:dyDescent="0.55000000000000004">
      <c r="A97" s="3" t="s">
        <v>11</v>
      </c>
      <c r="B97" s="32">
        <v>1</v>
      </c>
      <c r="C97" s="32">
        <v>50</v>
      </c>
      <c r="D97" s="32" t="s">
        <v>6</v>
      </c>
      <c r="E97" s="32">
        <v>-424.45169299999901</v>
      </c>
      <c r="F97" s="4" t="str">
        <f>IF(D97="Far",IF(E97&lt;$U$23,"Positive","Negative"),IF(E97&gt;$U$23,"Positive","Negative"))</f>
        <v>Negative</v>
      </c>
    </row>
    <row r="98" spans="1:6" x14ac:dyDescent="0.55000000000000004">
      <c r="A98" s="3" t="s">
        <v>11</v>
      </c>
      <c r="B98" s="32">
        <v>2</v>
      </c>
      <c r="C98" s="32">
        <v>20</v>
      </c>
      <c r="D98" s="32" t="s">
        <v>8</v>
      </c>
      <c r="E98" s="32">
        <v>-410.05803100000003</v>
      </c>
      <c r="F98" s="4" t="str">
        <f>IF(D98="Far",IF(E98&lt;$U$23,"Positive","Negative"),IF(E98&gt;$U$23,"Positive","Negative"))</f>
        <v>Positive</v>
      </c>
    </row>
    <row r="99" spans="1:6" x14ac:dyDescent="0.55000000000000004">
      <c r="A99" s="3" t="s">
        <v>11</v>
      </c>
      <c r="B99" s="32">
        <v>2</v>
      </c>
      <c r="C99" s="32">
        <v>20</v>
      </c>
      <c r="D99" s="32" t="s">
        <v>6</v>
      </c>
      <c r="E99" s="32">
        <v>-416.27615899999898</v>
      </c>
      <c r="F99" s="4" t="str">
        <f>IF(D99="Far",IF(E99&lt;$U$23,"Positive","Negative"),IF(E99&gt;$U$23,"Positive","Negative"))</f>
        <v>Negative</v>
      </c>
    </row>
    <row r="100" spans="1:6" x14ac:dyDescent="0.55000000000000004">
      <c r="A100" s="3" t="s">
        <v>11</v>
      </c>
      <c r="B100" s="32">
        <v>2</v>
      </c>
      <c r="C100" s="32">
        <v>40</v>
      </c>
      <c r="D100" s="32" t="s">
        <v>8</v>
      </c>
      <c r="E100" s="32">
        <v>-409.29817400000002</v>
      </c>
      <c r="F100" s="4" t="str">
        <f>IF(D100="Far",IF(E100&lt;$U$23,"Positive","Negative"),IF(E100&gt;$U$23,"Positive","Negative"))</f>
        <v>Positive</v>
      </c>
    </row>
    <row r="101" spans="1:6" x14ac:dyDescent="0.55000000000000004">
      <c r="A101" s="3" t="s">
        <v>11</v>
      </c>
      <c r="B101" s="32">
        <v>2</v>
      </c>
      <c r="C101" s="32">
        <v>40</v>
      </c>
      <c r="D101" s="32" t="s">
        <v>6</v>
      </c>
      <c r="E101" s="32">
        <v>-415.70050099999997</v>
      </c>
      <c r="F101" s="4" t="str">
        <f>IF(D101="Far",IF(E101&lt;$U$23,"Positive","Negative"),IF(E101&gt;$U$23,"Positive","Negative"))</f>
        <v>Negative</v>
      </c>
    </row>
    <row r="102" spans="1:6" x14ac:dyDescent="0.55000000000000004">
      <c r="A102" s="3" t="s">
        <v>11</v>
      </c>
      <c r="B102" s="32">
        <v>2</v>
      </c>
      <c r="C102" s="32">
        <v>50</v>
      </c>
      <c r="D102" s="32" t="s">
        <v>8</v>
      </c>
      <c r="E102" s="32">
        <v>-408.87715500000002</v>
      </c>
      <c r="F102" s="4" t="str">
        <f>IF(D102="Far",IF(E102&lt;$U$23,"Positive","Negative"),IF(E102&gt;$U$23,"Positive","Negative"))</f>
        <v>Positive</v>
      </c>
    </row>
    <row r="103" spans="1:6" x14ac:dyDescent="0.55000000000000004">
      <c r="A103" s="3" t="s">
        <v>11</v>
      </c>
      <c r="B103" s="32">
        <v>2</v>
      </c>
      <c r="C103" s="32">
        <v>50</v>
      </c>
      <c r="D103" s="32" t="s">
        <v>6</v>
      </c>
      <c r="E103" s="32">
        <v>-415.51702199999897</v>
      </c>
      <c r="F103" s="4" t="str">
        <f>IF(D103="Far",IF(E103&lt;$U$23,"Positive","Negative"),IF(E103&gt;$U$23,"Positive","Negative"))</f>
        <v>Negative</v>
      </c>
    </row>
    <row r="104" spans="1:6" x14ac:dyDescent="0.55000000000000004">
      <c r="A104" s="3" t="s">
        <v>11</v>
      </c>
      <c r="B104" s="32">
        <v>3</v>
      </c>
      <c r="C104" s="32">
        <v>20</v>
      </c>
      <c r="D104" s="32" t="s">
        <v>8</v>
      </c>
      <c r="E104" s="32">
        <v>-422.56145299999997</v>
      </c>
      <c r="F104" s="4" t="str">
        <f>IF(D104="Far",IF(E104&lt;$U$23,"Positive","Negative"),IF(E104&gt;$U$23,"Positive","Negative"))</f>
        <v>Positive</v>
      </c>
    </row>
    <row r="105" spans="1:6" x14ac:dyDescent="0.55000000000000004">
      <c r="A105" s="3" t="s">
        <v>11</v>
      </c>
      <c r="B105" s="32">
        <v>3</v>
      </c>
      <c r="C105" s="32">
        <v>20</v>
      </c>
      <c r="D105" s="32" t="s">
        <v>6</v>
      </c>
      <c r="E105" s="32">
        <v>-419.002397999999</v>
      </c>
      <c r="F105" s="4" t="str">
        <f>IF(D105="Far",IF(E105&lt;$U$23,"Positive","Negative"),IF(E105&gt;$U$23,"Positive","Negative"))</f>
        <v>Negative</v>
      </c>
    </row>
    <row r="106" spans="1:6" x14ac:dyDescent="0.55000000000000004">
      <c r="A106" s="3" t="s">
        <v>11</v>
      </c>
      <c r="B106" s="32">
        <v>3</v>
      </c>
      <c r="C106" s="32">
        <v>40</v>
      </c>
      <c r="D106" s="32" t="s">
        <v>8</v>
      </c>
      <c r="E106" s="32">
        <v>-421.517438999999</v>
      </c>
      <c r="F106" s="4" t="str">
        <f>IF(D106="Far",IF(E106&lt;$U$23,"Positive","Negative"),IF(E106&gt;$U$23,"Positive","Negative"))</f>
        <v>Positive</v>
      </c>
    </row>
    <row r="107" spans="1:6" x14ac:dyDescent="0.55000000000000004">
      <c r="A107" s="3" t="s">
        <v>11</v>
      </c>
      <c r="B107" s="32">
        <v>3</v>
      </c>
      <c r="C107" s="32">
        <v>40</v>
      </c>
      <c r="D107" s="32" t="s">
        <v>6</v>
      </c>
      <c r="E107" s="32">
        <v>-418.22338000000002</v>
      </c>
      <c r="F107" s="4" t="str">
        <f>IF(D107="Far",IF(E107&lt;$U$23,"Positive","Negative"),IF(E107&gt;$U$23,"Positive","Negative"))</f>
        <v>Negative</v>
      </c>
    </row>
    <row r="108" spans="1:6" x14ac:dyDescent="0.55000000000000004">
      <c r="A108" s="3" t="s">
        <v>11</v>
      </c>
      <c r="B108" s="32">
        <v>3</v>
      </c>
      <c r="C108" s="32">
        <v>50</v>
      </c>
      <c r="D108" s="32" t="s">
        <v>8</v>
      </c>
      <c r="E108" s="32">
        <v>-421.29773499999902</v>
      </c>
      <c r="F108" s="4" t="str">
        <f>IF(D108="Far",IF(E108&lt;$U$23,"Positive","Negative"),IF(E108&gt;$U$23,"Positive","Negative"))</f>
        <v>Positive</v>
      </c>
    </row>
    <row r="109" spans="1:6" x14ac:dyDescent="0.55000000000000004">
      <c r="A109" s="3" t="s">
        <v>11</v>
      </c>
      <c r="B109" s="32">
        <v>3</v>
      </c>
      <c r="C109" s="32">
        <v>50</v>
      </c>
      <c r="D109" s="32" t="s">
        <v>6</v>
      </c>
      <c r="E109" s="32">
        <v>-418.05220600000001</v>
      </c>
      <c r="F109" s="4" t="str">
        <f>IF(D109="Far",IF(E109&lt;$U$23,"Positive","Negative"),IF(E109&gt;$U$23,"Positive","Negative"))</f>
        <v>Negative</v>
      </c>
    </row>
    <row r="110" spans="1:6" x14ac:dyDescent="0.55000000000000004">
      <c r="A110" s="3" t="s">
        <v>11</v>
      </c>
      <c r="B110" s="32">
        <v>4</v>
      </c>
      <c r="C110" s="32">
        <v>20</v>
      </c>
      <c r="D110" s="32" t="s">
        <v>8</v>
      </c>
      <c r="E110" s="32">
        <v>-416.92977299999899</v>
      </c>
      <c r="F110" s="4" t="str">
        <f>IF(D110="Far",IF(E110&lt;$U$23,"Positive","Negative"),IF(E110&gt;$U$23,"Positive","Negative"))</f>
        <v>Positive</v>
      </c>
    </row>
    <row r="111" spans="1:6" x14ac:dyDescent="0.55000000000000004">
      <c r="A111" s="3" t="s">
        <v>11</v>
      </c>
      <c r="B111" s="32">
        <v>4</v>
      </c>
      <c r="C111" s="32">
        <v>20</v>
      </c>
      <c r="D111" s="32" t="s">
        <v>6</v>
      </c>
      <c r="E111" s="32">
        <v>-406.27683499999898</v>
      </c>
      <c r="F111" s="4" t="str">
        <f>IF(D111="Far",IF(E111&lt;$U$23,"Positive","Negative"),IF(E111&gt;$U$23,"Positive","Negative"))</f>
        <v>Positive</v>
      </c>
    </row>
    <row r="112" spans="1:6" x14ac:dyDescent="0.55000000000000004">
      <c r="A112" s="3" t="s">
        <v>11</v>
      </c>
      <c r="B112" s="32">
        <v>4</v>
      </c>
      <c r="C112" s="32">
        <v>40</v>
      </c>
      <c r="D112" s="32" t="s">
        <v>8</v>
      </c>
      <c r="E112" s="32">
        <v>-416.49412499999897</v>
      </c>
      <c r="F112" s="4" t="str">
        <f>IF(D112="Far",IF(E112&lt;$U$23,"Positive","Negative"),IF(E112&gt;$U$23,"Positive","Negative"))</f>
        <v>Positive</v>
      </c>
    </row>
    <row r="113" spans="1:6" x14ac:dyDescent="0.55000000000000004">
      <c r="A113" s="3" t="s">
        <v>11</v>
      </c>
      <c r="B113" s="32">
        <v>4</v>
      </c>
      <c r="C113" s="32">
        <v>40</v>
      </c>
      <c r="D113" s="32" t="s">
        <v>6</v>
      </c>
      <c r="E113" s="32">
        <v>-405.73248000000001</v>
      </c>
      <c r="F113" s="4" t="str">
        <f>IF(D113="Far",IF(E113&lt;$U$23,"Positive","Negative"),IF(E113&gt;$U$23,"Positive","Negative"))</f>
        <v>Positive</v>
      </c>
    </row>
    <row r="114" spans="1:6" x14ac:dyDescent="0.55000000000000004">
      <c r="A114" s="3" t="s">
        <v>11</v>
      </c>
      <c r="B114" s="32">
        <v>4</v>
      </c>
      <c r="C114" s="32">
        <v>50</v>
      </c>
      <c r="D114" s="32" t="s">
        <v>8</v>
      </c>
      <c r="E114" s="32">
        <v>-416.371116999999</v>
      </c>
      <c r="F114" s="4" t="str">
        <f>IF(D114="Far",IF(E114&lt;$U$23,"Positive","Negative"),IF(E114&gt;$U$23,"Positive","Negative"))</f>
        <v>Positive</v>
      </c>
    </row>
    <row r="115" spans="1:6" x14ac:dyDescent="0.55000000000000004">
      <c r="A115" s="3" t="s">
        <v>11</v>
      </c>
      <c r="B115" s="32">
        <v>4</v>
      </c>
      <c r="C115" s="32">
        <v>50</v>
      </c>
      <c r="D115" s="32" t="s">
        <v>6</v>
      </c>
      <c r="E115" s="32">
        <v>-405.56886600000001</v>
      </c>
      <c r="F115" s="4" t="str">
        <f>IF(D115="Far",IF(E115&lt;$U$23,"Positive","Negative"),IF(E115&gt;$U$23,"Positive","Negative"))</f>
        <v>Positive</v>
      </c>
    </row>
    <row r="116" spans="1:6" x14ac:dyDescent="0.55000000000000004">
      <c r="A116" s="3" t="s">
        <v>11</v>
      </c>
      <c r="B116" s="32">
        <v>5</v>
      </c>
      <c r="C116" s="32">
        <v>20</v>
      </c>
      <c r="D116" s="32" t="s">
        <v>8</v>
      </c>
      <c r="E116" s="32">
        <v>-407.114633999999</v>
      </c>
      <c r="F116" s="4" t="str">
        <f>IF(D116="Far",IF(E116&lt;$U$23,"Positive","Negative"),IF(E116&gt;$U$23,"Positive","Negative"))</f>
        <v>Negative</v>
      </c>
    </row>
    <row r="117" spans="1:6" x14ac:dyDescent="0.55000000000000004">
      <c r="A117" s="3" t="s">
        <v>11</v>
      </c>
      <c r="B117" s="32">
        <v>5</v>
      </c>
      <c r="C117" s="32">
        <v>20</v>
      </c>
      <c r="D117" s="32" t="s">
        <v>6</v>
      </c>
      <c r="E117" s="32">
        <v>-407.05493599999897</v>
      </c>
      <c r="F117" s="4" t="str">
        <f>IF(D117="Far",IF(E117&lt;$U$23,"Positive","Negative"),IF(E117&gt;$U$23,"Positive","Negative"))</f>
        <v>Positive</v>
      </c>
    </row>
    <row r="118" spans="1:6" x14ac:dyDescent="0.55000000000000004">
      <c r="A118" s="3" t="s">
        <v>11</v>
      </c>
      <c r="B118" s="32">
        <v>5</v>
      </c>
      <c r="C118" s="32">
        <v>40</v>
      </c>
      <c r="D118" s="32" t="s">
        <v>8</v>
      </c>
      <c r="E118" s="32">
        <v>-406.25314499999899</v>
      </c>
      <c r="F118" s="4" t="str">
        <f>IF(D118="Far",IF(E118&lt;$U$23,"Positive","Negative"),IF(E118&gt;$U$23,"Positive","Negative"))</f>
        <v>Negative</v>
      </c>
    </row>
    <row r="119" spans="1:6" x14ac:dyDescent="0.55000000000000004">
      <c r="A119" s="3" t="s">
        <v>11</v>
      </c>
      <c r="B119" s="32">
        <v>5</v>
      </c>
      <c r="C119" s="32">
        <v>40</v>
      </c>
      <c r="D119" s="32" t="s">
        <v>6</v>
      </c>
      <c r="E119" s="32">
        <v>-406.38059299999998</v>
      </c>
      <c r="F119" s="4" t="str">
        <f>IF(D119="Far",IF(E119&lt;$U$23,"Positive","Negative"),IF(E119&gt;$U$23,"Positive","Negative"))</f>
        <v>Positive</v>
      </c>
    </row>
    <row r="120" spans="1:6" x14ac:dyDescent="0.55000000000000004">
      <c r="A120" s="3" t="s">
        <v>11</v>
      </c>
      <c r="B120" s="32">
        <v>5</v>
      </c>
      <c r="C120" s="32">
        <v>50</v>
      </c>
      <c r="D120" s="32" t="s">
        <v>8</v>
      </c>
      <c r="E120" s="32">
        <v>-406.00706400000001</v>
      </c>
      <c r="F120" s="4" t="str">
        <f>IF(D120="Far",IF(E120&lt;$U$23,"Positive","Negative"),IF(E120&gt;$U$23,"Positive","Negative"))</f>
        <v>Negative</v>
      </c>
    </row>
    <row r="121" spans="1:6" x14ac:dyDescent="0.55000000000000004">
      <c r="A121" s="3" t="s">
        <v>11</v>
      </c>
      <c r="B121" s="32">
        <v>5</v>
      </c>
      <c r="C121" s="32">
        <v>50</v>
      </c>
      <c r="D121" s="32" t="s">
        <v>6</v>
      </c>
      <c r="E121" s="32">
        <v>-406.13552800000002</v>
      </c>
      <c r="F121" s="4" t="str">
        <f>IF(D121="Far",IF(E121&lt;$U$23,"Positive","Negative"),IF(E121&gt;$U$23,"Positive","Negative"))</f>
        <v>Positive</v>
      </c>
    </row>
    <row r="122" spans="1:6" x14ac:dyDescent="0.55000000000000004">
      <c r="A122" s="3" t="s">
        <v>12</v>
      </c>
      <c r="B122" s="32">
        <v>1</v>
      </c>
      <c r="C122" s="32">
        <v>20</v>
      </c>
      <c r="D122" s="32" t="s">
        <v>8</v>
      </c>
      <c r="E122" s="32">
        <v>-425.28542399999901</v>
      </c>
      <c r="F122" s="4" t="str">
        <f>IF(D122="Far",IF(E122&lt;$U$23,"Positive","Negative"),IF(E122&gt;$U$23,"Positive","Negative"))</f>
        <v>Positive</v>
      </c>
    </row>
    <row r="123" spans="1:6" x14ac:dyDescent="0.55000000000000004">
      <c r="A123" s="3" t="s">
        <v>12</v>
      </c>
      <c r="B123" s="32">
        <v>1</v>
      </c>
      <c r="C123" s="32">
        <v>20</v>
      </c>
      <c r="D123" s="32" t="s">
        <v>6</v>
      </c>
      <c r="E123" s="32">
        <v>-424.47572499999899</v>
      </c>
      <c r="F123" s="4" t="str">
        <f>IF(D123="Far",IF(E123&lt;$U$23,"Positive","Negative"),IF(E123&gt;$U$23,"Positive","Negative"))</f>
        <v>Negative</v>
      </c>
    </row>
    <row r="124" spans="1:6" x14ac:dyDescent="0.55000000000000004">
      <c r="A124" s="3" t="s">
        <v>12</v>
      </c>
      <c r="B124" s="32">
        <v>1</v>
      </c>
      <c r="C124" s="32">
        <v>40</v>
      </c>
      <c r="D124" s="32" t="s">
        <v>8</v>
      </c>
      <c r="E124" s="32">
        <v>-424.89020799999997</v>
      </c>
      <c r="F124" s="4" t="str">
        <f>IF(D124="Far",IF(E124&lt;$U$23,"Positive","Negative"),IF(E124&gt;$U$23,"Positive","Negative"))</f>
        <v>Positive</v>
      </c>
    </row>
    <row r="125" spans="1:6" x14ac:dyDescent="0.55000000000000004">
      <c r="A125" s="3" t="s">
        <v>12</v>
      </c>
      <c r="B125" s="32">
        <v>1</v>
      </c>
      <c r="C125" s="32">
        <v>40</v>
      </c>
      <c r="D125" s="32" t="s">
        <v>6</v>
      </c>
      <c r="E125" s="32">
        <v>-424.02974</v>
      </c>
      <c r="F125" s="4" t="str">
        <f>IF(D125="Far",IF(E125&lt;$U$23,"Positive","Negative"),IF(E125&gt;$U$23,"Positive","Negative"))</f>
        <v>Negative</v>
      </c>
    </row>
    <row r="126" spans="1:6" x14ac:dyDescent="0.55000000000000004">
      <c r="A126" s="3" t="s">
        <v>12</v>
      </c>
      <c r="B126" s="32">
        <v>1</v>
      </c>
      <c r="C126" s="32">
        <v>50</v>
      </c>
      <c r="D126" s="32" t="s">
        <v>8</v>
      </c>
      <c r="E126" s="32">
        <v>-424.73098499999998</v>
      </c>
      <c r="F126" s="4" t="str">
        <f>IF(D126="Far",IF(E126&lt;$U$23,"Positive","Negative"),IF(E126&gt;$U$23,"Positive","Negative"))</f>
        <v>Positive</v>
      </c>
    </row>
    <row r="127" spans="1:6" x14ac:dyDescent="0.55000000000000004">
      <c r="A127" s="3" t="s">
        <v>12</v>
      </c>
      <c r="B127" s="32">
        <v>1</v>
      </c>
      <c r="C127" s="32">
        <v>50</v>
      </c>
      <c r="D127" s="32" t="s">
        <v>6</v>
      </c>
      <c r="E127" s="32">
        <v>-423.91091499999999</v>
      </c>
      <c r="F127" s="4" t="str">
        <f>IF(D127="Far",IF(E127&lt;$U$23,"Positive","Negative"),IF(E127&gt;$U$23,"Positive","Negative"))</f>
        <v>Negative</v>
      </c>
    </row>
    <row r="128" spans="1:6" x14ac:dyDescent="0.55000000000000004">
      <c r="A128" s="3" t="s">
        <v>12</v>
      </c>
      <c r="B128" s="32">
        <v>2</v>
      </c>
      <c r="C128" s="32">
        <v>20</v>
      </c>
      <c r="D128" s="32" t="s">
        <v>8</v>
      </c>
      <c r="E128" s="32">
        <v>-425.89338799999899</v>
      </c>
      <c r="F128" s="4" t="str">
        <f>IF(D128="Far",IF(E128&lt;$U$23,"Positive","Negative"),IF(E128&gt;$U$23,"Positive","Negative"))</f>
        <v>Positive</v>
      </c>
    </row>
    <row r="129" spans="1:6" x14ac:dyDescent="0.55000000000000004">
      <c r="A129" s="3" t="s">
        <v>12</v>
      </c>
      <c r="B129" s="32">
        <v>2</v>
      </c>
      <c r="C129" s="32">
        <v>20</v>
      </c>
      <c r="D129" s="32" t="s">
        <v>6</v>
      </c>
      <c r="E129" s="32">
        <v>-425.30879099999999</v>
      </c>
      <c r="F129" s="4" t="str">
        <f>IF(D129="Far",IF(E129&lt;$U$23,"Positive","Negative"),IF(E129&gt;$U$23,"Positive","Negative"))</f>
        <v>Negative</v>
      </c>
    </row>
    <row r="130" spans="1:6" x14ac:dyDescent="0.55000000000000004">
      <c r="A130" s="3" t="s">
        <v>12</v>
      </c>
      <c r="B130" s="32">
        <v>2</v>
      </c>
      <c r="C130" s="32">
        <v>40</v>
      </c>
      <c r="D130" s="32" t="s">
        <v>8</v>
      </c>
      <c r="E130" s="32">
        <v>-425.47469100000001</v>
      </c>
      <c r="F130" s="4" t="str">
        <f>IF(D130="Far",IF(E130&lt;$U$23,"Positive","Negative"),IF(E130&gt;$U$23,"Positive","Negative"))</f>
        <v>Positive</v>
      </c>
    </row>
    <row r="131" spans="1:6" x14ac:dyDescent="0.55000000000000004">
      <c r="A131" s="3" t="s">
        <v>12</v>
      </c>
      <c r="B131" s="32">
        <v>2</v>
      </c>
      <c r="C131" s="32">
        <v>40</v>
      </c>
      <c r="D131" s="32" t="s">
        <v>6</v>
      </c>
      <c r="E131" s="32">
        <v>-425.01430099999902</v>
      </c>
      <c r="F131" s="4" t="str">
        <f>IF(D131="Far",IF(E131&lt;$U$23,"Positive","Negative"),IF(E131&gt;$U$23,"Positive","Negative"))</f>
        <v>Negative</v>
      </c>
    </row>
    <row r="132" spans="1:6" x14ac:dyDescent="0.55000000000000004">
      <c r="A132" s="3" t="s">
        <v>12</v>
      </c>
      <c r="B132" s="32">
        <v>2</v>
      </c>
      <c r="C132" s="32">
        <v>50</v>
      </c>
      <c r="D132" s="32" t="s">
        <v>8</v>
      </c>
      <c r="E132" s="32">
        <v>-425.32193399999898</v>
      </c>
      <c r="F132" s="4" t="str">
        <f>IF(D132="Far",IF(E132&lt;$U$23,"Positive","Negative"),IF(E132&gt;$U$23,"Positive","Negative"))</f>
        <v>Positive</v>
      </c>
    </row>
    <row r="133" spans="1:6" x14ac:dyDescent="0.55000000000000004">
      <c r="A133" s="3" t="s">
        <v>12</v>
      </c>
      <c r="B133" s="32">
        <v>2</v>
      </c>
      <c r="C133" s="32">
        <v>50</v>
      </c>
      <c r="D133" s="32" t="s">
        <v>6</v>
      </c>
      <c r="E133" s="32">
        <v>-424.86690599999901</v>
      </c>
      <c r="F133" s="4" t="str">
        <f>IF(D133="Far",IF(E133&lt;$U$23,"Positive","Negative"),IF(E133&gt;$U$23,"Positive","Negative"))</f>
        <v>Negative</v>
      </c>
    </row>
    <row r="134" spans="1:6" x14ac:dyDescent="0.55000000000000004">
      <c r="A134" s="3" t="s">
        <v>12</v>
      </c>
      <c r="B134" s="32">
        <v>3</v>
      </c>
      <c r="C134" s="32">
        <v>20</v>
      </c>
      <c r="D134" s="32" t="s">
        <v>8</v>
      </c>
      <c r="E134" s="32">
        <v>-416.30357900000001</v>
      </c>
      <c r="F134" s="4" t="str">
        <f>IF(D134="Far",IF(E134&lt;$U$23,"Positive","Negative"),IF(E134&gt;$U$23,"Positive","Negative"))</f>
        <v>Positive</v>
      </c>
    </row>
    <row r="135" spans="1:6" x14ac:dyDescent="0.55000000000000004">
      <c r="A135" s="3" t="s">
        <v>12</v>
      </c>
      <c r="B135" s="32">
        <v>3</v>
      </c>
      <c r="C135" s="32">
        <v>20</v>
      </c>
      <c r="D135" s="32" t="s">
        <v>6</v>
      </c>
      <c r="E135" s="32">
        <v>-420.30676699999998</v>
      </c>
      <c r="F135" s="4" t="str">
        <f>IF(D135="Far",IF(E135&lt;$U$23,"Positive","Negative"),IF(E135&gt;$U$23,"Positive","Negative"))</f>
        <v>Negative</v>
      </c>
    </row>
    <row r="136" spans="1:6" x14ac:dyDescent="0.55000000000000004">
      <c r="A136" s="3" t="s">
        <v>12</v>
      </c>
      <c r="B136" s="32">
        <v>3</v>
      </c>
      <c r="C136" s="32">
        <v>40</v>
      </c>
      <c r="D136" s="32" t="s">
        <v>8</v>
      </c>
      <c r="E136" s="32">
        <v>-415.817429</v>
      </c>
      <c r="F136" s="4" t="str">
        <f>IF(D136="Far",IF(E136&lt;$U$23,"Positive","Negative"),IF(E136&gt;$U$23,"Positive","Negative"))</f>
        <v>Positive</v>
      </c>
    </row>
    <row r="137" spans="1:6" x14ac:dyDescent="0.55000000000000004">
      <c r="A137" s="3" t="s">
        <v>12</v>
      </c>
      <c r="B137" s="32">
        <v>3</v>
      </c>
      <c r="C137" s="32">
        <v>40</v>
      </c>
      <c r="D137" s="32" t="s">
        <v>6</v>
      </c>
      <c r="E137" s="32">
        <v>-419.78301399999998</v>
      </c>
      <c r="F137" s="4" t="str">
        <f>IF(D137="Far",IF(E137&lt;$U$23,"Positive","Negative"),IF(E137&gt;$U$23,"Positive","Negative"))</f>
        <v>Negative</v>
      </c>
    </row>
    <row r="138" spans="1:6" x14ac:dyDescent="0.55000000000000004">
      <c r="A138" s="3" t="s">
        <v>12</v>
      </c>
      <c r="B138" s="32">
        <v>3</v>
      </c>
      <c r="C138" s="32">
        <v>50</v>
      </c>
      <c r="D138" s="32" t="s">
        <v>8</v>
      </c>
      <c r="E138" s="32">
        <v>-415.583394</v>
      </c>
      <c r="F138" s="4" t="str">
        <f>IF(D138="Far",IF(E138&lt;$U$23,"Positive","Negative"),IF(E138&gt;$U$23,"Positive","Negative"))</f>
        <v>Positive</v>
      </c>
    </row>
    <row r="139" spans="1:6" x14ac:dyDescent="0.55000000000000004">
      <c r="A139" s="3" t="s">
        <v>12</v>
      </c>
      <c r="B139" s="32">
        <v>3</v>
      </c>
      <c r="C139" s="32">
        <v>50</v>
      </c>
      <c r="D139" s="32" t="s">
        <v>6</v>
      </c>
      <c r="E139" s="32">
        <v>-419.52521400000001</v>
      </c>
      <c r="F139" s="4" t="str">
        <f>IF(D139="Far",IF(E139&lt;$U$23,"Positive","Negative"),IF(E139&gt;$U$23,"Positive","Negative"))</f>
        <v>Negative</v>
      </c>
    </row>
    <row r="140" spans="1:6" x14ac:dyDescent="0.55000000000000004">
      <c r="A140" s="3" t="s">
        <v>12</v>
      </c>
      <c r="B140" s="32">
        <v>4</v>
      </c>
      <c r="C140" s="32">
        <v>20</v>
      </c>
      <c r="D140" s="32" t="s">
        <v>8</v>
      </c>
      <c r="E140" s="32">
        <v>-420.74868999999899</v>
      </c>
      <c r="F140" s="4" t="str">
        <f>IF(D140="Far",IF(E140&lt;$U$23,"Positive","Negative"),IF(E140&gt;$U$23,"Positive","Negative"))</f>
        <v>Positive</v>
      </c>
    </row>
    <row r="141" spans="1:6" x14ac:dyDescent="0.55000000000000004">
      <c r="A141" s="3" t="s">
        <v>12</v>
      </c>
      <c r="B141" s="32">
        <v>4</v>
      </c>
      <c r="C141" s="32">
        <v>20</v>
      </c>
      <c r="D141" s="32" t="s">
        <v>6</v>
      </c>
      <c r="E141" s="32">
        <v>-419.41013800000002</v>
      </c>
      <c r="F141" s="4" t="str">
        <f>IF(D141="Far",IF(E141&lt;$U$23,"Positive","Negative"),IF(E141&gt;$U$23,"Positive","Negative"))</f>
        <v>Negative</v>
      </c>
    </row>
    <row r="142" spans="1:6" x14ac:dyDescent="0.55000000000000004">
      <c r="A142" s="3" t="s">
        <v>12</v>
      </c>
      <c r="B142" s="32">
        <v>4</v>
      </c>
      <c r="C142" s="32">
        <v>40</v>
      </c>
      <c r="D142" s="32" t="s">
        <v>8</v>
      </c>
      <c r="E142" s="32">
        <v>-420.01748700000002</v>
      </c>
      <c r="F142" s="4" t="str">
        <f>IF(D142="Far",IF(E142&lt;$U$23,"Positive","Negative"),IF(E142&gt;$U$23,"Positive","Negative"))</f>
        <v>Positive</v>
      </c>
    </row>
    <row r="143" spans="1:6" x14ac:dyDescent="0.55000000000000004">
      <c r="A143" s="3" t="s">
        <v>12</v>
      </c>
      <c r="B143" s="32">
        <v>4</v>
      </c>
      <c r="C143" s="32">
        <v>40</v>
      </c>
      <c r="D143" s="32" t="s">
        <v>6</v>
      </c>
      <c r="E143" s="32">
        <v>-418.65796199999897</v>
      </c>
      <c r="F143" s="4" t="str">
        <f>IF(D143="Far",IF(E143&lt;$U$23,"Positive","Negative"),IF(E143&gt;$U$23,"Positive","Negative"))</f>
        <v>Negative</v>
      </c>
    </row>
    <row r="144" spans="1:6" x14ac:dyDescent="0.55000000000000004">
      <c r="A144" s="3" t="s">
        <v>12</v>
      </c>
      <c r="B144" s="32">
        <v>4</v>
      </c>
      <c r="C144" s="32">
        <v>50</v>
      </c>
      <c r="D144" s="32" t="s">
        <v>8</v>
      </c>
      <c r="E144" s="32">
        <v>-419.79411099999999</v>
      </c>
      <c r="F144" s="4" t="str">
        <f>IF(D144="Far",IF(E144&lt;$U$23,"Positive","Negative"),IF(E144&gt;$U$23,"Positive","Negative"))</f>
        <v>Positive</v>
      </c>
    </row>
    <row r="145" spans="1:6" x14ac:dyDescent="0.55000000000000004">
      <c r="A145" s="3" t="s">
        <v>12</v>
      </c>
      <c r="B145" s="32">
        <v>4</v>
      </c>
      <c r="C145" s="32">
        <v>50</v>
      </c>
      <c r="D145" s="32" t="s">
        <v>6</v>
      </c>
      <c r="E145" s="32">
        <v>-418.43720299999899</v>
      </c>
      <c r="F145" s="4" t="str">
        <f>IF(D145="Far",IF(E145&lt;$U$23,"Positive","Negative"),IF(E145&gt;$U$23,"Positive","Negative"))</f>
        <v>Negative</v>
      </c>
    </row>
    <row r="146" spans="1:6" x14ac:dyDescent="0.55000000000000004">
      <c r="A146" s="3" t="s">
        <v>12</v>
      </c>
      <c r="B146" s="32">
        <v>5</v>
      </c>
      <c r="C146" s="32">
        <v>20</v>
      </c>
      <c r="D146" s="32" t="s">
        <v>8</v>
      </c>
      <c r="E146" s="32">
        <v>-418.494665555555</v>
      </c>
      <c r="F146" s="4" t="str">
        <f>IF(D146="Far",IF(E146&lt;$U$23,"Positive","Negative"),IF(E146&gt;$U$23,"Positive","Negative"))</f>
        <v>Positive</v>
      </c>
    </row>
    <row r="147" spans="1:6" x14ac:dyDescent="0.55000000000000004">
      <c r="A147" s="3" t="s">
        <v>12</v>
      </c>
      <c r="B147" s="32">
        <v>5</v>
      </c>
      <c r="C147" s="32">
        <v>20</v>
      </c>
      <c r="D147" s="32" t="s">
        <v>6</v>
      </c>
      <c r="E147" s="32">
        <v>-410.69423599999999</v>
      </c>
      <c r="F147" s="4" t="str">
        <f>IF(D147="Far",IF(E147&lt;$U$23,"Positive","Negative"),IF(E147&gt;$U$23,"Positive","Negative"))</f>
        <v>Negative</v>
      </c>
    </row>
    <row r="148" spans="1:6" x14ac:dyDescent="0.55000000000000004">
      <c r="A148" s="3" t="s">
        <v>12</v>
      </c>
      <c r="B148" s="32">
        <v>5</v>
      </c>
      <c r="C148" s="32">
        <v>40</v>
      </c>
      <c r="D148" s="32" t="s">
        <v>8</v>
      </c>
      <c r="E148" s="32">
        <v>-417.80031222222198</v>
      </c>
      <c r="F148" s="4" t="str">
        <f>IF(D148="Far",IF(E148&lt;$U$23,"Positive","Negative"),IF(E148&gt;$U$23,"Positive","Negative"))</f>
        <v>Positive</v>
      </c>
    </row>
    <row r="149" spans="1:6" x14ac:dyDescent="0.55000000000000004">
      <c r="A149" s="3" t="s">
        <v>12</v>
      </c>
      <c r="B149" s="32">
        <v>5</v>
      </c>
      <c r="C149" s="32">
        <v>40</v>
      </c>
      <c r="D149" s="32" t="s">
        <v>6</v>
      </c>
      <c r="E149" s="32">
        <v>-410.16981500000003</v>
      </c>
      <c r="F149" s="4" t="str">
        <f>IF(D149="Far",IF(E149&lt;$U$23,"Positive","Negative"),IF(E149&gt;$U$23,"Positive","Negative"))</f>
        <v>Negative</v>
      </c>
    </row>
    <row r="150" spans="1:6" x14ac:dyDescent="0.55000000000000004">
      <c r="A150" s="3" t="s">
        <v>12</v>
      </c>
      <c r="B150" s="32">
        <v>5</v>
      </c>
      <c r="C150" s="32">
        <v>50</v>
      </c>
      <c r="D150" s="32" t="s">
        <v>8</v>
      </c>
      <c r="E150" s="32">
        <v>-417.65571555555499</v>
      </c>
      <c r="F150" s="4" t="str">
        <f>IF(D150="Far",IF(E150&lt;$U$23,"Positive","Negative"),IF(E150&gt;$U$23,"Positive","Negative"))</f>
        <v>Positive</v>
      </c>
    </row>
    <row r="151" spans="1:6" thickBot="1" x14ac:dyDescent="0.6">
      <c r="A151" s="5" t="s">
        <v>12</v>
      </c>
      <c r="B151" s="34">
        <v>5</v>
      </c>
      <c r="C151" s="34">
        <v>50</v>
      </c>
      <c r="D151" s="34" t="s">
        <v>6</v>
      </c>
      <c r="E151" s="34">
        <v>-409.99116199999997</v>
      </c>
      <c r="F151" s="6" t="str">
        <f>IF(D151="Far",IF(E151&lt;$U$23,"Positive","Negative"),IF(E151&gt;$U$23,"Positive","Negative"))</f>
        <v>Negative</v>
      </c>
    </row>
  </sheetData>
  <autoFilter ref="A1:F151" xr:uid="{00000000-0001-0000-0000-000000000000}"/>
  <mergeCells count="9">
    <mergeCell ref="O52:O53"/>
    <mergeCell ref="I53:I54"/>
    <mergeCell ref="J53:J54"/>
    <mergeCell ref="H4:J4"/>
    <mergeCell ref="H52:H54"/>
    <mergeCell ref="I52:J52"/>
    <mergeCell ref="K52:L52"/>
    <mergeCell ref="M52:M53"/>
    <mergeCell ref="N52:N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W151"/>
  <sheetViews>
    <sheetView topLeftCell="I1" zoomScaleNormal="100" workbookViewId="0">
      <selection activeCell="U24" sqref="U24"/>
    </sheetView>
  </sheetViews>
  <sheetFormatPr defaultRowHeight="14.4" x14ac:dyDescent="0.55000000000000004"/>
  <cols>
    <col min="1" max="1" width="16.7890625" bestFit="1" customWidth="1"/>
    <col min="2" max="2" width="7.9453125" bestFit="1" customWidth="1"/>
    <col min="3" max="3" width="9" bestFit="1" customWidth="1"/>
    <col min="4" max="4" width="11.1015625" bestFit="1" customWidth="1"/>
    <col min="5" max="5" width="15.05078125" bestFit="1" customWidth="1"/>
    <col min="6" max="6" width="16.734375" bestFit="1" customWidth="1"/>
    <col min="7" max="7" width="9.26171875" bestFit="1" customWidth="1"/>
    <col min="8" max="8" width="11.7890625" customWidth="1"/>
    <col min="9" max="10" width="12.26171875" bestFit="1" customWidth="1"/>
    <col min="11" max="11" width="11.26171875" bestFit="1" customWidth="1"/>
    <col min="12" max="12" width="11.68359375" bestFit="1" customWidth="1"/>
    <col min="13" max="13" width="15.20703125" bestFit="1" customWidth="1"/>
    <col min="14" max="14" width="14.83984375" bestFit="1" customWidth="1"/>
    <col min="20" max="20" width="20.47265625" bestFit="1" customWidth="1"/>
    <col min="21" max="21" width="15.05078125" bestFit="1" customWidth="1"/>
    <col min="22" max="22" width="12.26171875" bestFit="1" customWidth="1"/>
    <col min="23" max="23" width="10.3125" bestFit="1" customWidth="1"/>
    <col min="24" max="97" width="15.05078125" bestFit="1" customWidth="1"/>
    <col min="98" max="98" width="10.3125" bestFit="1" customWidth="1"/>
    <col min="99" max="99" width="13.05078125" bestFit="1" customWidth="1"/>
    <col min="100" max="100" width="21.47265625" bestFit="1" customWidth="1"/>
    <col min="101" max="101" width="13.05078125" bestFit="1" customWidth="1"/>
    <col min="102" max="102" width="15.3671875" bestFit="1" customWidth="1"/>
    <col min="103" max="103" width="13.05078125" bestFit="1" customWidth="1"/>
    <col min="104" max="104" width="15.3671875" bestFit="1" customWidth="1"/>
    <col min="105" max="105" width="13.05078125" bestFit="1" customWidth="1"/>
    <col min="106" max="106" width="21.47265625" bestFit="1" customWidth="1"/>
    <col min="107" max="107" width="13.05078125" bestFit="1" customWidth="1"/>
    <col min="108" max="108" width="15.3671875" bestFit="1" customWidth="1"/>
    <col min="109" max="109" width="13.05078125" bestFit="1" customWidth="1"/>
    <col min="110" max="110" width="15.3671875" bestFit="1" customWidth="1"/>
    <col min="111" max="111" width="13.05078125" bestFit="1" customWidth="1"/>
    <col min="112" max="112" width="21.47265625" bestFit="1" customWidth="1"/>
    <col min="113" max="113" width="13.05078125" bestFit="1" customWidth="1"/>
    <col min="114" max="114" width="15.3671875" bestFit="1" customWidth="1"/>
    <col min="115" max="115" width="13.05078125" bestFit="1" customWidth="1"/>
    <col min="116" max="116" width="15.3671875" bestFit="1" customWidth="1"/>
    <col min="117" max="117" width="13.05078125" bestFit="1" customWidth="1"/>
    <col min="118" max="118" width="15.3671875" bestFit="1" customWidth="1"/>
    <col min="119" max="119" width="13.05078125" bestFit="1" customWidth="1"/>
    <col min="120" max="120" width="21.47265625" bestFit="1" customWidth="1"/>
    <col min="121" max="121" width="13.05078125" bestFit="1" customWidth="1"/>
    <col min="122" max="122" width="15.3671875" bestFit="1" customWidth="1"/>
    <col min="123" max="123" width="13.05078125" bestFit="1" customWidth="1"/>
    <col min="124" max="124" width="15.3671875" bestFit="1" customWidth="1"/>
    <col min="125" max="125" width="13.05078125" bestFit="1" customWidth="1"/>
    <col min="126" max="126" width="21.47265625" bestFit="1" customWidth="1"/>
    <col min="127" max="127" width="13.05078125" bestFit="1" customWidth="1"/>
    <col min="128" max="128" width="15.3671875" bestFit="1" customWidth="1"/>
    <col min="129" max="129" width="13.05078125" bestFit="1" customWidth="1"/>
    <col min="130" max="130" width="21.47265625" bestFit="1" customWidth="1"/>
    <col min="131" max="131" width="13.05078125" bestFit="1" customWidth="1"/>
    <col min="132" max="132" width="15.3671875" bestFit="1" customWidth="1"/>
    <col min="133" max="133" width="11.26171875" bestFit="1" customWidth="1"/>
    <col min="134" max="134" width="13.3671875" bestFit="1" customWidth="1"/>
    <col min="135" max="135" width="13.05078125" bestFit="1" customWidth="1"/>
    <col min="136" max="136" width="15.3671875" bestFit="1" customWidth="1"/>
    <col min="137" max="137" width="13.05078125" bestFit="1" customWidth="1"/>
    <col min="138" max="138" width="15.3671875" bestFit="1" customWidth="1"/>
    <col min="139" max="139" width="13.05078125" bestFit="1" customWidth="1"/>
    <col min="140" max="140" width="15.3671875" bestFit="1" customWidth="1"/>
    <col min="141" max="141" width="13.05078125" bestFit="1" customWidth="1"/>
    <col min="142" max="142" width="15.3671875" bestFit="1" customWidth="1"/>
    <col min="143" max="143" width="13.05078125" bestFit="1" customWidth="1"/>
    <col min="144" max="144" width="15.3671875" bestFit="1" customWidth="1"/>
    <col min="145" max="145" width="13.05078125" bestFit="1" customWidth="1"/>
    <col min="146" max="146" width="15.3671875" bestFit="1" customWidth="1"/>
    <col min="147" max="147" width="13.05078125" bestFit="1" customWidth="1"/>
    <col min="148" max="148" width="15.3671875" bestFit="1" customWidth="1"/>
    <col min="149" max="149" width="14.05078125" bestFit="1" customWidth="1"/>
    <col min="150" max="150" width="21.47265625" bestFit="1" customWidth="1"/>
    <col min="151" max="151" width="13.05078125" bestFit="1" customWidth="1"/>
    <col min="152" max="152" width="15.3671875" bestFit="1" customWidth="1"/>
    <col min="153" max="153" width="13.05078125" bestFit="1" customWidth="1"/>
    <col min="154" max="154" width="15.3671875" bestFit="1" customWidth="1"/>
    <col min="155" max="155" width="14.05078125" bestFit="1" customWidth="1"/>
    <col min="156" max="156" width="21.47265625" bestFit="1" customWidth="1"/>
    <col min="157" max="157" width="12.05078125" bestFit="1" customWidth="1"/>
    <col min="158" max="158" width="14.3671875" bestFit="1" customWidth="1"/>
    <col min="159" max="159" width="14.05078125" bestFit="1" customWidth="1"/>
    <col min="160" max="160" width="21.47265625" bestFit="1" customWidth="1"/>
    <col min="161" max="161" width="13.05078125" bestFit="1" customWidth="1"/>
    <col min="162" max="162" width="21.47265625" bestFit="1" customWidth="1"/>
    <col min="163" max="163" width="13.05078125" bestFit="1" customWidth="1"/>
    <col min="164" max="164" width="21.47265625" bestFit="1" customWidth="1"/>
    <col min="165" max="165" width="13.05078125" bestFit="1" customWidth="1"/>
    <col min="166" max="166" width="15.3671875" bestFit="1" customWidth="1"/>
    <col min="167" max="167" width="13.05078125" bestFit="1" customWidth="1"/>
    <col min="168" max="168" width="15.3671875" bestFit="1" customWidth="1"/>
    <col min="169" max="169" width="13.05078125" bestFit="1" customWidth="1"/>
    <col min="170" max="170" width="21.47265625" bestFit="1" customWidth="1"/>
    <col min="171" max="171" width="13.05078125" bestFit="1" customWidth="1"/>
    <col min="172" max="172" width="15.3671875" bestFit="1" customWidth="1"/>
    <col min="173" max="173" width="10.3125" bestFit="1" customWidth="1"/>
  </cols>
  <sheetData>
    <row r="1" spans="1:23" ht="14.7" thickBot="1" x14ac:dyDescent="0.6">
      <c r="A1" s="29" t="s">
        <v>0</v>
      </c>
      <c r="B1" s="30" t="s">
        <v>1</v>
      </c>
      <c r="C1" s="30" t="s">
        <v>2</v>
      </c>
      <c r="D1" s="30" t="s">
        <v>14</v>
      </c>
      <c r="E1" s="31" t="s">
        <v>3</v>
      </c>
      <c r="F1" s="28" t="s">
        <v>34</v>
      </c>
      <c r="H1" t="s">
        <v>4</v>
      </c>
    </row>
    <row r="2" spans="1:23" x14ac:dyDescent="0.55000000000000004">
      <c r="A2" s="1" t="s">
        <v>5</v>
      </c>
      <c r="B2" s="33">
        <v>1</v>
      </c>
      <c r="C2" s="33">
        <v>20</v>
      </c>
      <c r="D2" s="33" t="s">
        <v>8</v>
      </c>
      <c r="E2" s="33">
        <v>-416.073070999999</v>
      </c>
      <c r="F2" s="2" t="str">
        <f>IF(D2="Far",IF(E2&lt;$U$23,"Positive","Negative"),IF(E2&gt;$U$23,"Positive","Negative"))</f>
        <v>Positive</v>
      </c>
      <c r="G2" s="35"/>
      <c r="H2" t="s">
        <v>7</v>
      </c>
    </row>
    <row r="3" spans="1:23" x14ac:dyDescent="0.55000000000000004">
      <c r="A3" s="3" t="s">
        <v>5</v>
      </c>
      <c r="B3" s="32">
        <v>1</v>
      </c>
      <c r="C3" s="32">
        <v>20</v>
      </c>
      <c r="D3" s="32" t="s">
        <v>6</v>
      </c>
      <c r="E3" s="32">
        <v>-414.48324300000002</v>
      </c>
      <c r="F3" s="4" t="str">
        <f t="shared" ref="F3:F66" si="0">IF(D3="Far",IF(E3&lt;$U$23,"Positive","Negative"),IF(E3&gt;$U$23,"Positive","Negative"))</f>
        <v>Negative</v>
      </c>
    </row>
    <row r="4" spans="1:23" ht="14.7" thickBot="1" x14ac:dyDescent="0.6">
      <c r="A4" s="3" t="s">
        <v>5</v>
      </c>
      <c r="B4" s="32">
        <v>1</v>
      </c>
      <c r="C4" s="32">
        <v>40</v>
      </c>
      <c r="D4" s="32" t="s">
        <v>8</v>
      </c>
      <c r="E4" s="32">
        <v>-414.701187</v>
      </c>
      <c r="F4" s="4" t="str">
        <f t="shared" si="0"/>
        <v>Positive</v>
      </c>
      <c r="H4" s="26" t="s">
        <v>15</v>
      </c>
      <c r="I4" s="26"/>
      <c r="J4" s="26"/>
    </row>
    <row r="5" spans="1:23" ht="14.7" thickBot="1" x14ac:dyDescent="0.6">
      <c r="A5" s="3" t="s">
        <v>5</v>
      </c>
      <c r="B5" s="32">
        <v>1</v>
      </c>
      <c r="C5" s="32">
        <v>40</v>
      </c>
      <c r="D5" s="32" t="s">
        <v>6</v>
      </c>
      <c r="E5" s="32">
        <v>-414.02561599999899</v>
      </c>
      <c r="F5" s="4" t="str">
        <f t="shared" si="0"/>
        <v>Negative</v>
      </c>
      <c r="T5" s="8" t="s">
        <v>17</v>
      </c>
      <c r="U5" s="9" t="s">
        <v>16</v>
      </c>
      <c r="W5" t="s">
        <v>30</v>
      </c>
    </row>
    <row r="6" spans="1:23" ht="14.7" thickBot="1" x14ac:dyDescent="0.6">
      <c r="A6" s="3" t="s">
        <v>5</v>
      </c>
      <c r="B6" s="32">
        <v>1</v>
      </c>
      <c r="C6" s="32">
        <v>50</v>
      </c>
      <c r="D6" s="32" t="s">
        <v>8</v>
      </c>
      <c r="E6" s="32">
        <v>-414.59568599999898</v>
      </c>
      <c r="F6" s="4" t="str">
        <f t="shared" si="0"/>
        <v>Positive</v>
      </c>
      <c r="H6" s="14">
        <v>1</v>
      </c>
      <c r="I6" s="10" t="s">
        <v>6</v>
      </c>
      <c r="J6" s="9" t="s">
        <v>8</v>
      </c>
      <c r="T6" s="21" t="s">
        <v>6</v>
      </c>
      <c r="U6" s="2">
        <f>SUMIF(D2:D151,D3,E2:E151)/COUNTIF(D2:D151,D3)</f>
        <v>-413.39397312463035</v>
      </c>
      <c r="W6" t="s">
        <v>31</v>
      </c>
    </row>
    <row r="7" spans="1:23" ht="14.7" thickBot="1" x14ac:dyDescent="0.6">
      <c r="A7" s="3" t="s">
        <v>5</v>
      </c>
      <c r="B7" s="32">
        <v>1</v>
      </c>
      <c r="C7" s="32">
        <v>50</v>
      </c>
      <c r="D7" s="32" t="s">
        <v>6</v>
      </c>
      <c r="E7" s="32">
        <v>-413.78227199999998</v>
      </c>
      <c r="F7" s="4" t="str">
        <f t="shared" si="0"/>
        <v>Negative</v>
      </c>
      <c r="H7" s="15" t="s">
        <v>5</v>
      </c>
      <c r="I7" s="11">
        <f>E7</f>
        <v>-413.78227199999998</v>
      </c>
      <c r="J7" s="7">
        <f>E6</f>
        <v>-414.59568599999898</v>
      </c>
      <c r="T7" s="20" t="s">
        <v>8</v>
      </c>
      <c r="U7" s="6">
        <f>SUMIF(D2:D151,D2,E2:E151)/COUNTIF(D2:D151,D2)</f>
        <v>-415.69718039422264</v>
      </c>
      <c r="W7" t="s">
        <v>32</v>
      </c>
    </row>
    <row r="8" spans="1:23" x14ac:dyDescent="0.55000000000000004">
      <c r="A8" s="3" t="s">
        <v>5</v>
      </c>
      <c r="B8" s="32">
        <v>2</v>
      </c>
      <c r="C8" s="32">
        <v>20</v>
      </c>
      <c r="D8" s="32" t="s">
        <v>8</v>
      </c>
      <c r="E8" s="32">
        <v>-417.251340999999</v>
      </c>
      <c r="F8" s="4" t="str">
        <f t="shared" si="0"/>
        <v>Positive</v>
      </c>
      <c r="H8" s="16" t="s">
        <v>9</v>
      </c>
      <c r="I8" s="12">
        <f>E37</f>
        <v>-418.45319699999902</v>
      </c>
      <c r="J8" s="4">
        <f>E36</f>
        <v>-411.47698599999899</v>
      </c>
      <c r="T8" s="22">
        <v>0.2</v>
      </c>
      <c r="U8" s="2">
        <f>SUMIF(C2:C151,C2,E2:E151)/COUNTIF(C2:C151,C2)</f>
        <v>-415.07021455824417</v>
      </c>
    </row>
    <row r="9" spans="1:23" x14ac:dyDescent="0.55000000000000004">
      <c r="A9" s="3" t="s">
        <v>5</v>
      </c>
      <c r="B9" s="32">
        <v>2</v>
      </c>
      <c r="C9" s="32">
        <v>20</v>
      </c>
      <c r="D9" s="32" t="s">
        <v>6</v>
      </c>
      <c r="E9" s="32">
        <v>-411.48032599999999</v>
      </c>
      <c r="F9" s="4" t="str">
        <f t="shared" si="0"/>
        <v>Negative</v>
      </c>
      <c r="H9" s="16" t="s">
        <v>10</v>
      </c>
      <c r="I9" s="12">
        <f>E67</f>
        <v>-406.64960100000002</v>
      </c>
      <c r="J9" s="4">
        <f>E66</f>
        <v>-409.57085599999999</v>
      </c>
      <c r="T9" s="19">
        <v>0.4</v>
      </c>
      <c r="U9" s="4">
        <f>SUMIF(C2:C151,C4,E2:E151)/COUNTIF(C2:C151,C4)</f>
        <v>-414.38677393559118</v>
      </c>
    </row>
    <row r="10" spans="1:23" ht="14.7" thickBot="1" x14ac:dyDescent="0.6">
      <c r="A10" s="3" t="s">
        <v>5</v>
      </c>
      <c r="B10" s="32">
        <v>2</v>
      </c>
      <c r="C10" s="32">
        <v>40</v>
      </c>
      <c r="D10" s="32" t="s">
        <v>8</v>
      </c>
      <c r="E10" s="32">
        <v>-416.66741499999898</v>
      </c>
      <c r="F10" s="4" t="str">
        <f t="shared" si="0"/>
        <v>Positive</v>
      </c>
      <c r="H10" s="16" t="s">
        <v>11</v>
      </c>
      <c r="I10" s="12">
        <f>E97</f>
        <v>-424.45169299999901</v>
      </c>
      <c r="J10" s="4">
        <f>E96</f>
        <v>-419.16707400000001</v>
      </c>
      <c r="T10" s="23">
        <v>0.5</v>
      </c>
      <c r="U10" s="6">
        <f>SUMIF(C2:C151,C6,E2:E151)/COUNTIF(C2:C151,C6)</f>
        <v>-414.1797417844441</v>
      </c>
    </row>
    <row r="11" spans="1:23" ht="14.7" thickBot="1" x14ac:dyDescent="0.6">
      <c r="A11" s="3" t="s">
        <v>5</v>
      </c>
      <c r="B11" s="32">
        <v>2</v>
      </c>
      <c r="C11" s="32">
        <v>40</v>
      </c>
      <c r="D11" s="32" t="s">
        <v>6</v>
      </c>
      <c r="E11" s="32">
        <v>-411.10514799999999</v>
      </c>
      <c r="F11" s="4" t="str">
        <f t="shared" si="0"/>
        <v>Negative</v>
      </c>
      <c r="H11" s="17" t="s">
        <v>12</v>
      </c>
      <c r="I11" s="13">
        <f>E127</f>
        <v>-423.91091499999999</v>
      </c>
      <c r="J11" s="6">
        <f>E126</f>
        <v>-424.73098499999998</v>
      </c>
      <c r="T11" s="21" t="s">
        <v>18</v>
      </c>
      <c r="U11" s="2">
        <f>AVERAGE(E122:E151)</f>
        <v>-420.27979674444401</v>
      </c>
    </row>
    <row r="12" spans="1:23" ht="14.7" thickBot="1" x14ac:dyDescent="0.6">
      <c r="A12" s="3" t="s">
        <v>5</v>
      </c>
      <c r="B12" s="32">
        <v>2</v>
      </c>
      <c r="C12" s="32">
        <v>50</v>
      </c>
      <c r="D12" s="32" t="s">
        <v>8</v>
      </c>
      <c r="E12" s="32">
        <v>-416.38969799999899</v>
      </c>
      <c r="F12" s="4" t="str">
        <f t="shared" si="0"/>
        <v>Positive</v>
      </c>
      <c r="T12" s="18" t="s">
        <v>19</v>
      </c>
      <c r="U12" s="4">
        <f>AVERAGE(E92:E121)</f>
        <v>-414.53422879999954</v>
      </c>
    </row>
    <row r="13" spans="1:23" ht="14.7" thickBot="1" x14ac:dyDescent="0.6">
      <c r="A13" s="3" t="s">
        <v>5</v>
      </c>
      <c r="B13" s="32">
        <v>2</v>
      </c>
      <c r="C13" s="32">
        <v>50</v>
      </c>
      <c r="D13" s="32" t="s">
        <v>6</v>
      </c>
      <c r="E13" s="32">
        <v>-410.75902899999897</v>
      </c>
      <c r="F13" s="4" t="str">
        <f t="shared" si="0"/>
        <v>Negative</v>
      </c>
      <c r="H13" s="14">
        <v>2</v>
      </c>
      <c r="I13" s="10" t="s">
        <v>6</v>
      </c>
      <c r="J13" s="9" t="s">
        <v>8</v>
      </c>
      <c r="T13" s="18" t="s">
        <v>20</v>
      </c>
      <c r="U13" s="4">
        <f>AVERAGE(E62:E91)</f>
        <v>-417.90202133333304</v>
      </c>
    </row>
    <row r="14" spans="1:23" x14ac:dyDescent="0.55000000000000004">
      <c r="A14" s="3" t="s">
        <v>5</v>
      </c>
      <c r="B14" s="32">
        <v>3</v>
      </c>
      <c r="C14" s="32">
        <v>20</v>
      </c>
      <c r="D14" s="32" t="s">
        <v>8</v>
      </c>
      <c r="E14" s="32">
        <v>-411.32717100000002</v>
      </c>
      <c r="F14" s="4" t="str">
        <f t="shared" si="0"/>
        <v>Positive</v>
      </c>
      <c r="H14" s="15" t="s">
        <v>5</v>
      </c>
      <c r="I14" s="11">
        <f>E13</f>
        <v>-410.75902899999897</v>
      </c>
      <c r="J14" s="7">
        <f>E12</f>
        <v>-416.38969799999899</v>
      </c>
      <c r="T14" s="18" t="s">
        <v>21</v>
      </c>
      <c r="U14" s="4">
        <f>AVERAGE(E32:E61)</f>
        <v>-409.08988470139241</v>
      </c>
    </row>
    <row r="15" spans="1:23" ht="14.7" thickBot="1" x14ac:dyDescent="0.6">
      <c r="A15" s="3" t="s">
        <v>5</v>
      </c>
      <c r="B15" s="32">
        <v>3</v>
      </c>
      <c r="C15" s="32">
        <v>20</v>
      </c>
      <c r="D15" s="32" t="s">
        <v>6</v>
      </c>
      <c r="E15" s="32">
        <v>-408.21014399999899</v>
      </c>
      <c r="F15" s="4" t="str">
        <f t="shared" si="0"/>
        <v>Negative</v>
      </c>
      <c r="H15" s="16" t="s">
        <v>9</v>
      </c>
      <c r="I15" s="12">
        <f>E43</f>
        <v>-414.43664799999902</v>
      </c>
      <c r="J15" s="4">
        <f>E42</f>
        <v>-404.95466699999997</v>
      </c>
      <c r="T15" s="20" t="s">
        <v>22</v>
      </c>
      <c r="U15" s="6">
        <f>AVERAGE(E2:E31)</f>
        <v>-410.92195221796362</v>
      </c>
    </row>
    <row r="16" spans="1:23" x14ac:dyDescent="0.55000000000000004">
      <c r="A16" s="3" t="s">
        <v>5</v>
      </c>
      <c r="B16" s="32">
        <v>3</v>
      </c>
      <c r="C16" s="32">
        <v>40</v>
      </c>
      <c r="D16" s="32" t="s">
        <v>8</v>
      </c>
      <c r="E16" s="32">
        <v>-410.78230000000002</v>
      </c>
      <c r="F16" s="4" t="str">
        <f t="shared" si="0"/>
        <v>Positive</v>
      </c>
      <c r="H16" s="16" t="s">
        <v>10</v>
      </c>
      <c r="I16" s="12">
        <f>E73</f>
        <v>-420.01772099999903</v>
      </c>
      <c r="J16" s="4">
        <f>E72</f>
        <v>-422.18893999999898</v>
      </c>
      <c r="T16" s="1" t="s">
        <v>23</v>
      </c>
      <c r="U16" s="2">
        <f>SUMIF(C122:C151,C6,E122:E151)/COUNTIF(C122:C151,C6)</f>
        <v>-419.98175395555529</v>
      </c>
    </row>
    <row r="17" spans="1:22" x14ac:dyDescent="0.55000000000000004">
      <c r="A17" s="3" t="s">
        <v>5</v>
      </c>
      <c r="B17" s="32">
        <v>3</v>
      </c>
      <c r="C17" s="32">
        <v>40</v>
      </c>
      <c r="D17" s="32" t="s">
        <v>6</v>
      </c>
      <c r="E17" s="32">
        <v>-407.77953399999899</v>
      </c>
      <c r="F17" s="4" t="str">
        <f t="shared" si="0"/>
        <v>Negative</v>
      </c>
      <c r="H17" s="16" t="s">
        <v>11</v>
      </c>
      <c r="I17" s="12">
        <f>E103</f>
        <v>-415.51702199999897</v>
      </c>
      <c r="J17" s="4">
        <f>E102</f>
        <v>-408.87715500000002</v>
      </c>
      <c r="T17" s="3" t="s">
        <v>24</v>
      </c>
      <c r="U17" s="4">
        <f>SUMIF(C92:C121,C6,E92:E121)/COUNTIF(C92:C121,C6)</f>
        <v>-414.14454599999965</v>
      </c>
    </row>
    <row r="18" spans="1:22" ht="14.7" thickBot="1" x14ac:dyDescent="0.6">
      <c r="A18" s="3" t="s">
        <v>5</v>
      </c>
      <c r="B18" s="32">
        <v>3</v>
      </c>
      <c r="C18" s="32">
        <v>50</v>
      </c>
      <c r="D18" s="32" t="s">
        <v>8</v>
      </c>
      <c r="E18" s="32">
        <v>-410.61978099999999</v>
      </c>
      <c r="F18" s="4" t="str">
        <f t="shared" si="0"/>
        <v>Positive</v>
      </c>
      <c r="H18" s="17" t="s">
        <v>12</v>
      </c>
      <c r="I18" s="13">
        <f>E133</f>
        <v>-424.86690599999901</v>
      </c>
      <c r="J18" s="6">
        <f>E132</f>
        <v>-425.32193399999898</v>
      </c>
      <c r="T18" s="3" t="s">
        <v>25</v>
      </c>
      <c r="U18" s="4">
        <f>SUMIF(C62:C91,C6,E62:E91)/COUNTIF(C62:C91,C6)</f>
        <v>-417.43988529999967</v>
      </c>
    </row>
    <row r="19" spans="1:22" ht="14.7" thickBot="1" x14ac:dyDescent="0.6">
      <c r="A19" s="3" t="s">
        <v>5</v>
      </c>
      <c r="B19" s="32">
        <v>3</v>
      </c>
      <c r="C19" s="32">
        <v>50</v>
      </c>
      <c r="D19" s="32" t="s">
        <v>6</v>
      </c>
      <c r="E19" s="32">
        <v>-407.67148799999899</v>
      </c>
      <c r="F19" s="4" t="str">
        <f t="shared" si="0"/>
        <v>Positive</v>
      </c>
      <c r="T19" s="3" t="s">
        <v>26</v>
      </c>
      <c r="U19" s="4">
        <f>SUMIF(C32:C61,C6,E32:E61)/COUNTIF(C32:C61,C6)</f>
        <v>-408.73990396187651</v>
      </c>
    </row>
    <row r="20" spans="1:22" ht="14.7" thickBot="1" x14ac:dyDescent="0.6">
      <c r="A20" s="3" t="s">
        <v>5</v>
      </c>
      <c r="B20" s="32">
        <v>4</v>
      </c>
      <c r="C20" s="32">
        <v>20</v>
      </c>
      <c r="D20" s="32" t="s">
        <v>8</v>
      </c>
      <c r="E20" s="32">
        <v>-413.27146099999902</v>
      </c>
      <c r="F20" s="4" t="str">
        <f t="shared" si="0"/>
        <v>Positive</v>
      </c>
      <c r="H20" s="14">
        <v>3</v>
      </c>
      <c r="I20" s="10" t="s">
        <v>6</v>
      </c>
      <c r="J20" s="9" t="s">
        <v>8</v>
      </c>
      <c r="T20" s="5" t="s">
        <v>27</v>
      </c>
      <c r="U20" s="6">
        <f>SUMIF(C2:C31,C6,E2:E31)/COUNTIF(C2:C31,C6)</f>
        <v>-410.59261970478991</v>
      </c>
    </row>
    <row r="21" spans="1:22" ht="14.7" thickBot="1" x14ac:dyDescent="0.6">
      <c r="A21" s="3" t="s">
        <v>5</v>
      </c>
      <c r="B21" s="32">
        <v>4</v>
      </c>
      <c r="C21" s="32">
        <v>20</v>
      </c>
      <c r="D21" s="32" t="s">
        <v>6</v>
      </c>
      <c r="E21" s="32">
        <v>-412.141212</v>
      </c>
      <c r="F21" s="4" t="str">
        <f t="shared" si="0"/>
        <v>Negative</v>
      </c>
      <c r="H21" s="15" t="s">
        <v>5</v>
      </c>
      <c r="I21" s="11">
        <f>E19</f>
        <v>-407.67148799999899</v>
      </c>
      <c r="J21" s="7">
        <f>E18</f>
        <v>-410.61978099999999</v>
      </c>
    </row>
    <row r="22" spans="1:22" ht="14.7" thickBot="1" x14ac:dyDescent="0.6">
      <c r="A22" s="3" t="s">
        <v>5</v>
      </c>
      <c r="B22" s="32">
        <v>4</v>
      </c>
      <c r="C22" s="32">
        <v>40</v>
      </c>
      <c r="D22" s="32" t="s">
        <v>8</v>
      </c>
      <c r="E22" s="32">
        <v>-412.51606299999997</v>
      </c>
      <c r="F22" s="4" t="str">
        <f t="shared" si="0"/>
        <v>Positive</v>
      </c>
      <c r="H22" s="16" t="s">
        <v>9</v>
      </c>
      <c r="I22" s="12">
        <f>E49</f>
        <v>-404.19278800000001</v>
      </c>
      <c r="J22" s="4">
        <f>E48</f>
        <v>-407.48606999999998</v>
      </c>
      <c r="T22" s="8" t="s">
        <v>28</v>
      </c>
      <c r="U22" s="9">
        <f>U7-U6</f>
        <v>-2.3032072695922921</v>
      </c>
    </row>
    <row r="23" spans="1:22" ht="14.7" thickBot="1" x14ac:dyDescent="0.6">
      <c r="A23" s="3" t="s">
        <v>5</v>
      </c>
      <c r="B23" s="32">
        <v>4</v>
      </c>
      <c r="C23" s="32">
        <v>40</v>
      </c>
      <c r="D23" s="32" t="s">
        <v>6</v>
      </c>
      <c r="E23" s="32">
        <v>-411.633073999999</v>
      </c>
      <c r="F23" s="4" t="str">
        <f t="shared" si="0"/>
        <v>Negative</v>
      </c>
      <c r="H23" s="16" t="s">
        <v>10</v>
      </c>
      <c r="I23" s="12">
        <f>E79</f>
        <v>-414.96102100000002</v>
      </c>
      <c r="J23" s="4">
        <f>E78</f>
        <v>-421.18398100000002</v>
      </c>
      <c r="T23" s="24" t="s">
        <v>29</v>
      </c>
      <c r="U23" s="25">
        <v>-407.7</v>
      </c>
      <c r="V23">
        <f>SUM(M54:N66)</f>
        <v>15.26765188834154</v>
      </c>
    </row>
    <row r="24" spans="1:22" x14ac:dyDescent="0.55000000000000004">
      <c r="A24" s="3" t="s">
        <v>5</v>
      </c>
      <c r="B24" s="32">
        <v>4</v>
      </c>
      <c r="C24" s="32">
        <v>50</v>
      </c>
      <c r="D24" s="32" t="s">
        <v>8</v>
      </c>
      <c r="E24" s="32">
        <v>-412.38958200000002</v>
      </c>
      <c r="F24" s="4" t="str">
        <f t="shared" si="0"/>
        <v>Positive</v>
      </c>
      <c r="H24" s="16" t="s">
        <v>11</v>
      </c>
      <c r="I24" s="12">
        <f>E109</f>
        <v>-418.05220600000001</v>
      </c>
      <c r="J24" s="4">
        <f>E108</f>
        <v>-421.29773499999902</v>
      </c>
    </row>
    <row r="25" spans="1:22" ht="14.7" thickBot="1" x14ac:dyDescent="0.6">
      <c r="A25" s="3" t="s">
        <v>5</v>
      </c>
      <c r="B25" s="32">
        <v>4</v>
      </c>
      <c r="C25" s="32">
        <v>50</v>
      </c>
      <c r="D25" s="32" t="s">
        <v>6</v>
      </c>
      <c r="E25" s="32">
        <v>-411.50027899999901</v>
      </c>
      <c r="F25" s="4" t="str">
        <f t="shared" si="0"/>
        <v>Negative</v>
      </c>
      <c r="H25" s="17" t="s">
        <v>12</v>
      </c>
      <c r="I25" s="13">
        <f>E139</f>
        <v>-419.52521400000001</v>
      </c>
      <c r="J25" s="6">
        <f>E138</f>
        <v>-415.583394</v>
      </c>
    </row>
    <row r="26" spans="1:22" ht="14.7" thickBot="1" x14ac:dyDescent="0.6">
      <c r="A26" s="3" t="s">
        <v>5</v>
      </c>
      <c r="B26" s="32">
        <v>5</v>
      </c>
      <c r="C26" s="32">
        <v>20</v>
      </c>
      <c r="D26" s="32" t="s">
        <v>8</v>
      </c>
      <c r="E26" s="32">
        <v>-414.104986</v>
      </c>
      <c r="F26" s="4" t="str">
        <f t="shared" si="0"/>
        <v>Positive</v>
      </c>
    </row>
    <row r="27" spans="1:22" ht="14.7" thickBot="1" x14ac:dyDescent="0.6">
      <c r="A27" s="3" t="s">
        <v>5</v>
      </c>
      <c r="B27" s="32">
        <v>5</v>
      </c>
      <c r="C27" s="32">
        <v>20</v>
      </c>
      <c r="D27" s="32" t="s">
        <v>6</v>
      </c>
      <c r="E27" s="32">
        <v>-395.53821221556802</v>
      </c>
      <c r="F27" s="4" t="str">
        <f t="shared" si="0"/>
        <v>Positive</v>
      </c>
      <c r="H27" s="14">
        <v>4</v>
      </c>
      <c r="I27" s="10" t="s">
        <v>6</v>
      </c>
      <c r="J27" s="9" t="s">
        <v>8</v>
      </c>
    </row>
    <row r="28" spans="1:22" x14ac:dyDescent="0.55000000000000004">
      <c r="A28" s="3" t="s">
        <v>5</v>
      </c>
      <c r="B28" s="32">
        <v>5</v>
      </c>
      <c r="C28" s="32">
        <v>40</v>
      </c>
      <c r="D28" s="32" t="s">
        <v>8</v>
      </c>
      <c r="E28" s="32">
        <v>-413.60368299999999</v>
      </c>
      <c r="F28" s="4" t="str">
        <f t="shared" si="0"/>
        <v>Positive</v>
      </c>
      <c r="H28" s="15" t="s">
        <v>5</v>
      </c>
      <c r="I28" s="11">
        <f>E25</f>
        <v>-411.50027899999901</v>
      </c>
      <c r="J28" s="7">
        <f>E24</f>
        <v>-412.38958200000002</v>
      </c>
    </row>
    <row r="29" spans="1:22" x14ac:dyDescent="0.55000000000000004">
      <c r="A29" s="3" t="s">
        <v>5</v>
      </c>
      <c r="B29" s="32">
        <v>5</v>
      </c>
      <c r="C29" s="32">
        <v>40</v>
      </c>
      <c r="D29" s="32" t="s">
        <v>6</v>
      </c>
      <c r="E29" s="32">
        <v>-395.03718227544903</v>
      </c>
      <c r="F29" s="4" t="str">
        <f t="shared" si="0"/>
        <v>Positive</v>
      </c>
      <c r="H29" s="16" t="s">
        <v>9</v>
      </c>
      <c r="I29" s="12">
        <f>E55</f>
        <v>-396.17139111776402</v>
      </c>
      <c r="J29" s="4">
        <f>E54</f>
        <v>-407.41758350100503</v>
      </c>
    </row>
    <row r="30" spans="1:22" x14ac:dyDescent="0.55000000000000004">
      <c r="A30" s="3" t="s">
        <v>5</v>
      </c>
      <c r="B30" s="32">
        <v>5</v>
      </c>
      <c r="C30" s="32">
        <v>50</v>
      </c>
      <c r="D30" s="32" t="s">
        <v>8</v>
      </c>
      <c r="E30" s="32">
        <v>-413.39908600000001</v>
      </c>
      <c r="F30" s="4" t="str">
        <f t="shared" si="0"/>
        <v>Positive</v>
      </c>
      <c r="H30" s="16" t="s">
        <v>10</v>
      </c>
      <c r="I30" s="12">
        <f>E85</f>
        <v>-419.16714400000001</v>
      </c>
      <c r="J30" s="4">
        <f>E84</f>
        <v>-420.73586799999998</v>
      </c>
    </row>
    <row r="31" spans="1:22" x14ac:dyDescent="0.55000000000000004">
      <c r="A31" s="3" t="s">
        <v>5</v>
      </c>
      <c r="B31" s="32">
        <v>5</v>
      </c>
      <c r="C31" s="32">
        <v>50</v>
      </c>
      <c r="D31" s="32" t="s">
        <v>6</v>
      </c>
      <c r="E31" s="32">
        <v>-394.819296047904</v>
      </c>
      <c r="F31" s="4" t="str">
        <f t="shared" si="0"/>
        <v>Positive</v>
      </c>
      <c r="H31" s="16" t="s">
        <v>11</v>
      </c>
      <c r="I31" s="12">
        <f>E115</f>
        <v>-405.56886600000001</v>
      </c>
      <c r="J31" s="4">
        <f>E114</f>
        <v>-416.371116999999</v>
      </c>
    </row>
    <row r="32" spans="1:22" ht="14.7" thickBot="1" x14ac:dyDescent="0.6">
      <c r="A32" s="3" t="s">
        <v>9</v>
      </c>
      <c r="B32" s="32">
        <v>1</v>
      </c>
      <c r="C32" s="32">
        <v>20</v>
      </c>
      <c r="D32" s="32" t="s">
        <v>8</v>
      </c>
      <c r="E32" s="32">
        <v>-412.17858199999898</v>
      </c>
      <c r="F32" s="4" t="str">
        <f t="shared" si="0"/>
        <v>Positive</v>
      </c>
      <c r="H32" s="17" t="s">
        <v>12</v>
      </c>
      <c r="I32" s="13">
        <f>E145</f>
        <v>-418.43720299999899</v>
      </c>
      <c r="J32" s="6">
        <f>E144</f>
        <v>-419.79411099999999</v>
      </c>
    </row>
    <row r="33" spans="1:10" ht="14.7" thickBot="1" x14ac:dyDescent="0.6">
      <c r="A33" s="3" t="s">
        <v>9</v>
      </c>
      <c r="B33" s="32">
        <v>1</v>
      </c>
      <c r="C33" s="32">
        <v>20</v>
      </c>
      <c r="D33" s="32" t="s">
        <v>6</v>
      </c>
      <c r="E33" s="32">
        <v>-419.12572599999999</v>
      </c>
      <c r="F33" s="4" t="str">
        <f t="shared" si="0"/>
        <v>Negative</v>
      </c>
    </row>
    <row r="34" spans="1:10" ht="14.7" thickBot="1" x14ac:dyDescent="0.6">
      <c r="A34" s="3" t="s">
        <v>9</v>
      </c>
      <c r="B34" s="32">
        <v>1</v>
      </c>
      <c r="C34" s="32">
        <v>40</v>
      </c>
      <c r="D34" s="32" t="s">
        <v>8</v>
      </c>
      <c r="E34" s="32">
        <v>-411.72718200000003</v>
      </c>
      <c r="F34" s="4" t="str">
        <f t="shared" si="0"/>
        <v>Positive</v>
      </c>
      <c r="H34" s="14">
        <v>5</v>
      </c>
      <c r="I34" s="10" t="s">
        <v>6</v>
      </c>
      <c r="J34" s="9" t="s">
        <v>8</v>
      </c>
    </row>
    <row r="35" spans="1:10" x14ac:dyDescent="0.55000000000000004">
      <c r="A35" s="3" t="s">
        <v>9</v>
      </c>
      <c r="B35" s="32">
        <v>1</v>
      </c>
      <c r="C35" s="32">
        <v>40</v>
      </c>
      <c r="D35" s="32" t="s">
        <v>6</v>
      </c>
      <c r="E35" s="32">
        <v>-418.61914799999897</v>
      </c>
      <c r="F35" s="4" t="str">
        <f t="shared" si="0"/>
        <v>Negative</v>
      </c>
      <c r="H35" s="15" t="s">
        <v>5</v>
      </c>
      <c r="I35" s="11">
        <f>E31</f>
        <v>-394.819296047904</v>
      </c>
      <c r="J35" s="7">
        <f>E30</f>
        <v>-413.39908600000001</v>
      </c>
    </row>
    <row r="36" spans="1:10" x14ac:dyDescent="0.55000000000000004">
      <c r="A36" s="3" t="s">
        <v>9</v>
      </c>
      <c r="B36" s="32">
        <v>1</v>
      </c>
      <c r="C36" s="32">
        <v>50</v>
      </c>
      <c r="D36" s="32" t="s">
        <v>8</v>
      </c>
      <c r="E36" s="32">
        <v>-411.47698599999899</v>
      </c>
      <c r="F36" s="4" t="str">
        <f t="shared" si="0"/>
        <v>Positive</v>
      </c>
      <c r="H36" s="16" t="s">
        <v>9</v>
      </c>
      <c r="I36" s="12">
        <f>E61</f>
        <v>-408.15661299999903</v>
      </c>
      <c r="J36" s="4">
        <f>E60</f>
        <v>-414.65309600000001</v>
      </c>
    </row>
    <row r="37" spans="1:10" x14ac:dyDescent="0.55000000000000004">
      <c r="A37" s="3" t="s">
        <v>9</v>
      </c>
      <c r="B37" s="32">
        <v>1</v>
      </c>
      <c r="C37" s="32">
        <v>50</v>
      </c>
      <c r="D37" s="32" t="s">
        <v>6</v>
      </c>
      <c r="E37" s="32">
        <v>-418.45319699999902</v>
      </c>
      <c r="F37" s="4" t="str">
        <f t="shared" si="0"/>
        <v>Negative</v>
      </c>
      <c r="H37" s="16" t="s">
        <v>10</v>
      </c>
      <c r="I37" s="12">
        <f>E91</f>
        <v>-419.62926700000003</v>
      </c>
      <c r="J37" s="4">
        <f>E90</f>
        <v>-420.29445399999901</v>
      </c>
    </row>
    <row r="38" spans="1:10" x14ac:dyDescent="0.55000000000000004">
      <c r="A38" s="3" t="s">
        <v>9</v>
      </c>
      <c r="B38" s="32">
        <v>2</v>
      </c>
      <c r="C38" s="32">
        <v>20</v>
      </c>
      <c r="D38" s="32" t="s">
        <v>8</v>
      </c>
      <c r="E38" s="32">
        <v>-405.84283199999999</v>
      </c>
      <c r="F38" s="4" t="str">
        <f t="shared" si="0"/>
        <v>Negative</v>
      </c>
      <c r="H38" s="16" t="s">
        <v>11</v>
      </c>
      <c r="I38" s="12">
        <f>E121</f>
        <v>-406.13552800000002</v>
      </c>
      <c r="J38" s="4">
        <f>E120</f>
        <v>-406.00706400000001</v>
      </c>
    </row>
    <row r="39" spans="1:10" ht="14.7" thickBot="1" x14ac:dyDescent="0.6">
      <c r="A39" s="3" t="s">
        <v>9</v>
      </c>
      <c r="B39" s="32">
        <v>2</v>
      </c>
      <c r="C39" s="32">
        <v>20</v>
      </c>
      <c r="D39" s="32" t="s">
        <v>6</v>
      </c>
      <c r="E39" s="32">
        <v>-415.25006300000001</v>
      </c>
      <c r="F39" s="4" t="str">
        <f t="shared" si="0"/>
        <v>Negative</v>
      </c>
      <c r="H39" s="17" t="s">
        <v>12</v>
      </c>
      <c r="I39" s="13">
        <f>E151</f>
        <v>-409.99116199999997</v>
      </c>
      <c r="J39" s="6">
        <f>E150</f>
        <v>-417.65571555555499</v>
      </c>
    </row>
    <row r="40" spans="1:10" x14ac:dyDescent="0.55000000000000004">
      <c r="A40" s="3" t="s">
        <v>9</v>
      </c>
      <c r="B40" s="32">
        <v>2</v>
      </c>
      <c r="C40" s="32">
        <v>40</v>
      </c>
      <c r="D40" s="32" t="s">
        <v>8</v>
      </c>
      <c r="E40" s="32">
        <v>-405.09318699999898</v>
      </c>
      <c r="F40" s="4" t="str">
        <f t="shared" si="0"/>
        <v>Negative</v>
      </c>
    </row>
    <row r="41" spans="1:10" x14ac:dyDescent="0.55000000000000004">
      <c r="A41" s="3" t="s">
        <v>9</v>
      </c>
      <c r="B41" s="32">
        <v>2</v>
      </c>
      <c r="C41" s="32">
        <v>40</v>
      </c>
      <c r="D41" s="32" t="s">
        <v>6</v>
      </c>
      <c r="E41" s="32">
        <v>-414.56993199999903</v>
      </c>
      <c r="F41" s="4" t="str">
        <f t="shared" si="0"/>
        <v>Negative</v>
      </c>
    </row>
    <row r="42" spans="1:10" x14ac:dyDescent="0.55000000000000004">
      <c r="A42" s="3" t="s">
        <v>9</v>
      </c>
      <c r="B42" s="32">
        <v>2</v>
      </c>
      <c r="C42" s="32">
        <v>50</v>
      </c>
      <c r="D42" s="32" t="s">
        <v>8</v>
      </c>
      <c r="E42" s="32">
        <v>-404.95466699999997</v>
      </c>
      <c r="F42" s="4" t="str">
        <f t="shared" si="0"/>
        <v>Negative</v>
      </c>
    </row>
    <row r="43" spans="1:10" x14ac:dyDescent="0.55000000000000004">
      <c r="A43" s="3" t="s">
        <v>9</v>
      </c>
      <c r="B43" s="32">
        <v>2</v>
      </c>
      <c r="C43" s="32">
        <v>50</v>
      </c>
      <c r="D43" s="32" t="s">
        <v>6</v>
      </c>
      <c r="E43" s="32">
        <v>-414.43664799999902</v>
      </c>
      <c r="F43" s="4" t="str">
        <f t="shared" si="0"/>
        <v>Negative</v>
      </c>
    </row>
    <row r="44" spans="1:10" x14ac:dyDescent="0.55000000000000004">
      <c r="A44" s="3" t="s">
        <v>9</v>
      </c>
      <c r="B44" s="32">
        <v>3</v>
      </c>
      <c r="C44" s="32">
        <v>20</v>
      </c>
      <c r="D44" s="32" t="s">
        <v>8</v>
      </c>
      <c r="E44" s="32">
        <v>-408.31250899999998</v>
      </c>
      <c r="F44" s="4" t="str">
        <f t="shared" si="0"/>
        <v>Positive</v>
      </c>
    </row>
    <row r="45" spans="1:10" x14ac:dyDescent="0.55000000000000004">
      <c r="A45" s="3" t="s">
        <v>9</v>
      </c>
      <c r="B45" s="32">
        <v>3</v>
      </c>
      <c r="C45" s="32">
        <v>20</v>
      </c>
      <c r="D45" s="32" t="s">
        <v>6</v>
      </c>
      <c r="E45" s="32">
        <v>-404.740951</v>
      </c>
      <c r="F45" s="4" t="str">
        <f t="shared" si="0"/>
        <v>Positive</v>
      </c>
    </row>
    <row r="46" spans="1:10" x14ac:dyDescent="0.55000000000000004">
      <c r="A46" s="3" t="s">
        <v>9</v>
      </c>
      <c r="B46" s="32">
        <v>3</v>
      </c>
      <c r="C46" s="32">
        <v>40</v>
      </c>
      <c r="D46" s="32" t="s">
        <v>8</v>
      </c>
      <c r="E46" s="32">
        <v>-407.79607700000003</v>
      </c>
      <c r="F46" s="4" t="str">
        <f t="shared" si="0"/>
        <v>Positive</v>
      </c>
    </row>
    <row r="47" spans="1:10" x14ac:dyDescent="0.55000000000000004">
      <c r="A47" s="3" t="s">
        <v>9</v>
      </c>
      <c r="B47" s="32">
        <v>3</v>
      </c>
      <c r="C47" s="32">
        <v>40</v>
      </c>
      <c r="D47" s="32" t="s">
        <v>6</v>
      </c>
      <c r="E47" s="32">
        <v>-404.36680000000001</v>
      </c>
      <c r="F47" s="4" t="str">
        <f t="shared" si="0"/>
        <v>Positive</v>
      </c>
    </row>
    <row r="48" spans="1:10" x14ac:dyDescent="0.55000000000000004">
      <c r="A48" s="3" t="s">
        <v>9</v>
      </c>
      <c r="B48" s="32">
        <v>3</v>
      </c>
      <c r="C48" s="32">
        <v>50</v>
      </c>
      <c r="D48" s="32" t="s">
        <v>8</v>
      </c>
      <c r="E48" s="32">
        <v>-407.48606999999998</v>
      </c>
      <c r="F48" s="4" t="str">
        <f t="shared" si="0"/>
        <v>Negative</v>
      </c>
    </row>
    <row r="49" spans="1:15" x14ac:dyDescent="0.55000000000000004">
      <c r="A49" s="3" t="s">
        <v>9</v>
      </c>
      <c r="B49" s="32">
        <v>3</v>
      </c>
      <c r="C49" s="32">
        <v>50</v>
      </c>
      <c r="D49" s="32" t="s">
        <v>6</v>
      </c>
      <c r="E49" s="32">
        <v>-404.19278800000001</v>
      </c>
      <c r="F49" s="4" t="str">
        <f t="shared" si="0"/>
        <v>Positive</v>
      </c>
      <c r="H49" t="s">
        <v>35</v>
      </c>
      <c r="I49">
        <f>COUNTIF(F:F,"Positive")</f>
        <v>85</v>
      </c>
      <c r="J49" t="s">
        <v>37</v>
      </c>
      <c r="K49">
        <f>MIN(E2:E151)</f>
        <v>-425.89338799999899</v>
      </c>
      <c r="L49">
        <f>K50 - K49</f>
        <v>31.074091952094989</v>
      </c>
    </row>
    <row r="50" spans="1:15" x14ac:dyDescent="0.55000000000000004">
      <c r="A50" s="3" t="s">
        <v>9</v>
      </c>
      <c r="B50" s="32">
        <v>4</v>
      </c>
      <c r="C50" s="32">
        <v>20</v>
      </c>
      <c r="D50" s="32" t="s">
        <v>8</v>
      </c>
      <c r="E50" s="32">
        <v>-408.51515392354099</v>
      </c>
      <c r="F50" s="4" t="str">
        <f t="shared" si="0"/>
        <v>Positive</v>
      </c>
      <c r="H50" t="s">
        <v>36</v>
      </c>
      <c r="I50">
        <f>COUNTIF(F:F,"Negative")</f>
        <v>65</v>
      </c>
      <c r="J50" t="s">
        <v>38</v>
      </c>
      <c r="K50">
        <f>MAX(E2:E151)</f>
        <v>-394.819296047904</v>
      </c>
      <c r="L50">
        <f>L49/11</f>
        <v>2.8249174501904535</v>
      </c>
    </row>
    <row r="51" spans="1:15" ht="14.7" thickBot="1" x14ac:dyDescent="0.6">
      <c r="A51" s="3" t="s">
        <v>9</v>
      </c>
      <c r="B51" s="32">
        <v>4</v>
      </c>
      <c r="C51" s="32">
        <v>20</v>
      </c>
      <c r="D51" s="32" t="s">
        <v>6</v>
      </c>
      <c r="E51" s="32">
        <v>-396.967131217565</v>
      </c>
      <c r="F51" s="4" t="str">
        <f t="shared" si="0"/>
        <v>Positive</v>
      </c>
    </row>
    <row r="52" spans="1:15" x14ac:dyDescent="0.55000000000000004">
      <c r="A52" s="3" t="s">
        <v>9</v>
      </c>
      <c r="B52" s="32">
        <v>4</v>
      </c>
      <c r="C52" s="32">
        <v>40</v>
      </c>
      <c r="D52" s="32" t="s">
        <v>8</v>
      </c>
      <c r="E52" s="32">
        <v>-407.572634808852</v>
      </c>
      <c r="F52" s="4" t="str">
        <f t="shared" si="0"/>
        <v>Negative</v>
      </c>
      <c r="H52" s="53" t="s">
        <v>39</v>
      </c>
      <c r="I52" s="48" t="s">
        <v>43</v>
      </c>
      <c r="J52" s="39"/>
      <c r="K52" s="48" t="s">
        <v>42</v>
      </c>
      <c r="L52" s="39"/>
      <c r="M52" s="45" t="s">
        <v>44</v>
      </c>
      <c r="N52" s="45" t="s">
        <v>45</v>
      </c>
      <c r="O52" s="46" t="s">
        <v>46</v>
      </c>
    </row>
    <row r="53" spans="1:15" ht="14.7" thickBot="1" x14ac:dyDescent="0.6">
      <c r="A53" s="3" t="s">
        <v>9</v>
      </c>
      <c r="B53" s="32">
        <v>4</v>
      </c>
      <c r="C53" s="32">
        <v>40</v>
      </c>
      <c r="D53" s="32" t="s">
        <v>6</v>
      </c>
      <c r="E53" s="32">
        <v>-396.32921347305398</v>
      </c>
      <c r="F53" s="4" t="str">
        <f t="shared" si="0"/>
        <v>Positive</v>
      </c>
      <c r="H53" s="54"/>
      <c r="I53" s="37" t="s">
        <v>40</v>
      </c>
      <c r="J53" s="49" t="s">
        <v>41</v>
      </c>
      <c r="K53" s="51" t="s">
        <v>33</v>
      </c>
      <c r="L53" s="52" t="s">
        <v>41</v>
      </c>
      <c r="M53" s="44"/>
      <c r="N53" s="44"/>
      <c r="O53" s="47"/>
    </row>
    <row r="54" spans="1:15" ht="14.7" thickBot="1" x14ac:dyDescent="0.6">
      <c r="A54" s="3" t="s">
        <v>9</v>
      </c>
      <c r="B54" s="32">
        <v>4</v>
      </c>
      <c r="C54" s="32">
        <v>50</v>
      </c>
      <c r="D54" s="32" t="s">
        <v>8</v>
      </c>
      <c r="E54" s="32">
        <v>-407.41758350100503</v>
      </c>
      <c r="F54" s="4" t="str">
        <f t="shared" si="0"/>
        <v>Negative</v>
      </c>
      <c r="H54" s="55"/>
      <c r="I54" s="40"/>
      <c r="J54" s="50"/>
      <c r="K54" s="11">
        <f>0</f>
        <v>0</v>
      </c>
      <c r="L54" s="38">
        <f>0</f>
        <v>0</v>
      </c>
      <c r="M54" s="11">
        <f>1-K54/$K$66</f>
        <v>1</v>
      </c>
      <c r="N54" s="38">
        <f>1-L54/$L$66</f>
        <v>1</v>
      </c>
      <c r="O54" s="7">
        <f>(M55-M56)*N55</f>
        <v>3.4482758620689613E-2</v>
      </c>
    </row>
    <row r="55" spans="1:15" x14ac:dyDescent="0.55000000000000004">
      <c r="A55" s="3" t="s">
        <v>9</v>
      </c>
      <c r="B55" s="32">
        <v>4</v>
      </c>
      <c r="C55" s="32">
        <v>50</v>
      </c>
      <c r="D55" s="32" t="s">
        <v>6</v>
      </c>
      <c r="E55" s="32">
        <v>-396.17139111776402</v>
      </c>
      <c r="F55" s="4" t="str">
        <f t="shared" si="0"/>
        <v>Positive</v>
      </c>
      <c r="G55" s="36"/>
      <c r="H55" s="41" t="s">
        <v>47</v>
      </c>
      <c r="I55" s="11">
        <f>COUNTIFS(E:E,"&gt;-403",F:F,"Positive",C:C,"20")</f>
        <v>2</v>
      </c>
      <c r="J55" s="38">
        <f>COUNTIFS(E:E,"&gt;-403",F:F,"Negative",C:C,"20")</f>
        <v>0</v>
      </c>
      <c r="K55" s="11">
        <f>SUM($I$55:I55)</f>
        <v>2</v>
      </c>
      <c r="L55" s="38">
        <f>SUM($J$55:J55)</f>
        <v>0</v>
      </c>
      <c r="M55" s="11">
        <f>1-K55/$K$66</f>
        <v>0.93103448275862066</v>
      </c>
      <c r="N55" s="38">
        <f>1-L55/$L$66</f>
        <v>1</v>
      </c>
      <c r="O55" s="4">
        <f t="shared" ref="O55:O66" si="1">(M56-M57)*N56</f>
        <v>3.4482758620689724E-2</v>
      </c>
    </row>
    <row r="56" spans="1:15" x14ac:dyDescent="0.55000000000000004">
      <c r="A56" s="3" t="s">
        <v>9</v>
      </c>
      <c r="B56" s="32">
        <v>5</v>
      </c>
      <c r="C56" s="32">
        <v>20</v>
      </c>
      <c r="D56" s="32" t="s">
        <v>8</v>
      </c>
      <c r="E56" s="32">
        <v>-415.89242899999903</v>
      </c>
      <c r="F56" s="4" t="str">
        <f t="shared" si="0"/>
        <v>Positive</v>
      </c>
      <c r="G56" s="36"/>
      <c r="H56" s="42" t="s">
        <v>48</v>
      </c>
      <c r="I56" s="12">
        <f>COUNTIFS(E:E,"&lt;=-403",E:E,"&gt;-405",F:F,"Positive",C:C,"20")</f>
        <v>1</v>
      </c>
      <c r="J56" s="32">
        <f>COUNTIFS(E:E,"&lt;=-403",E:E,"&gt;-405",F:F,"Negative",C:C,"20")</f>
        <v>0</v>
      </c>
      <c r="K56" s="11">
        <f>SUM($I$55:I56)</f>
        <v>3</v>
      </c>
      <c r="L56" s="38">
        <f>SUM($J$55:J56)</f>
        <v>0</v>
      </c>
      <c r="M56" s="11">
        <f>1-K56/$K$66</f>
        <v>0.89655172413793105</v>
      </c>
      <c r="N56" s="38">
        <f>1-L56/$L$66</f>
        <v>1</v>
      </c>
      <c r="O56" s="4">
        <f t="shared" si="1"/>
        <v>0.13136288998357959</v>
      </c>
    </row>
    <row r="57" spans="1:15" x14ac:dyDescent="0.55000000000000004">
      <c r="A57" s="3" t="s">
        <v>9</v>
      </c>
      <c r="B57" s="32">
        <v>5</v>
      </c>
      <c r="C57" s="32">
        <v>20</v>
      </c>
      <c r="D57" s="32" t="s">
        <v>6</v>
      </c>
      <c r="E57" s="32">
        <v>-409.07437900000002</v>
      </c>
      <c r="F57" s="4" t="str">
        <f t="shared" si="0"/>
        <v>Negative</v>
      </c>
      <c r="G57" s="36"/>
      <c r="H57" s="42" t="s">
        <v>49</v>
      </c>
      <c r="I57" s="12">
        <f>COUNTIFS(E:E,"&lt;=-405",E:E,"&gt;-407",F:F,"Positive",C:C,"20")</f>
        <v>1</v>
      </c>
      <c r="J57" s="32">
        <f>COUNTIFS(E:E,"&lt;=-405",E:E,"&gt;-407",F:F,"Negative",C:C,"20")</f>
        <v>1</v>
      </c>
      <c r="K57" s="11">
        <f>SUM($I$55:I57)</f>
        <v>4</v>
      </c>
      <c r="L57" s="38">
        <f>SUM($J$55:J57)</f>
        <v>1</v>
      </c>
      <c r="M57" s="11">
        <f>1-K57/$K$66</f>
        <v>0.86206896551724133</v>
      </c>
      <c r="N57" s="38">
        <f>1-L57/$L$66</f>
        <v>0.95238095238095233</v>
      </c>
      <c r="O57" s="4">
        <f>(M58-M60)*N58</f>
        <v>0.11822660098522163</v>
      </c>
    </row>
    <row r="58" spans="1:15" x14ac:dyDescent="0.55000000000000004">
      <c r="A58" s="3" t="s">
        <v>9</v>
      </c>
      <c r="B58" s="32">
        <v>5</v>
      </c>
      <c r="C58" s="32">
        <v>40</v>
      </c>
      <c r="D58" s="32" t="s">
        <v>8</v>
      </c>
      <c r="E58" s="32">
        <v>-414.89013699999902</v>
      </c>
      <c r="F58" s="4" t="str">
        <f t="shared" si="0"/>
        <v>Positive</v>
      </c>
      <c r="G58" s="36"/>
      <c r="H58" s="42" t="s">
        <v>50</v>
      </c>
      <c r="I58" s="12">
        <f>COUNTIFS(E:E,"&lt;=-407",E:E,"&gt;-409",F:F,"Positive",C:C,"20")</f>
        <v>4</v>
      </c>
      <c r="J58" s="32">
        <f>COUNTIFS(E:E,"&lt;=-407",E:E,"&gt;-409",F:F,"Negative",C:C,"20")</f>
        <v>2</v>
      </c>
      <c r="K58" s="11">
        <f>SUM($I$55:I58)</f>
        <v>8</v>
      </c>
      <c r="L58" s="38">
        <f>SUM($J$55:J58)</f>
        <v>3</v>
      </c>
      <c r="M58" s="11">
        <f>1-K58/$K$66</f>
        <v>0.72413793103448276</v>
      </c>
      <c r="N58" s="38">
        <f>1-L58/$L$66</f>
        <v>0.85714285714285721</v>
      </c>
      <c r="O58" s="4">
        <f>(M60-M61)*N60</f>
        <v>4.597701149425297E-2</v>
      </c>
    </row>
    <row r="59" spans="1:15" x14ac:dyDescent="0.55000000000000004">
      <c r="A59" s="3" t="s">
        <v>9</v>
      </c>
      <c r="B59" s="32">
        <v>5</v>
      </c>
      <c r="C59" s="32">
        <v>40</v>
      </c>
      <c r="D59" s="32" t="s">
        <v>6</v>
      </c>
      <c r="E59" s="32">
        <v>-408.43343399999998</v>
      </c>
      <c r="F59" s="4" t="str">
        <f t="shared" si="0"/>
        <v>Negative</v>
      </c>
      <c r="G59" s="36"/>
      <c r="H59" s="42" t="s">
        <v>58</v>
      </c>
      <c r="I59" s="12">
        <f>COUNTIFS(E:E,"&lt;=-409",E:E,"&gt;-411",F:F,"Positive",C:C,"20")</f>
        <v>2</v>
      </c>
      <c r="J59" s="32">
        <f>COUNTIFS(E:E,"&lt;=-409",E:E,"&gt;-411",F:F,"Negative",C:C,"20")</f>
        <v>2</v>
      </c>
      <c r="K59" s="11">
        <f>SUM($I$55:I59)</f>
        <v>10</v>
      </c>
      <c r="L59" s="38">
        <f>SUM($J$55:J59)</f>
        <v>5</v>
      </c>
      <c r="M59" s="11">
        <f>1-K59/$K$66</f>
        <v>0.65517241379310343</v>
      </c>
      <c r="N59" s="38">
        <f>1-L59/$L$66</f>
        <v>0.76190476190476186</v>
      </c>
      <c r="O59" s="4">
        <f>(M61-M62)*N61</f>
        <v>8.538587848932673E-2</v>
      </c>
    </row>
    <row r="60" spans="1:15" x14ac:dyDescent="0.55000000000000004">
      <c r="A60" s="3" t="s">
        <v>9</v>
      </c>
      <c r="B60" s="32">
        <v>5</v>
      </c>
      <c r="C60" s="32">
        <v>50</v>
      </c>
      <c r="D60" s="32" t="s">
        <v>8</v>
      </c>
      <c r="E60" s="32">
        <v>-414.65309600000001</v>
      </c>
      <c r="F60" s="4" t="str">
        <f t="shared" si="0"/>
        <v>Positive</v>
      </c>
      <c r="G60" s="36"/>
      <c r="H60" s="42" t="s">
        <v>51</v>
      </c>
      <c r="I60" s="12">
        <f>COUNTIFS(E:E,"&lt;=-411",E:E,"&gt;-413",F:F,"Positive",C:C,"20")</f>
        <v>2</v>
      </c>
      <c r="J60" s="32">
        <f>COUNTIFS(E:E,"&lt;=-411",E:E,"&gt;-413",F:F,"Negative",C:C,"20")</f>
        <v>2</v>
      </c>
      <c r="K60" s="11">
        <f>SUM($I$55:I60)</f>
        <v>12</v>
      </c>
      <c r="L60" s="38">
        <f>SUM($J$55:J60)</f>
        <v>7</v>
      </c>
      <c r="M60" s="11">
        <f>1-K60/$K$66</f>
        <v>0.5862068965517242</v>
      </c>
      <c r="N60" s="38">
        <f>1-L60/$L$66</f>
        <v>0.66666666666666674</v>
      </c>
      <c r="O60" s="4">
        <f t="shared" si="1"/>
        <v>8.538587848932673E-2</v>
      </c>
    </row>
    <row r="61" spans="1:15" x14ac:dyDescent="0.55000000000000004">
      <c r="A61" s="3" t="s">
        <v>9</v>
      </c>
      <c r="B61" s="32">
        <v>5</v>
      </c>
      <c r="C61" s="32">
        <v>50</v>
      </c>
      <c r="D61" s="32" t="s">
        <v>6</v>
      </c>
      <c r="E61" s="32">
        <v>-408.15661299999903</v>
      </c>
      <c r="F61" s="4" t="str">
        <f t="shared" si="0"/>
        <v>Negative</v>
      </c>
      <c r="G61" s="36"/>
      <c r="H61" s="42" t="s">
        <v>52</v>
      </c>
      <c r="I61" s="12">
        <f>COUNTIFS(E:E,"&lt;=-413",E:E,"&gt;-415",F:F,"Positive",C:C,"20")</f>
        <v>2</v>
      </c>
      <c r="J61" s="32">
        <f>COUNTIFS(E:E,"&lt;=-413",E:E,"&gt;-415",F:F,"Negative",C:C,"20")</f>
        <v>1</v>
      </c>
      <c r="K61" s="11">
        <f>SUM($I$55:I61)</f>
        <v>14</v>
      </c>
      <c r="L61" s="38">
        <f>SUM($J$55:J61)</f>
        <v>8</v>
      </c>
      <c r="M61" s="11">
        <f>1-K61/$K$66</f>
        <v>0.51724137931034475</v>
      </c>
      <c r="N61" s="38">
        <f>1-L61/$L$66</f>
        <v>0.61904761904761907</v>
      </c>
      <c r="O61" s="4">
        <f t="shared" si="1"/>
        <v>3.2840722495894918E-2</v>
      </c>
    </row>
    <row r="62" spans="1:15" x14ac:dyDescent="0.55000000000000004">
      <c r="A62" s="3" t="s">
        <v>13</v>
      </c>
      <c r="B62" s="32">
        <v>1</v>
      </c>
      <c r="C62" s="32">
        <v>20</v>
      </c>
      <c r="D62" s="32" t="s">
        <v>8</v>
      </c>
      <c r="E62" s="32">
        <v>-410.67274900000001</v>
      </c>
      <c r="F62" s="4" t="str">
        <f t="shared" si="0"/>
        <v>Positive</v>
      </c>
      <c r="G62" s="36"/>
      <c r="H62" s="42" t="s">
        <v>53</v>
      </c>
      <c r="I62" s="12">
        <f>COUNTIFS(E:E,"&lt;=-415",E:E,"&gt;-417",F:F,"Positive",C:C,"20")</f>
        <v>4</v>
      </c>
      <c r="J62" s="32">
        <f>COUNTIFS(E:E,"&lt;=-415",E:E,"&gt;-417",F:F,"Negative",C:C,"20")</f>
        <v>3</v>
      </c>
      <c r="K62" s="11">
        <f>SUM($I$55:I62)</f>
        <v>18</v>
      </c>
      <c r="L62" s="38">
        <f>SUM($J$55:J62)</f>
        <v>11</v>
      </c>
      <c r="M62" s="11">
        <f>1-K62/$K$66</f>
        <v>0.37931034482758619</v>
      </c>
      <c r="N62" s="38">
        <f>1-L62/$L$66</f>
        <v>0.47619047619047616</v>
      </c>
      <c r="O62" s="4">
        <f t="shared" si="1"/>
        <v>3.284072249589487E-2</v>
      </c>
    </row>
    <row r="63" spans="1:15" x14ac:dyDescent="0.55000000000000004">
      <c r="A63" s="3" t="s">
        <v>13</v>
      </c>
      <c r="B63" s="32">
        <v>1</v>
      </c>
      <c r="C63" s="32">
        <v>20</v>
      </c>
      <c r="D63" s="32" t="s">
        <v>6</v>
      </c>
      <c r="E63" s="32">
        <v>-407.56582500000002</v>
      </c>
      <c r="F63" s="4" t="str">
        <f t="shared" si="0"/>
        <v>Positive</v>
      </c>
      <c r="G63" s="36"/>
      <c r="H63" s="42" t="s">
        <v>54</v>
      </c>
      <c r="I63" s="12">
        <f>COUNTIFS(E:E,"&lt;=-417",E:E,"&gt;-419",F:F,"Positive",C:C,"20")</f>
        <v>2</v>
      </c>
      <c r="J63" s="32">
        <f>COUNTIFS(E:E,"&lt;=-417",E:E,"&gt;-419",F:F,"Negative",C:C,"20")</f>
        <v>0</v>
      </c>
      <c r="K63" s="11">
        <f>SUM($I$55:I63)</f>
        <v>20</v>
      </c>
      <c r="L63" s="38">
        <f>SUM($J$55:J63)</f>
        <v>11</v>
      </c>
      <c r="M63" s="11">
        <f>1-K63/$K$66</f>
        <v>0.31034482758620685</v>
      </c>
      <c r="N63" s="38">
        <f>1-L63/$L$66</f>
        <v>0.47619047619047616</v>
      </c>
      <c r="O63" s="4">
        <f t="shared" si="1"/>
        <v>2.4630541871921194E-2</v>
      </c>
    </row>
    <row r="64" spans="1:15" x14ac:dyDescent="0.55000000000000004">
      <c r="A64" s="3" t="s">
        <v>13</v>
      </c>
      <c r="B64" s="32">
        <v>1</v>
      </c>
      <c r="C64" s="32">
        <v>40</v>
      </c>
      <c r="D64" s="32" t="s">
        <v>8</v>
      </c>
      <c r="E64" s="32">
        <v>-409.771413</v>
      </c>
      <c r="F64" s="4" t="str">
        <f t="shared" si="0"/>
        <v>Positive</v>
      </c>
      <c r="G64" s="36"/>
      <c r="H64" s="42" t="s">
        <v>55</v>
      </c>
      <c r="I64" s="12">
        <f>COUNTIFS(E:E,"&lt;=-419",E:E,"&gt;-421",F:F,"Positive",C:C,"20")</f>
        <v>2</v>
      </c>
      <c r="J64" s="12">
        <f>COUNTIFS(E:E,"&lt;=-419",E:E,"&gt;-421",F:F,"Negative",C:C,"20")</f>
        <v>7</v>
      </c>
      <c r="K64" s="11">
        <f>SUM($I$55:I64)</f>
        <v>22</v>
      </c>
      <c r="L64" s="38">
        <f>SUM($J$55:J64)</f>
        <v>18</v>
      </c>
      <c r="M64" s="11">
        <f>1-K64/$K$66</f>
        <v>0.24137931034482762</v>
      </c>
      <c r="N64" s="38">
        <f>1-L64/$L$66</f>
        <v>0.1428571428571429</v>
      </c>
      <c r="O64" s="4">
        <f t="shared" si="1"/>
        <v>9.85221674876848E-3</v>
      </c>
    </row>
    <row r="65" spans="1:15" x14ac:dyDescent="0.55000000000000004">
      <c r="A65" s="3" t="s">
        <v>13</v>
      </c>
      <c r="B65" s="32">
        <v>1</v>
      </c>
      <c r="C65" s="32">
        <v>40</v>
      </c>
      <c r="D65" s="32" t="s">
        <v>6</v>
      </c>
      <c r="E65" s="32">
        <v>-406.76716299999998</v>
      </c>
      <c r="F65" s="4" t="str">
        <f t="shared" si="0"/>
        <v>Positive</v>
      </c>
      <c r="G65" s="36"/>
      <c r="H65" s="60" t="s">
        <v>56</v>
      </c>
      <c r="I65" s="61">
        <f>COUNTIFS(E:E,"&lt;=-421",E:E,"&gt;-423",F:F,"Positive",C:C,"20")</f>
        <v>5</v>
      </c>
      <c r="J65" s="61">
        <f>COUNTIFS(E:E,"&lt;=-421",E:E,"&gt;-423",F:F,"Negative",C:C,"20")</f>
        <v>0</v>
      </c>
      <c r="K65" s="62">
        <f>SUM($I$55:I65)</f>
        <v>27</v>
      </c>
      <c r="L65" s="63">
        <f>SUM($J$55:J65)</f>
        <v>18</v>
      </c>
      <c r="M65" s="62">
        <f>1-K65/$K$66</f>
        <v>6.8965517241379337E-2</v>
      </c>
      <c r="N65" s="63">
        <f>1-L65/$L$66</f>
        <v>0.1428571428571429</v>
      </c>
      <c r="O65" s="64">
        <f t="shared" si="1"/>
        <v>0</v>
      </c>
    </row>
    <row r="66" spans="1:15" ht="14.7" thickBot="1" x14ac:dyDescent="0.6">
      <c r="A66" s="3" t="s">
        <v>13</v>
      </c>
      <c r="B66" s="32">
        <v>1</v>
      </c>
      <c r="C66" s="32">
        <v>50</v>
      </c>
      <c r="D66" s="32" t="s">
        <v>8</v>
      </c>
      <c r="E66" s="32">
        <v>-409.57085599999999</v>
      </c>
      <c r="F66" s="4" t="str">
        <f t="shared" si="0"/>
        <v>Positive</v>
      </c>
      <c r="G66" s="36"/>
      <c r="H66" s="43" t="s">
        <v>57</v>
      </c>
      <c r="I66" s="13">
        <f>COUNTIFS(E:E,"&lt;=-423",F:F,"Positive",C:C,"20")</f>
        <v>2</v>
      </c>
      <c r="J66" s="13">
        <f>COUNTIFS(E:E,"&lt;-423",F:F,"Negative",C:C,"20")</f>
        <v>3</v>
      </c>
      <c r="K66" s="13">
        <f>SUM($I$55:I66)</f>
        <v>29</v>
      </c>
      <c r="L66" s="34">
        <f>SUM($J$55:J66)</f>
        <v>21</v>
      </c>
      <c r="M66" s="13">
        <f>1-K66/$K$66</f>
        <v>0</v>
      </c>
      <c r="N66" s="34">
        <f>1-L66/$L$66</f>
        <v>0</v>
      </c>
      <c r="O66" s="6">
        <f t="shared" si="1"/>
        <v>0</v>
      </c>
    </row>
    <row r="67" spans="1:15" x14ac:dyDescent="0.55000000000000004">
      <c r="A67" s="3" t="s">
        <v>13</v>
      </c>
      <c r="B67" s="32">
        <v>1</v>
      </c>
      <c r="C67" s="32">
        <v>50</v>
      </c>
      <c r="D67" s="32" t="s">
        <v>6</v>
      </c>
      <c r="E67" s="32">
        <v>-406.64960100000002</v>
      </c>
      <c r="F67" s="4" t="str">
        <f t="shared" ref="F67:F130" si="2">IF(D67="Far",IF(E67&lt;$U$23,"Positive","Negative"),IF(E67&gt;$U$23,"Positive","Negative"))</f>
        <v>Positive</v>
      </c>
      <c r="H67" s="65"/>
      <c r="I67" s="27"/>
      <c r="J67" s="27"/>
      <c r="K67" s="27"/>
      <c r="L67" s="27"/>
      <c r="M67" s="27"/>
      <c r="N67" s="27"/>
      <c r="O67" s="27"/>
    </row>
    <row r="68" spans="1:15" ht="14.7" thickBot="1" x14ac:dyDescent="0.6">
      <c r="A68" s="3" t="s">
        <v>13</v>
      </c>
      <c r="B68" s="32">
        <v>2</v>
      </c>
      <c r="C68" s="32">
        <v>20</v>
      </c>
      <c r="D68" s="32" t="s">
        <v>8</v>
      </c>
      <c r="E68" s="32">
        <v>-422.81209799999999</v>
      </c>
      <c r="F68" s="4" t="str">
        <f t="shared" si="2"/>
        <v>Positive</v>
      </c>
    </row>
    <row r="69" spans="1:15" x14ac:dyDescent="0.55000000000000004">
      <c r="A69" s="3" t="s">
        <v>13</v>
      </c>
      <c r="B69" s="32">
        <v>2</v>
      </c>
      <c r="C69" s="32">
        <v>20</v>
      </c>
      <c r="D69" s="32" t="s">
        <v>6</v>
      </c>
      <c r="E69" s="32">
        <v>-420.43545299999897</v>
      </c>
      <c r="F69" s="4" t="str">
        <f t="shared" si="2"/>
        <v>Negative</v>
      </c>
      <c r="L69" s="56">
        <v>0</v>
      </c>
      <c r="M69" s="57">
        <v>0</v>
      </c>
    </row>
    <row r="70" spans="1:15" ht="14.7" thickBot="1" x14ac:dyDescent="0.6">
      <c r="A70" s="3" t="s">
        <v>13</v>
      </c>
      <c r="B70" s="32">
        <v>2</v>
      </c>
      <c r="C70" s="32">
        <v>40</v>
      </c>
      <c r="D70" s="32" t="s">
        <v>8</v>
      </c>
      <c r="E70" s="32">
        <v>-422.35555099999902</v>
      </c>
      <c r="F70" s="4" t="str">
        <f t="shared" si="2"/>
        <v>Positive</v>
      </c>
      <c r="L70" s="58">
        <v>1</v>
      </c>
      <c r="M70" s="59">
        <v>1</v>
      </c>
    </row>
    <row r="71" spans="1:15" x14ac:dyDescent="0.55000000000000004">
      <c r="A71" s="3" t="s">
        <v>13</v>
      </c>
      <c r="B71" s="32">
        <v>2</v>
      </c>
      <c r="C71" s="32">
        <v>40</v>
      </c>
      <c r="D71" s="32" t="s">
        <v>6</v>
      </c>
      <c r="E71" s="32">
        <v>-420.59463199999902</v>
      </c>
      <c r="F71" s="4" t="str">
        <f t="shared" si="2"/>
        <v>Negative</v>
      </c>
    </row>
    <row r="72" spans="1:15" x14ac:dyDescent="0.55000000000000004">
      <c r="A72" s="3" t="s">
        <v>13</v>
      </c>
      <c r="B72" s="32">
        <v>2</v>
      </c>
      <c r="C72" s="32">
        <v>50</v>
      </c>
      <c r="D72" s="32" t="s">
        <v>8</v>
      </c>
      <c r="E72" s="32">
        <v>-422.18893999999898</v>
      </c>
      <c r="F72" s="4" t="str">
        <f t="shared" si="2"/>
        <v>Positive</v>
      </c>
    </row>
    <row r="73" spans="1:15" x14ac:dyDescent="0.55000000000000004">
      <c r="A73" s="3" t="s">
        <v>13</v>
      </c>
      <c r="B73" s="32">
        <v>2</v>
      </c>
      <c r="C73" s="32">
        <v>50</v>
      </c>
      <c r="D73" s="32" t="s">
        <v>6</v>
      </c>
      <c r="E73" s="32">
        <v>-420.01772099999903</v>
      </c>
      <c r="F73" s="4" t="str">
        <f t="shared" si="2"/>
        <v>Negative</v>
      </c>
    </row>
    <row r="74" spans="1:15" x14ac:dyDescent="0.55000000000000004">
      <c r="A74" s="3" t="s">
        <v>13</v>
      </c>
      <c r="B74" s="32">
        <v>3</v>
      </c>
      <c r="C74" s="32">
        <v>20</v>
      </c>
      <c r="D74" s="32" t="s">
        <v>8</v>
      </c>
      <c r="E74" s="32">
        <v>-422.84276699999998</v>
      </c>
      <c r="F74" s="4" t="str">
        <f t="shared" si="2"/>
        <v>Positive</v>
      </c>
      <c r="N74" s="66"/>
    </row>
    <row r="75" spans="1:15" x14ac:dyDescent="0.55000000000000004">
      <c r="A75" s="3" t="s">
        <v>13</v>
      </c>
      <c r="B75" s="32">
        <v>3</v>
      </c>
      <c r="C75" s="32">
        <v>20</v>
      </c>
      <c r="D75" s="32" t="s">
        <v>6</v>
      </c>
      <c r="E75" s="32">
        <v>-415.91119300000003</v>
      </c>
      <c r="F75" s="4" t="str">
        <f t="shared" si="2"/>
        <v>Negative</v>
      </c>
    </row>
    <row r="76" spans="1:15" x14ac:dyDescent="0.55000000000000004">
      <c r="A76" s="3" t="s">
        <v>13</v>
      </c>
      <c r="B76" s="32">
        <v>3</v>
      </c>
      <c r="C76" s="32">
        <v>40</v>
      </c>
      <c r="D76" s="32" t="s">
        <v>8</v>
      </c>
      <c r="E76" s="32">
        <v>-421.43637799999902</v>
      </c>
      <c r="F76" s="4" t="str">
        <f t="shared" si="2"/>
        <v>Positive</v>
      </c>
    </row>
    <row r="77" spans="1:15" x14ac:dyDescent="0.55000000000000004">
      <c r="A77" s="3" t="s">
        <v>13</v>
      </c>
      <c r="B77" s="32">
        <v>3</v>
      </c>
      <c r="C77" s="32">
        <v>40</v>
      </c>
      <c r="D77" s="32" t="s">
        <v>6</v>
      </c>
      <c r="E77" s="32">
        <v>-415.15921500000002</v>
      </c>
      <c r="F77" s="4" t="str">
        <f t="shared" si="2"/>
        <v>Negative</v>
      </c>
    </row>
    <row r="78" spans="1:15" x14ac:dyDescent="0.55000000000000004">
      <c r="A78" s="3" t="s">
        <v>13</v>
      </c>
      <c r="B78" s="32">
        <v>3</v>
      </c>
      <c r="C78" s="32">
        <v>50</v>
      </c>
      <c r="D78" s="32" t="s">
        <v>8</v>
      </c>
      <c r="E78" s="32">
        <v>-421.18398100000002</v>
      </c>
      <c r="F78" s="4" t="str">
        <f t="shared" si="2"/>
        <v>Positive</v>
      </c>
    </row>
    <row r="79" spans="1:15" x14ac:dyDescent="0.55000000000000004">
      <c r="A79" s="3" t="s">
        <v>13</v>
      </c>
      <c r="B79" s="32">
        <v>3</v>
      </c>
      <c r="C79" s="32">
        <v>50</v>
      </c>
      <c r="D79" s="32" t="s">
        <v>6</v>
      </c>
      <c r="E79" s="32">
        <v>-414.96102100000002</v>
      </c>
      <c r="F79" s="4" t="str">
        <f t="shared" si="2"/>
        <v>Negative</v>
      </c>
    </row>
    <row r="80" spans="1:15" x14ac:dyDescent="0.55000000000000004">
      <c r="A80" s="3" t="s">
        <v>13</v>
      </c>
      <c r="B80" s="32">
        <v>4</v>
      </c>
      <c r="C80" s="32">
        <v>20</v>
      </c>
      <c r="D80" s="32" t="s">
        <v>8</v>
      </c>
      <c r="E80" s="32">
        <v>-422.29122799999999</v>
      </c>
      <c r="F80" s="4" t="str">
        <f t="shared" si="2"/>
        <v>Positive</v>
      </c>
    </row>
    <row r="81" spans="1:6" x14ac:dyDescent="0.55000000000000004">
      <c r="A81" s="3" t="s">
        <v>13</v>
      </c>
      <c r="B81" s="32">
        <v>4</v>
      </c>
      <c r="C81" s="32">
        <v>20</v>
      </c>
      <c r="D81" s="32" t="s">
        <v>6</v>
      </c>
      <c r="E81" s="32">
        <v>-419.96551199999902</v>
      </c>
      <c r="F81" s="4" t="str">
        <f t="shared" si="2"/>
        <v>Negative</v>
      </c>
    </row>
    <row r="82" spans="1:6" x14ac:dyDescent="0.55000000000000004">
      <c r="A82" s="3" t="s">
        <v>13</v>
      </c>
      <c r="B82" s="32">
        <v>4</v>
      </c>
      <c r="C82" s="32">
        <v>40</v>
      </c>
      <c r="D82" s="32" t="s">
        <v>8</v>
      </c>
      <c r="E82" s="32">
        <v>-421.29346500000003</v>
      </c>
      <c r="F82" s="4" t="str">
        <f t="shared" si="2"/>
        <v>Positive</v>
      </c>
    </row>
    <row r="83" spans="1:6" x14ac:dyDescent="0.55000000000000004">
      <c r="A83" s="3" t="s">
        <v>13</v>
      </c>
      <c r="B83" s="32">
        <v>4</v>
      </c>
      <c r="C83" s="32">
        <v>40</v>
      </c>
      <c r="D83" s="32" t="s">
        <v>6</v>
      </c>
      <c r="E83" s="32">
        <v>-419.35160100000002</v>
      </c>
      <c r="F83" s="4" t="str">
        <f t="shared" si="2"/>
        <v>Negative</v>
      </c>
    </row>
    <row r="84" spans="1:6" x14ac:dyDescent="0.55000000000000004">
      <c r="A84" s="3" t="s">
        <v>13</v>
      </c>
      <c r="B84" s="32">
        <v>4</v>
      </c>
      <c r="C84" s="32">
        <v>50</v>
      </c>
      <c r="D84" s="32" t="s">
        <v>8</v>
      </c>
      <c r="E84" s="32">
        <v>-420.73586799999998</v>
      </c>
      <c r="F84" s="4" t="str">
        <f t="shared" si="2"/>
        <v>Positive</v>
      </c>
    </row>
    <row r="85" spans="1:6" x14ac:dyDescent="0.55000000000000004">
      <c r="A85" s="3" t="s">
        <v>13</v>
      </c>
      <c r="B85" s="32">
        <v>4</v>
      </c>
      <c r="C85" s="32">
        <v>50</v>
      </c>
      <c r="D85" s="32" t="s">
        <v>6</v>
      </c>
      <c r="E85" s="32">
        <v>-419.16714400000001</v>
      </c>
      <c r="F85" s="4" t="str">
        <f t="shared" si="2"/>
        <v>Negative</v>
      </c>
    </row>
    <row r="86" spans="1:6" x14ac:dyDescent="0.55000000000000004">
      <c r="A86" s="3" t="s">
        <v>13</v>
      </c>
      <c r="B86" s="32">
        <v>5</v>
      </c>
      <c r="C86" s="32">
        <v>20</v>
      </c>
      <c r="D86" s="32" t="s">
        <v>8</v>
      </c>
      <c r="E86" s="32">
        <v>-422.165154999999</v>
      </c>
      <c r="F86" s="4" t="str">
        <f t="shared" si="2"/>
        <v>Positive</v>
      </c>
    </row>
    <row r="87" spans="1:6" x14ac:dyDescent="0.55000000000000004">
      <c r="A87" s="3" t="s">
        <v>13</v>
      </c>
      <c r="B87" s="32">
        <v>5</v>
      </c>
      <c r="C87" s="32">
        <v>20</v>
      </c>
      <c r="D87" s="32" t="s">
        <v>6</v>
      </c>
      <c r="E87" s="32">
        <v>-420.9948</v>
      </c>
      <c r="F87" s="4" t="str">
        <f t="shared" si="2"/>
        <v>Negative</v>
      </c>
    </row>
    <row r="88" spans="1:6" x14ac:dyDescent="0.55000000000000004">
      <c r="A88" s="3" t="s">
        <v>13</v>
      </c>
      <c r="B88" s="32">
        <v>5</v>
      </c>
      <c r="C88" s="32">
        <v>40</v>
      </c>
      <c r="D88" s="32" t="s">
        <v>8</v>
      </c>
      <c r="E88" s="32">
        <v>-420.43174699999901</v>
      </c>
      <c r="F88" s="4" t="str">
        <f t="shared" si="2"/>
        <v>Positive</v>
      </c>
    </row>
    <row r="89" spans="1:6" x14ac:dyDescent="0.55000000000000004">
      <c r="A89" s="3" t="s">
        <v>13</v>
      </c>
      <c r="B89" s="32">
        <v>5</v>
      </c>
      <c r="C89" s="32">
        <v>40</v>
      </c>
      <c r="D89" s="32" t="s">
        <v>6</v>
      </c>
      <c r="E89" s="32">
        <v>-419.843842</v>
      </c>
      <c r="F89" s="4" t="str">
        <f t="shared" si="2"/>
        <v>Negative</v>
      </c>
    </row>
    <row r="90" spans="1:6" x14ac:dyDescent="0.55000000000000004">
      <c r="A90" s="3" t="s">
        <v>13</v>
      </c>
      <c r="B90" s="32">
        <v>5</v>
      </c>
      <c r="C90" s="32">
        <v>50</v>
      </c>
      <c r="D90" s="32" t="s">
        <v>8</v>
      </c>
      <c r="E90" s="32">
        <v>-420.29445399999901</v>
      </c>
      <c r="F90" s="4" t="str">
        <f t="shared" si="2"/>
        <v>Positive</v>
      </c>
    </row>
    <row r="91" spans="1:6" x14ac:dyDescent="0.55000000000000004">
      <c r="A91" s="3" t="s">
        <v>13</v>
      </c>
      <c r="B91" s="32">
        <v>5</v>
      </c>
      <c r="C91" s="32">
        <v>50</v>
      </c>
      <c r="D91" s="32" t="s">
        <v>6</v>
      </c>
      <c r="E91" s="32">
        <v>-419.62926700000003</v>
      </c>
      <c r="F91" s="4" t="str">
        <f t="shared" si="2"/>
        <v>Negative</v>
      </c>
    </row>
    <row r="92" spans="1:6" x14ac:dyDescent="0.55000000000000004">
      <c r="A92" s="3" t="s">
        <v>11</v>
      </c>
      <c r="B92" s="32">
        <v>1</v>
      </c>
      <c r="C92" s="32">
        <v>20</v>
      </c>
      <c r="D92" s="32" t="s">
        <v>8</v>
      </c>
      <c r="E92" s="32">
        <v>-420.75463399999899</v>
      </c>
      <c r="F92" s="4" t="str">
        <f t="shared" si="2"/>
        <v>Positive</v>
      </c>
    </row>
    <row r="93" spans="1:6" x14ac:dyDescent="0.55000000000000004">
      <c r="A93" s="3" t="s">
        <v>11</v>
      </c>
      <c r="B93" s="32">
        <v>1</v>
      </c>
      <c r="C93" s="32">
        <v>20</v>
      </c>
      <c r="D93" s="32" t="s">
        <v>6</v>
      </c>
      <c r="E93" s="32">
        <v>-425.12276800000001</v>
      </c>
      <c r="F93" s="4" t="str">
        <f t="shared" si="2"/>
        <v>Negative</v>
      </c>
    </row>
    <row r="94" spans="1:6" x14ac:dyDescent="0.55000000000000004">
      <c r="A94" s="3" t="s">
        <v>11</v>
      </c>
      <c r="B94" s="32">
        <v>1</v>
      </c>
      <c r="C94" s="32">
        <v>40</v>
      </c>
      <c r="D94" s="32" t="s">
        <v>8</v>
      </c>
      <c r="E94" s="32">
        <v>-419.226676</v>
      </c>
      <c r="F94" s="4" t="str">
        <f t="shared" si="2"/>
        <v>Positive</v>
      </c>
    </row>
    <row r="95" spans="1:6" x14ac:dyDescent="0.55000000000000004">
      <c r="A95" s="3" t="s">
        <v>11</v>
      </c>
      <c r="B95" s="32">
        <v>1</v>
      </c>
      <c r="C95" s="32">
        <v>40</v>
      </c>
      <c r="D95" s="32" t="s">
        <v>6</v>
      </c>
      <c r="E95" s="32">
        <v>-424.60326999999899</v>
      </c>
      <c r="F95" s="4" t="str">
        <f t="shared" si="2"/>
        <v>Negative</v>
      </c>
    </row>
    <row r="96" spans="1:6" x14ac:dyDescent="0.55000000000000004">
      <c r="A96" s="3" t="s">
        <v>11</v>
      </c>
      <c r="B96" s="32">
        <v>1</v>
      </c>
      <c r="C96" s="32">
        <v>50</v>
      </c>
      <c r="D96" s="32" t="s">
        <v>8</v>
      </c>
      <c r="E96" s="32">
        <v>-419.16707400000001</v>
      </c>
      <c r="F96" s="4" t="str">
        <f t="shared" si="2"/>
        <v>Positive</v>
      </c>
    </row>
    <row r="97" spans="1:6" x14ac:dyDescent="0.55000000000000004">
      <c r="A97" s="3" t="s">
        <v>11</v>
      </c>
      <c r="B97" s="32">
        <v>1</v>
      </c>
      <c r="C97" s="32">
        <v>50</v>
      </c>
      <c r="D97" s="32" t="s">
        <v>6</v>
      </c>
      <c r="E97" s="32">
        <v>-424.45169299999901</v>
      </c>
      <c r="F97" s="4" t="str">
        <f t="shared" si="2"/>
        <v>Negative</v>
      </c>
    </row>
    <row r="98" spans="1:6" x14ac:dyDescent="0.55000000000000004">
      <c r="A98" s="3" t="s">
        <v>11</v>
      </c>
      <c r="B98" s="32">
        <v>2</v>
      </c>
      <c r="C98" s="32">
        <v>20</v>
      </c>
      <c r="D98" s="32" t="s">
        <v>8</v>
      </c>
      <c r="E98" s="32">
        <v>-410.05803100000003</v>
      </c>
      <c r="F98" s="4" t="str">
        <f t="shared" si="2"/>
        <v>Positive</v>
      </c>
    </row>
    <row r="99" spans="1:6" x14ac:dyDescent="0.55000000000000004">
      <c r="A99" s="3" t="s">
        <v>11</v>
      </c>
      <c r="B99" s="32">
        <v>2</v>
      </c>
      <c r="C99" s="32">
        <v>20</v>
      </c>
      <c r="D99" s="32" t="s">
        <v>6</v>
      </c>
      <c r="E99" s="32">
        <v>-416.27615899999898</v>
      </c>
      <c r="F99" s="4" t="str">
        <f t="shared" si="2"/>
        <v>Negative</v>
      </c>
    </row>
    <row r="100" spans="1:6" x14ac:dyDescent="0.55000000000000004">
      <c r="A100" s="3" t="s">
        <v>11</v>
      </c>
      <c r="B100" s="32">
        <v>2</v>
      </c>
      <c r="C100" s="32">
        <v>40</v>
      </c>
      <c r="D100" s="32" t="s">
        <v>8</v>
      </c>
      <c r="E100" s="32">
        <v>-409.29817400000002</v>
      </c>
      <c r="F100" s="4" t="str">
        <f t="shared" si="2"/>
        <v>Positive</v>
      </c>
    </row>
    <row r="101" spans="1:6" x14ac:dyDescent="0.55000000000000004">
      <c r="A101" s="3" t="s">
        <v>11</v>
      </c>
      <c r="B101" s="32">
        <v>2</v>
      </c>
      <c r="C101" s="32">
        <v>40</v>
      </c>
      <c r="D101" s="32" t="s">
        <v>6</v>
      </c>
      <c r="E101" s="32">
        <v>-415.70050099999997</v>
      </c>
      <c r="F101" s="4" t="str">
        <f t="shared" si="2"/>
        <v>Negative</v>
      </c>
    </row>
    <row r="102" spans="1:6" x14ac:dyDescent="0.55000000000000004">
      <c r="A102" s="3" t="s">
        <v>11</v>
      </c>
      <c r="B102" s="32">
        <v>2</v>
      </c>
      <c r="C102" s="32">
        <v>50</v>
      </c>
      <c r="D102" s="32" t="s">
        <v>8</v>
      </c>
      <c r="E102" s="32">
        <v>-408.87715500000002</v>
      </c>
      <c r="F102" s="4" t="str">
        <f t="shared" si="2"/>
        <v>Positive</v>
      </c>
    </row>
    <row r="103" spans="1:6" x14ac:dyDescent="0.55000000000000004">
      <c r="A103" s="3" t="s">
        <v>11</v>
      </c>
      <c r="B103" s="32">
        <v>2</v>
      </c>
      <c r="C103" s="32">
        <v>50</v>
      </c>
      <c r="D103" s="32" t="s">
        <v>6</v>
      </c>
      <c r="E103" s="32">
        <v>-415.51702199999897</v>
      </c>
      <c r="F103" s="4" t="str">
        <f t="shared" si="2"/>
        <v>Negative</v>
      </c>
    </row>
    <row r="104" spans="1:6" x14ac:dyDescent="0.55000000000000004">
      <c r="A104" s="3" t="s">
        <v>11</v>
      </c>
      <c r="B104" s="32">
        <v>3</v>
      </c>
      <c r="C104" s="32">
        <v>20</v>
      </c>
      <c r="D104" s="32" t="s">
        <v>8</v>
      </c>
      <c r="E104" s="32">
        <v>-422.56145299999997</v>
      </c>
      <c r="F104" s="4" t="str">
        <f t="shared" si="2"/>
        <v>Positive</v>
      </c>
    </row>
    <row r="105" spans="1:6" x14ac:dyDescent="0.55000000000000004">
      <c r="A105" s="3" t="s">
        <v>11</v>
      </c>
      <c r="B105" s="32">
        <v>3</v>
      </c>
      <c r="C105" s="32">
        <v>20</v>
      </c>
      <c r="D105" s="32" t="s">
        <v>6</v>
      </c>
      <c r="E105" s="32">
        <v>-419.002397999999</v>
      </c>
      <c r="F105" s="4" t="str">
        <f t="shared" si="2"/>
        <v>Negative</v>
      </c>
    </row>
    <row r="106" spans="1:6" x14ac:dyDescent="0.55000000000000004">
      <c r="A106" s="3" t="s">
        <v>11</v>
      </c>
      <c r="B106" s="32">
        <v>3</v>
      </c>
      <c r="C106" s="32">
        <v>40</v>
      </c>
      <c r="D106" s="32" t="s">
        <v>8</v>
      </c>
      <c r="E106" s="32">
        <v>-421.517438999999</v>
      </c>
      <c r="F106" s="4" t="str">
        <f t="shared" si="2"/>
        <v>Positive</v>
      </c>
    </row>
    <row r="107" spans="1:6" x14ac:dyDescent="0.55000000000000004">
      <c r="A107" s="3" t="s">
        <v>11</v>
      </c>
      <c r="B107" s="32">
        <v>3</v>
      </c>
      <c r="C107" s="32">
        <v>40</v>
      </c>
      <c r="D107" s="32" t="s">
        <v>6</v>
      </c>
      <c r="E107" s="32">
        <v>-418.22338000000002</v>
      </c>
      <c r="F107" s="4" t="str">
        <f t="shared" si="2"/>
        <v>Negative</v>
      </c>
    </row>
    <row r="108" spans="1:6" x14ac:dyDescent="0.55000000000000004">
      <c r="A108" s="3" t="s">
        <v>11</v>
      </c>
      <c r="B108" s="32">
        <v>3</v>
      </c>
      <c r="C108" s="32">
        <v>50</v>
      </c>
      <c r="D108" s="32" t="s">
        <v>8</v>
      </c>
      <c r="E108" s="32">
        <v>-421.29773499999902</v>
      </c>
      <c r="F108" s="4" t="str">
        <f t="shared" si="2"/>
        <v>Positive</v>
      </c>
    </row>
    <row r="109" spans="1:6" x14ac:dyDescent="0.55000000000000004">
      <c r="A109" s="3" t="s">
        <v>11</v>
      </c>
      <c r="B109" s="32">
        <v>3</v>
      </c>
      <c r="C109" s="32">
        <v>50</v>
      </c>
      <c r="D109" s="32" t="s">
        <v>6</v>
      </c>
      <c r="E109" s="32">
        <v>-418.05220600000001</v>
      </c>
      <c r="F109" s="4" t="str">
        <f t="shared" si="2"/>
        <v>Negative</v>
      </c>
    </row>
    <row r="110" spans="1:6" x14ac:dyDescent="0.55000000000000004">
      <c r="A110" s="3" t="s">
        <v>11</v>
      </c>
      <c r="B110" s="32">
        <v>4</v>
      </c>
      <c r="C110" s="32">
        <v>20</v>
      </c>
      <c r="D110" s="32" t="s">
        <v>8</v>
      </c>
      <c r="E110" s="32">
        <v>-416.92977299999899</v>
      </c>
      <c r="F110" s="4" t="str">
        <f t="shared" si="2"/>
        <v>Positive</v>
      </c>
    </row>
    <row r="111" spans="1:6" x14ac:dyDescent="0.55000000000000004">
      <c r="A111" s="3" t="s">
        <v>11</v>
      </c>
      <c r="B111" s="32">
        <v>4</v>
      </c>
      <c r="C111" s="32">
        <v>20</v>
      </c>
      <c r="D111" s="32" t="s">
        <v>6</v>
      </c>
      <c r="E111" s="32">
        <v>-406.27683499999898</v>
      </c>
      <c r="F111" s="4" t="str">
        <f t="shared" si="2"/>
        <v>Positive</v>
      </c>
    </row>
    <row r="112" spans="1:6" x14ac:dyDescent="0.55000000000000004">
      <c r="A112" s="3" t="s">
        <v>11</v>
      </c>
      <c r="B112" s="32">
        <v>4</v>
      </c>
      <c r="C112" s="32">
        <v>40</v>
      </c>
      <c r="D112" s="32" t="s">
        <v>8</v>
      </c>
      <c r="E112" s="32">
        <v>-416.49412499999897</v>
      </c>
      <c r="F112" s="4" t="str">
        <f t="shared" si="2"/>
        <v>Positive</v>
      </c>
    </row>
    <row r="113" spans="1:6" x14ac:dyDescent="0.55000000000000004">
      <c r="A113" s="3" t="s">
        <v>11</v>
      </c>
      <c r="B113" s="32">
        <v>4</v>
      </c>
      <c r="C113" s="32">
        <v>40</v>
      </c>
      <c r="D113" s="32" t="s">
        <v>6</v>
      </c>
      <c r="E113" s="32">
        <v>-405.73248000000001</v>
      </c>
      <c r="F113" s="4" t="str">
        <f t="shared" si="2"/>
        <v>Positive</v>
      </c>
    </row>
    <row r="114" spans="1:6" x14ac:dyDescent="0.55000000000000004">
      <c r="A114" s="3" t="s">
        <v>11</v>
      </c>
      <c r="B114" s="32">
        <v>4</v>
      </c>
      <c r="C114" s="32">
        <v>50</v>
      </c>
      <c r="D114" s="32" t="s">
        <v>8</v>
      </c>
      <c r="E114" s="32">
        <v>-416.371116999999</v>
      </c>
      <c r="F114" s="4" t="str">
        <f t="shared" si="2"/>
        <v>Positive</v>
      </c>
    </row>
    <row r="115" spans="1:6" x14ac:dyDescent="0.55000000000000004">
      <c r="A115" s="3" t="s">
        <v>11</v>
      </c>
      <c r="B115" s="32">
        <v>4</v>
      </c>
      <c r="C115" s="32">
        <v>50</v>
      </c>
      <c r="D115" s="32" t="s">
        <v>6</v>
      </c>
      <c r="E115" s="32">
        <v>-405.56886600000001</v>
      </c>
      <c r="F115" s="4" t="str">
        <f t="shared" si="2"/>
        <v>Positive</v>
      </c>
    </row>
    <row r="116" spans="1:6" x14ac:dyDescent="0.55000000000000004">
      <c r="A116" s="3" t="s">
        <v>11</v>
      </c>
      <c r="B116" s="32">
        <v>5</v>
      </c>
      <c r="C116" s="32">
        <v>20</v>
      </c>
      <c r="D116" s="32" t="s">
        <v>8</v>
      </c>
      <c r="E116" s="32">
        <v>-407.114633999999</v>
      </c>
      <c r="F116" s="4" t="str">
        <f t="shared" si="2"/>
        <v>Negative</v>
      </c>
    </row>
    <row r="117" spans="1:6" x14ac:dyDescent="0.55000000000000004">
      <c r="A117" s="3" t="s">
        <v>11</v>
      </c>
      <c r="B117" s="32">
        <v>5</v>
      </c>
      <c r="C117" s="32">
        <v>20</v>
      </c>
      <c r="D117" s="32" t="s">
        <v>6</v>
      </c>
      <c r="E117" s="32">
        <v>-407.05493599999897</v>
      </c>
      <c r="F117" s="4" t="str">
        <f t="shared" si="2"/>
        <v>Positive</v>
      </c>
    </row>
    <row r="118" spans="1:6" x14ac:dyDescent="0.55000000000000004">
      <c r="A118" s="3" t="s">
        <v>11</v>
      </c>
      <c r="B118" s="32">
        <v>5</v>
      </c>
      <c r="C118" s="32">
        <v>40</v>
      </c>
      <c r="D118" s="32" t="s">
        <v>8</v>
      </c>
      <c r="E118" s="32">
        <v>-406.25314499999899</v>
      </c>
      <c r="F118" s="4" t="str">
        <f t="shared" si="2"/>
        <v>Negative</v>
      </c>
    </row>
    <row r="119" spans="1:6" x14ac:dyDescent="0.55000000000000004">
      <c r="A119" s="3" t="s">
        <v>11</v>
      </c>
      <c r="B119" s="32">
        <v>5</v>
      </c>
      <c r="C119" s="32">
        <v>40</v>
      </c>
      <c r="D119" s="32" t="s">
        <v>6</v>
      </c>
      <c r="E119" s="32">
        <v>-406.38059299999998</v>
      </c>
      <c r="F119" s="4" t="str">
        <f t="shared" si="2"/>
        <v>Positive</v>
      </c>
    </row>
    <row r="120" spans="1:6" x14ac:dyDescent="0.55000000000000004">
      <c r="A120" s="3" t="s">
        <v>11</v>
      </c>
      <c r="B120" s="32">
        <v>5</v>
      </c>
      <c r="C120" s="32">
        <v>50</v>
      </c>
      <c r="D120" s="32" t="s">
        <v>8</v>
      </c>
      <c r="E120" s="32">
        <v>-406.00706400000001</v>
      </c>
      <c r="F120" s="4" t="str">
        <f t="shared" si="2"/>
        <v>Negative</v>
      </c>
    </row>
    <row r="121" spans="1:6" x14ac:dyDescent="0.55000000000000004">
      <c r="A121" s="3" t="s">
        <v>11</v>
      </c>
      <c r="B121" s="32">
        <v>5</v>
      </c>
      <c r="C121" s="32">
        <v>50</v>
      </c>
      <c r="D121" s="32" t="s">
        <v>6</v>
      </c>
      <c r="E121" s="32">
        <v>-406.13552800000002</v>
      </c>
      <c r="F121" s="4" t="str">
        <f t="shared" si="2"/>
        <v>Positive</v>
      </c>
    </row>
    <row r="122" spans="1:6" x14ac:dyDescent="0.55000000000000004">
      <c r="A122" s="3" t="s">
        <v>12</v>
      </c>
      <c r="B122" s="32">
        <v>1</v>
      </c>
      <c r="C122" s="32">
        <v>20</v>
      </c>
      <c r="D122" s="32" t="s">
        <v>8</v>
      </c>
      <c r="E122" s="32">
        <v>-425.28542399999901</v>
      </c>
      <c r="F122" s="4" t="str">
        <f t="shared" si="2"/>
        <v>Positive</v>
      </c>
    </row>
    <row r="123" spans="1:6" x14ac:dyDescent="0.55000000000000004">
      <c r="A123" s="3" t="s">
        <v>12</v>
      </c>
      <c r="B123" s="32">
        <v>1</v>
      </c>
      <c r="C123" s="32">
        <v>20</v>
      </c>
      <c r="D123" s="32" t="s">
        <v>6</v>
      </c>
      <c r="E123" s="32">
        <v>-424.47572499999899</v>
      </c>
      <c r="F123" s="4" t="str">
        <f t="shared" si="2"/>
        <v>Negative</v>
      </c>
    </row>
    <row r="124" spans="1:6" x14ac:dyDescent="0.55000000000000004">
      <c r="A124" s="3" t="s">
        <v>12</v>
      </c>
      <c r="B124" s="32">
        <v>1</v>
      </c>
      <c r="C124" s="32">
        <v>40</v>
      </c>
      <c r="D124" s="32" t="s">
        <v>8</v>
      </c>
      <c r="E124" s="32">
        <v>-424.89020799999997</v>
      </c>
      <c r="F124" s="4" t="str">
        <f t="shared" si="2"/>
        <v>Positive</v>
      </c>
    </row>
    <row r="125" spans="1:6" x14ac:dyDescent="0.55000000000000004">
      <c r="A125" s="3" t="s">
        <v>12</v>
      </c>
      <c r="B125" s="32">
        <v>1</v>
      </c>
      <c r="C125" s="32">
        <v>40</v>
      </c>
      <c r="D125" s="32" t="s">
        <v>6</v>
      </c>
      <c r="E125" s="32">
        <v>-424.02974</v>
      </c>
      <c r="F125" s="4" t="str">
        <f t="shared" si="2"/>
        <v>Negative</v>
      </c>
    </row>
    <row r="126" spans="1:6" x14ac:dyDescent="0.55000000000000004">
      <c r="A126" s="3" t="s">
        <v>12</v>
      </c>
      <c r="B126" s="32">
        <v>1</v>
      </c>
      <c r="C126" s="32">
        <v>50</v>
      </c>
      <c r="D126" s="32" t="s">
        <v>8</v>
      </c>
      <c r="E126" s="32">
        <v>-424.73098499999998</v>
      </c>
      <c r="F126" s="4" t="str">
        <f t="shared" si="2"/>
        <v>Positive</v>
      </c>
    </row>
    <row r="127" spans="1:6" x14ac:dyDescent="0.55000000000000004">
      <c r="A127" s="3" t="s">
        <v>12</v>
      </c>
      <c r="B127" s="32">
        <v>1</v>
      </c>
      <c r="C127" s="32">
        <v>50</v>
      </c>
      <c r="D127" s="32" t="s">
        <v>6</v>
      </c>
      <c r="E127" s="32">
        <v>-423.91091499999999</v>
      </c>
      <c r="F127" s="4" t="str">
        <f t="shared" si="2"/>
        <v>Negative</v>
      </c>
    </row>
    <row r="128" spans="1:6" x14ac:dyDescent="0.55000000000000004">
      <c r="A128" s="3" t="s">
        <v>12</v>
      </c>
      <c r="B128" s="32">
        <v>2</v>
      </c>
      <c r="C128" s="32">
        <v>20</v>
      </c>
      <c r="D128" s="32" t="s">
        <v>8</v>
      </c>
      <c r="E128" s="32">
        <v>-425.89338799999899</v>
      </c>
      <c r="F128" s="4" t="str">
        <f t="shared" si="2"/>
        <v>Positive</v>
      </c>
    </row>
    <row r="129" spans="1:6" x14ac:dyDescent="0.55000000000000004">
      <c r="A129" s="3" t="s">
        <v>12</v>
      </c>
      <c r="B129" s="32">
        <v>2</v>
      </c>
      <c r="C129" s="32">
        <v>20</v>
      </c>
      <c r="D129" s="32" t="s">
        <v>6</v>
      </c>
      <c r="E129" s="32">
        <v>-425.30879099999999</v>
      </c>
      <c r="F129" s="4" t="str">
        <f t="shared" si="2"/>
        <v>Negative</v>
      </c>
    </row>
    <row r="130" spans="1:6" x14ac:dyDescent="0.55000000000000004">
      <c r="A130" s="3" t="s">
        <v>12</v>
      </c>
      <c r="B130" s="32">
        <v>2</v>
      </c>
      <c r="C130" s="32">
        <v>40</v>
      </c>
      <c r="D130" s="32" t="s">
        <v>8</v>
      </c>
      <c r="E130" s="32">
        <v>-425.47469100000001</v>
      </c>
      <c r="F130" s="4" t="str">
        <f t="shared" si="2"/>
        <v>Positive</v>
      </c>
    </row>
    <row r="131" spans="1:6" x14ac:dyDescent="0.55000000000000004">
      <c r="A131" s="3" t="s">
        <v>12</v>
      </c>
      <c r="B131" s="32">
        <v>2</v>
      </c>
      <c r="C131" s="32">
        <v>40</v>
      </c>
      <c r="D131" s="32" t="s">
        <v>6</v>
      </c>
      <c r="E131" s="32">
        <v>-425.01430099999902</v>
      </c>
      <c r="F131" s="4" t="str">
        <f t="shared" ref="F131:F151" si="3">IF(D131="Far",IF(E131&lt;$U$23,"Positive","Negative"),IF(E131&gt;$U$23,"Positive","Negative"))</f>
        <v>Negative</v>
      </c>
    </row>
    <row r="132" spans="1:6" x14ac:dyDescent="0.55000000000000004">
      <c r="A132" s="3" t="s">
        <v>12</v>
      </c>
      <c r="B132" s="32">
        <v>2</v>
      </c>
      <c r="C132" s="32">
        <v>50</v>
      </c>
      <c r="D132" s="32" t="s">
        <v>8</v>
      </c>
      <c r="E132" s="32">
        <v>-425.32193399999898</v>
      </c>
      <c r="F132" s="4" t="str">
        <f t="shared" si="3"/>
        <v>Positive</v>
      </c>
    </row>
    <row r="133" spans="1:6" x14ac:dyDescent="0.55000000000000004">
      <c r="A133" s="3" t="s">
        <v>12</v>
      </c>
      <c r="B133" s="32">
        <v>2</v>
      </c>
      <c r="C133" s="32">
        <v>50</v>
      </c>
      <c r="D133" s="32" t="s">
        <v>6</v>
      </c>
      <c r="E133" s="32">
        <v>-424.86690599999901</v>
      </c>
      <c r="F133" s="4" t="str">
        <f t="shared" si="3"/>
        <v>Negative</v>
      </c>
    </row>
    <row r="134" spans="1:6" x14ac:dyDescent="0.55000000000000004">
      <c r="A134" s="3" t="s">
        <v>12</v>
      </c>
      <c r="B134" s="32">
        <v>3</v>
      </c>
      <c r="C134" s="32">
        <v>20</v>
      </c>
      <c r="D134" s="32" t="s">
        <v>8</v>
      </c>
      <c r="E134" s="32">
        <v>-416.30357900000001</v>
      </c>
      <c r="F134" s="4" t="str">
        <f t="shared" si="3"/>
        <v>Positive</v>
      </c>
    </row>
    <row r="135" spans="1:6" x14ac:dyDescent="0.55000000000000004">
      <c r="A135" s="3" t="s">
        <v>12</v>
      </c>
      <c r="B135" s="32">
        <v>3</v>
      </c>
      <c r="C135" s="32">
        <v>20</v>
      </c>
      <c r="D135" s="32" t="s">
        <v>6</v>
      </c>
      <c r="E135" s="32">
        <v>-420.30676699999998</v>
      </c>
      <c r="F135" s="4" t="str">
        <f t="shared" si="3"/>
        <v>Negative</v>
      </c>
    </row>
    <row r="136" spans="1:6" x14ac:dyDescent="0.55000000000000004">
      <c r="A136" s="3" t="s">
        <v>12</v>
      </c>
      <c r="B136" s="32">
        <v>3</v>
      </c>
      <c r="C136" s="32">
        <v>40</v>
      </c>
      <c r="D136" s="32" t="s">
        <v>8</v>
      </c>
      <c r="E136" s="32">
        <v>-415.817429</v>
      </c>
      <c r="F136" s="4" t="str">
        <f t="shared" si="3"/>
        <v>Positive</v>
      </c>
    </row>
    <row r="137" spans="1:6" x14ac:dyDescent="0.55000000000000004">
      <c r="A137" s="3" t="s">
        <v>12</v>
      </c>
      <c r="B137" s="32">
        <v>3</v>
      </c>
      <c r="C137" s="32">
        <v>40</v>
      </c>
      <c r="D137" s="32" t="s">
        <v>6</v>
      </c>
      <c r="E137" s="32">
        <v>-419.78301399999998</v>
      </c>
      <c r="F137" s="4" t="str">
        <f t="shared" si="3"/>
        <v>Negative</v>
      </c>
    </row>
    <row r="138" spans="1:6" x14ac:dyDescent="0.55000000000000004">
      <c r="A138" s="3" t="s">
        <v>12</v>
      </c>
      <c r="B138" s="32">
        <v>3</v>
      </c>
      <c r="C138" s="32">
        <v>50</v>
      </c>
      <c r="D138" s="32" t="s">
        <v>8</v>
      </c>
      <c r="E138" s="32">
        <v>-415.583394</v>
      </c>
      <c r="F138" s="4" t="str">
        <f t="shared" si="3"/>
        <v>Positive</v>
      </c>
    </row>
    <row r="139" spans="1:6" x14ac:dyDescent="0.55000000000000004">
      <c r="A139" s="3" t="s">
        <v>12</v>
      </c>
      <c r="B139" s="32">
        <v>3</v>
      </c>
      <c r="C139" s="32">
        <v>50</v>
      </c>
      <c r="D139" s="32" t="s">
        <v>6</v>
      </c>
      <c r="E139" s="32">
        <v>-419.52521400000001</v>
      </c>
      <c r="F139" s="4" t="str">
        <f t="shared" si="3"/>
        <v>Negative</v>
      </c>
    </row>
    <row r="140" spans="1:6" x14ac:dyDescent="0.55000000000000004">
      <c r="A140" s="3" t="s">
        <v>12</v>
      </c>
      <c r="B140" s="32">
        <v>4</v>
      </c>
      <c r="C140" s="32">
        <v>20</v>
      </c>
      <c r="D140" s="32" t="s">
        <v>8</v>
      </c>
      <c r="E140" s="32">
        <v>-420.74868999999899</v>
      </c>
      <c r="F140" s="4" t="str">
        <f t="shared" si="3"/>
        <v>Positive</v>
      </c>
    </row>
    <row r="141" spans="1:6" x14ac:dyDescent="0.55000000000000004">
      <c r="A141" s="3" t="s">
        <v>12</v>
      </c>
      <c r="B141" s="32">
        <v>4</v>
      </c>
      <c r="C141" s="32">
        <v>20</v>
      </c>
      <c r="D141" s="32" t="s">
        <v>6</v>
      </c>
      <c r="E141" s="32">
        <v>-419.41013800000002</v>
      </c>
      <c r="F141" s="4" t="str">
        <f t="shared" si="3"/>
        <v>Negative</v>
      </c>
    </row>
    <row r="142" spans="1:6" x14ac:dyDescent="0.55000000000000004">
      <c r="A142" s="3" t="s">
        <v>12</v>
      </c>
      <c r="B142" s="32">
        <v>4</v>
      </c>
      <c r="C142" s="32">
        <v>40</v>
      </c>
      <c r="D142" s="32" t="s">
        <v>8</v>
      </c>
      <c r="E142" s="32">
        <v>-420.01748700000002</v>
      </c>
      <c r="F142" s="4" t="str">
        <f t="shared" si="3"/>
        <v>Positive</v>
      </c>
    </row>
    <row r="143" spans="1:6" x14ac:dyDescent="0.55000000000000004">
      <c r="A143" s="3" t="s">
        <v>12</v>
      </c>
      <c r="B143" s="32">
        <v>4</v>
      </c>
      <c r="C143" s="32">
        <v>40</v>
      </c>
      <c r="D143" s="32" t="s">
        <v>6</v>
      </c>
      <c r="E143" s="32">
        <v>-418.65796199999897</v>
      </c>
      <c r="F143" s="4" t="str">
        <f t="shared" si="3"/>
        <v>Negative</v>
      </c>
    </row>
    <row r="144" spans="1:6" x14ac:dyDescent="0.55000000000000004">
      <c r="A144" s="3" t="s">
        <v>12</v>
      </c>
      <c r="B144" s="32">
        <v>4</v>
      </c>
      <c r="C144" s="32">
        <v>50</v>
      </c>
      <c r="D144" s="32" t="s">
        <v>8</v>
      </c>
      <c r="E144" s="32">
        <v>-419.79411099999999</v>
      </c>
      <c r="F144" s="4" t="str">
        <f t="shared" si="3"/>
        <v>Positive</v>
      </c>
    </row>
    <row r="145" spans="1:6" x14ac:dyDescent="0.55000000000000004">
      <c r="A145" s="3" t="s">
        <v>12</v>
      </c>
      <c r="B145" s="32">
        <v>4</v>
      </c>
      <c r="C145" s="32">
        <v>50</v>
      </c>
      <c r="D145" s="32" t="s">
        <v>6</v>
      </c>
      <c r="E145" s="32">
        <v>-418.43720299999899</v>
      </c>
      <c r="F145" s="4" t="str">
        <f t="shared" si="3"/>
        <v>Negative</v>
      </c>
    </row>
    <row r="146" spans="1:6" x14ac:dyDescent="0.55000000000000004">
      <c r="A146" s="3" t="s">
        <v>12</v>
      </c>
      <c r="B146" s="32">
        <v>5</v>
      </c>
      <c r="C146" s="32">
        <v>20</v>
      </c>
      <c r="D146" s="32" t="s">
        <v>8</v>
      </c>
      <c r="E146" s="32">
        <v>-418.494665555555</v>
      </c>
      <c r="F146" s="4" t="str">
        <f t="shared" si="3"/>
        <v>Positive</v>
      </c>
    </row>
    <row r="147" spans="1:6" x14ac:dyDescent="0.55000000000000004">
      <c r="A147" s="3" t="s">
        <v>12</v>
      </c>
      <c r="B147" s="32">
        <v>5</v>
      </c>
      <c r="C147" s="32">
        <v>20</v>
      </c>
      <c r="D147" s="32" t="s">
        <v>6</v>
      </c>
      <c r="E147" s="32">
        <v>-410.69423599999999</v>
      </c>
      <c r="F147" s="4" t="str">
        <f t="shared" si="3"/>
        <v>Negative</v>
      </c>
    </row>
    <row r="148" spans="1:6" x14ac:dyDescent="0.55000000000000004">
      <c r="A148" s="3" t="s">
        <v>12</v>
      </c>
      <c r="B148" s="32">
        <v>5</v>
      </c>
      <c r="C148" s="32">
        <v>40</v>
      </c>
      <c r="D148" s="32" t="s">
        <v>8</v>
      </c>
      <c r="E148" s="32">
        <v>-417.80031222222198</v>
      </c>
      <c r="F148" s="4" t="str">
        <f t="shared" si="3"/>
        <v>Positive</v>
      </c>
    </row>
    <row r="149" spans="1:6" x14ac:dyDescent="0.55000000000000004">
      <c r="A149" s="3" t="s">
        <v>12</v>
      </c>
      <c r="B149" s="32">
        <v>5</v>
      </c>
      <c r="C149" s="32">
        <v>40</v>
      </c>
      <c r="D149" s="32" t="s">
        <v>6</v>
      </c>
      <c r="E149" s="32">
        <v>-410.16981500000003</v>
      </c>
      <c r="F149" s="4" t="str">
        <f t="shared" si="3"/>
        <v>Negative</v>
      </c>
    </row>
    <row r="150" spans="1:6" x14ac:dyDescent="0.55000000000000004">
      <c r="A150" s="3" t="s">
        <v>12</v>
      </c>
      <c r="B150" s="32">
        <v>5</v>
      </c>
      <c r="C150" s="32">
        <v>50</v>
      </c>
      <c r="D150" s="32" t="s">
        <v>8</v>
      </c>
      <c r="E150" s="32">
        <v>-417.65571555555499</v>
      </c>
      <c r="F150" s="4" t="str">
        <f t="shared" si="3"/>
        <v>Positive</v>
      </c>
    </row>
    <row r="151" spans="1:6" ht="14.7" thickBot="1" x14ac:dyDescent="0.6">
      <c r="A151" s="5" t="s">
        <v>12</v>
      </c>
      <c r="B151" s="34">
        <v>5</v>
      </c>
      <c r="C151" s="34">
        <v>50</v>
      </c>
      <c r="D151" s="34" t="s">
        <v>6</v>
      </c>
      <c r="E151" s="34">
        <v>-409.99116199999997</v>
      </c>
      <c r="F151" s="6" t="str">
        <f t="shared" si="3"/>
        <v>Negative</v>
      </c>
    </row>
  </sheetData>
  <autoFilter ref="A1:F151" xr:uid="{00000000-0001-0000-0000-000000000000}"/>
  <mergeCells count="9">
    <mergeCell ref="M52:M53"/>
    <mergeCell ref="N52:N53"/>
    <mergeCell ref="O52:O53"/>
    <mergeCell ref="I53:I54"/>
    <mergeCell ref="J53:J54"/>
    <mergeCell ref="H4:J4"/>
    <mergeCell ref="I52:J52"/>
    <mergeCell ref="K52:L52"/>
    <mergeCell ref="H52:H54"/>
  </mergeCells>
  <pageMargins left="0.7" right="0.7" top="0.75" bottom="0.75" header="0.3" footer="0.3"/>
  <ignoredErrors>
    <ignoredError sqref="U11:U1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435E-E06D-432A-8253-7722BA89C302}">
  <sheetPr codeName="Sheet5"/>
  <dimension ref="A1:W151"/>
  <sheetViews>
    <sheetView topLeftCell="H1" zoomScaleNormal="100" workbookViewId="0">
      <selection activeCell="U22" sqref="U22"/>
    </sheetView>
  </sheetViews>
  <sheetFormatPr defaultRowHeight="15" x14ac:dyDescent="0.55000000000000004"/>
  <cols>
    <col min="1" max="1" width="16.83984375" bestFit="1" customWidth="1"/>
    <col min="2" max="2" width="8" bestFit="1" customWidth="1"/>
    <col min="3" max="3" width="9" bestFit="1" customWidth="1"/>
    <col min="4" max="4" width="11.15625" bestFit="1" customWidth="1"/>
    <col min="5" max="5" width="15" bestFit="1" customWidth="1"/>
    <col min="6" max="6" width="16.68359375" bestFit="1" customWidth="1"/>
    <col min="7" max="7" width="9.26171875" bestFit="1" customWidth="1"/>
    <col min="8" max="8" width="11.83984375" customWidth="1"/>
    <col min="9" max="10" width="12.26171875" bestFit="1" customWidth="1"/>
    <col min="11" max="11" width="11.26171875" bestFit="1" customWidth="1"/>
    <col min="12" max="12" width="11.68359375" bestFit="1" customWidth="1"/>
    <col min="13" max="13" width="15.15625" bestFit="1" customWidth="1"/>
    <col min="14" max="14" width="14.83984375" bestFit="1" customWidth="1"/>
    <col min="15" max="19" width="9.15625" bestFit="1" customWidth="1"/>
    <col min="20" max="20" width="20.41796875" bestFit="1" customWidth="1"/>
    <col min="21" max="21" width="15" bestFit="1" customWidth="1"/>
    <col min="22" max="22" width="12.83984375" bestFit="1" customWidth="1"/>
    <col min="23" max="23" width="10.26171875" bestFit="1" customWidth="1"/>
    <col min="24" max="97" width="15" bestFit="1" customWidth="1"/>
    <col min="98" max="98" width="10.26171875" bestFit="1" customWidth="1"/>
    <col min="99" max="99" width="13" bestFit="1" customWidth="1"/>
    <col min="100" max="100" width="21.41796875" bestFit="1" customWidth="1"/>
    <col min="101" max="101" width="13" bestFit="1" customWidth="1"/>
    <col min="102" max="102" width="15.41796875" bestFit="1" customWidth="1"/>
    <col min="103" max="103" width="13" bestFit="1" customWidth="1"/>
    <col min="104" max="104" width="15.41796875" bestFit="1" customWidth="1"/>
    <col min="105" max="105" width="13" bestFit="1" customWidth="1"/>
    <col min="106" max="106" width="21.41796875" bestFit="1" customWidth="1"/>
    <col min="107" max="107" width="13" bestFit="1" customWidth="1"/>
    <col min="108" max="108" width="15.41796875" bestFit="1" customWidth="1"/>
    <col min="109" max="109" width="13" bestFit="1" customWidth="1"/>
    <col min="110" max="110" width="15.41796875" bestFit="1" customWidth="1"/>
    <col min="111" max="111" width="13" bestFit="1" customWidth="1"/>
    <col min="112" max="112" width="21.41796875" bestFit="1" customWidth="1"/>
    <col min="113" max="113" width="13" bestFit="1" customWidth="1"/>
    <col min="114" max="114" width="15.41796875" bestFit="1" customWidth="1"/>
    <col min="115" max="115" width="13" bestFit="1" customWidth="1"/>
    <col min="116" max="116" width="15.41796875" bestFit="1" customWidth="1"/>
    <col min="117" max="117" width="13" bestFit="1" customWidth="1"/>
    <col min="118" max="118" width="15.41796875" bestFit="1" customWidth="1"/>
    <col min="119" max="119" width="13" bestFit="1" customWidth="1"/>
    <col min="120" max="120" width="21.41796875" bestFit="1" customWidth="1"/>
    <col min="121" max="121" width="13" bestFit="1" customWidth="1"/>
    <col min="122" max="122" width="15.41796875" bestFit="1" customWidth="1"/>
    <col min="123" max="123" width="13" bestFit="1" customWidth="1"/>
    <col min="124" max="124" width="15.41796875" bestFit="1" customWidth="1"/>
    <col min="125" max="125" width="13" bestFit="1" customWidth="1"/>
    <col min="126" max="126" width="21.41796875" bestFit="1" customWidth="1"/>
    <col min="127" max="127" width="13" bestFit="1" customWidth="1"/>
    <col min="128" max="128" width="15.41796875" bestFit="1" customWidth="1"/>
    <col min="129" max="129" width="13" bestFit="1" customWidth="1"/>
    <col min="130" max="130" width="21.41796875" bestFit="1" customWidth="1"/>
    <col min="131" max="131" width="13" bestFit="1" customWidth="1"/>
    <col min="132" max="132" width="15.41796875" bestFit="1" customWidth="1"/>
    <col min="133" max="133" width="11.26171875" bestFit="1" customWidth="1"/>
    <col min="134" max="134" width="13.41796875" bestFit="1" customWidth="1"/>
    <col min="135" max="135" width="13" bestFit="1" customWidth="1"/>
    <col min="136" max="136" width="15.41796875" bestFit="1" customWidth="1"/>
    <col min="137" max="137" width="13" bestFit="1" customWidth="1"/>
    <col min="138" max="138" width="15.41796875" bestFit="1" customWidth="1"/>
    <col min="139" max="139" width="13" bestFit="1" customWidth="1"/>
    <col min="140" max="140" width="15.41796875" bestFit="1" customWidth="1"/>
    <col min="141" max="141" width="13" bestFit="1" customWidth="1"/>
    <col min="142" max="142" width="15.41796875" bestFit="1" customWidth="1"/>
    <col min="143" max="143" width="13" bestFit="1" customWidth="1"/>
    <col min="144" max="144" width="15.41796875" bestFit="1" customWidth="1"/>
    <col min="145" max="145" width="13" bestFit="1" customWidth="1"/>
    <col min="146" max="146" width="15.41796875" bestFit="1" customWidth="1"/>
    <col min="147" max="147" width="13" bestFit="1" customWidth="1"/>
    <col min="148" max="148" width="15.41796875" bestFit="1" customWidth="1"/>
    <col min="149" max="149" width="14" bestFit="1" customWidth="1"/>
    <col min="150" max="150" width="21.41796875" bestFit="1" customWidth="1"/>
    <col min="151" max="151" width="13" bestFit="1" customWidth="1"/>
    <col min="152" max="152" width="15.41796875" bestFit="1" customWidth="1"/>
    <col min="153" max="153" width="13" bestFit="1" customWidth="1"/>
    <col min="154" max="154" width="15.41796875" bestFit="1" customWidth="1"/>
    <col min="155" max="155" width="14" bestFit="1" customWidth="1"/>
    <col min="156" max="156" width="21.41796875" bestFit="1" customWidth="1"/>
    <col min="157" max="157" width="12" bestFit="1" customWidth="1"/>
    <col min="158" max="158" width="14.41796875" bestFit="1" customWidth="1"/>
    <col min="159" max="159" width="14" bestFit="1" customWidth="1"/>
    <col min="160" max="160" width="21.41796875" bestFit="1" customWidth="1"/>
    <col min="161" max="161" width="13" bestFit="1" customWidth="1"/>
    <col min="162" max="162" width="21.41796875" bestFit="1" customWidth="1"/>
    <col min="163" max="163" width="13" bestFit="1" customWidth="1"/>
    <col min="164" max="164" width="21.41796875" bestFit="1" customWidth="1"/>
    <col min="165" max="165" width="13" bestFit="1" customWidth="1"/>
    <col min="166" max="166" width="15.41796875" bestFit="1" customWidth="1"/>
    <col min="167" max="167" width="13" bestFit="1" customWidth="1"/>
    <col min="168" max="168" width="15.41796875" bestFit="1" customWidth="1"/>
    <col min="169" max="169" width="13" bestFit="1" customWidth="1"/>
    <col min="170" max="170" width="21.41796875" bestFit="1" customWidth="1"/>
    <col min="171" max="171" width="13" bestFit="1" customWidth="1"/>
    <col min="172" max="172" width="15.41796875" bestFit="1" customWidth="1"/>
    <col min="173" max="173" width="10.26171875" bestFit="1" customWidth="1"/>
  </cols>
  <sheetData>
    <row r="1" spans="1:23" thickBot="1" x14ac:dyDescent="0.6">
      <c r="A1" s="29" t="s">
        <v>0</v>
      </c>
      <c r="B1" s="30" t="s">
        <v>1</v>
      </c>
      <c r="C1" s="30" t="s">
        <v>2</v>
      </c>
      <c r="D1" s="30" t="s">
        <v>14</v>
      </c>
      <c r="E1" s="31" t="s">
        <v>3</v>
      </c>
      <c r="F1" t="s">
        <v>34</v>
      </c>
      <c r="H1" t="s">
        <v>4</v>
      </c>
    </row>
    <row r="2" spans="1:23" x14ac:dyDescent="0.55000000000000004">
      <c r="A2" s="1" t="s">
        <v>5</v>
      </c>
      <c r="B2" s="33">
        <v>1</v>
      </c>
      <c r="C2" s="33">
        <v>20</v>
      </c>
      <c r="D2" s="33" t="s">
        <v>8</v>
      </c>
      <c r="E2" s="33">
        <v>-416.073070999999</v>
      </c>
      <c r="F2" s="2" t="str">
        <f>IF(D2="Far",IF(E2&lt;$U$23,"Positive","Negative"),IF(E2&gt;$U$23,"Positive","Negative"))</f>
        <v>Positive</v>
      </c>
      <c r="G2" s="35"/>
      <c r="H2" t="s">
        <v>7</v>
      </c>
    </row>
    <row r="3" spans="1:23" x14ac:dyDescent="0.55000000000000004">
      <c r="A3" s="3" t="s">
        <v>5</v>
      </c>
      <c r="B3" s="32">
        <v>1</v>
      </c>
      <c r="C3" s="32">
        <v>20</v>
      </c>
      <c r="D3" s="32" t="s">
        <v>6</v>
      </c>
      <c r="E3" s="32">
        <v>-414.48324300000002</v>
      </c>
      <c r="F3" s="4" t="str">
        <f>IF(D3="Far",IF(E3&lt;$U$23,"Positive","Negative"),IF(E3&gt;$U$23,"Positive","Negative"))</f>
        <v>Negative</v>
      </c>
    </row>
    <row r="4" spans="1:23" ht="14.7" thickBot="1" x14ac:dyDescent="0.6">
      <c r="A4" s="3" t="s">
        <v>5</v>
      </c>
      <c r="B4" s="32">
        <v>1</v>
      </c>
      <c r="C4" s="32">
        <v>40</v>
      </c>
      <c r="D4" s="32" t="s">
        <v>8</v>
      </c>
      <c r="E4" s="32">
        <v>-414.701187</v>
      </c>
      <c r="F4" s="4" t="str">
        <f>IF(D4="Far",IF(E4&lt;$U$23,"Positive","Negative"),IF(E4&gt;$U$23,"Positive","Negative"))</f>
        <v>Positive</v>
      </c>
      <c r="H4" s="26" t="s">
        <v>15</v>
      </c>
      <c r="I4" s="26"/>
      <c r="J4" s="26"/>
    </row>
    <row r="5" spans="1:23" thickBot="1" x14ac:dyDescent="0.6">
      <c r="A5" s="3" t="s">
        <v>5</v>
      </c>
      <c r="B5" s="32">
        <v>1</v>
      </c>
      <c r="C5" s="32">
        <v>40</v>
      </c>
      <c r="D5" s="32" t="s">
        <v>6</v>
      </c>
      <c r="E5" s="32">
        <v>-414.02561599999899</v>
      </c>
      <c r="F5" s="4" t="str">
        <f>IF(D5="Far",IF(E5&lt;$U$23,"Positive","Negative"),IF(E5&gt;$U$23,"Positive","Negative"))</f>
        <v>Negative</v>
      </c>
      <c r="T5" s="8" t="s">
        <v>17</v>
      </c>
      <c r="U5" s="9" t="s">
        <v>16</v>
      </c>
      <c r="W5" t="s">
        <v>30</v>
      </c>
    </row>
    <row r="6" spans="1:23" thickBot="1" x14ac:dyDescent="0.6">
      <c r="A6" s="3" t="s">
        <v>5</v>
      </c>
      <c r="B6" s="32">
        <v>1</v>
      </c>
      <c r="C6" s="32">
        <v>50</v>
      </c>
      <c r="D6" s="32" t="s">
        <v>8</v>
      </c>
      <c r="E6" s="32">
        <v>-414.59568599999898</v>
      </c>
      <c r="F6" s="4" t="str">
        <f>IF(D6="Far",IF(E6&lt;$U$23,"Positive","Negative"),IF(E6&gt;$U$23,"Positive","Negative"))</f>
        <v>Positive</v>
      </c>
      <c r="H6" s="14">
        <v>1</v>
      </c>
      <c r="I6" s="10" t="s">
        <v>6</v>
      </c>
      <c r="J6" s="9" t="s">
        <v>8</v>
      </c>
      <c r="T6" s="21" t="s">
        <v>6</v>
      </c>
      <c r="U6" s="2">
        <f>SUMIF(D2:D151,D3,E2:E151)/COUNTIF(D2:D151,D3)</f>
        <v>-413.39397312463035</v>
      </c>
      <c r="W6" t="s">
        <v>31</v>
      </c>
    </row>
    <row r="7" spans="1:23" thickBot="1" x14ac:dyDescent="0.6">
      <c r="A7" s="3" t="s">
        <v>5</v>
      </c>
      <c r="B7" s="32">
        <v>1</v>
      </c>
      <c r="C7" s="32">
        <v>50</v>
      </c>
      <c r="D7" s="32" t="s">
        <v>6</v>
      </c>
      <c r="E7" s="32">
        <v>-413.78227199999998</v>
      </c>
      <c r="F7" s="4" t="str">
        <f>IF(D7="Far",IF(E7&lt;$U$23,"Positive","Negative"),IF(E7&gt;$U$23,"Positive","Negative"))</f>
        <v>Negative</v>
      </c>
      <c r="H7" s="15" t="s">
        <v>5</v>
      </c>
      <c r="I7" s="11">
        <f>E7</f>
        <v>-413.78227199999998</v>
      </c>
      <c r="J7" s="7">
        <f>E6</f>
        <v>-414.59568599999898</v>
      </c>
      <c r="T7" s="20" t="s">
        <v>8</v>
      </c>
      <c r="U7" s="6">
        <f>SUMIF(D2:D151,D2,E2:E151)/COUNTIF(D2:D151,D2)</f>
        <v>-415.69718039422264</v>
      </c>
      <c r="W7" t="s">
        <v>32</v>
      </c>
    </row>
    <row r="8" spans="1:23" x14ac:dyDescent="0.55000000000000004">
      <c r="A8" s="3" t="s">
        <v>5</v>
      </c>
      <c r="B8" s="32">
        <v>2</v>
      </c>
      <c r="C8" s="32">
        <v>20</v>
      </c>
      <c r="D8" s="32" t="s">
        <v>8</v>
      </c>
      <c r="E8" s="32">
        <v>-417.251340999999</v>
      </c>
      <c r="F8" s="4" t="str">
        <f>IF(D8="Far",IF(E8&lt;$U$23,"Positive","Negative"),IF(E8&gt;$U$23,"Positive","Negative"))</f>
        <v>Positive</v>
      </c>
      <c r="H8" s="16" t="s">
        <v>9</v>
      </c>
      <c r="I8" s="12">
        <f>E37</f>
        <v>-418.45319699999902</v>
      </c>
      <c r="J8" s="4">
        <f>E36</f>
        <v>-411.47698599999899</v>
      </c>
      <c r="T8" s="22">
        <v>0.2</v>
      </c>
      <c r="U8" s="2">
        <f>SUMIF(C2:C151,C2,E2:E151)/COUNTIF(C2:C151,C2)</f>
        <v>-415.07021455824417</v>
      </c>
    </row>
    <row r="9" spans="1:23" x14ac:dyDescent="0.55000000000000004">
      <c r="A9" s="3" t="s">
        <v>5</v>
      </c>
      <c r="B9" s="32">
        <v>2</v>
      </c>
      <c r="C9" s="32">
        <v>20</v>
      </c>
      <c r="D9" s="32" t="s">
        <v>6</v>
      </c>
      <c r="E9" s="32">
        <v>-411.48032599999999</v>
      </c>
      <c r="F9" s="4" t="str">
        <f>IF(D9="Far",IF(E9&lt;$U$23,"Positive","Negative"),IF(E9&gt;$U$23,"Positive","Negative"))</f>
        <v>Negative</v>
      </c>
      <c r="H9" s="16" t="s">
        <v>10</v>
      </c>
      <c r="I9" s="12">
        <f>E67</f>
        <v>-406.64960100000002</v>
      </c>
      <c r="J9" s="4">
        <f>E66</f>
        <v>-409.57085599999999</v>
      </c>
      <c r="T9" s="19">
        <v>0.4</v>
      </c>
      <c r="U9" s="4">
        <f>SUMIF(C2:C151,C4,E2:E151)/COUNTIF(C2:C151,C4)</f>
        <v>-414.38677393559118</v>
      </c>
    </row>
    <row r="10" spans="1:23" thickBot="1" x14ac:dyDescent="0.6">
      <c r="A10" s="3" t="s">
        <v>5</v>
      </c>
      <c r="B10" s="32">
        <v>2</v>
      </c>
      <c r="C10" s="32">
        <v>40</v>
      </c>
      <c r="D10" s="32" t="s">
        <v>8</v>
      </c>
      <c r="E10" s="32">
        <v>-416.66741499999898</v>
      </c>
      <c r="F10" s="4" t="str">
        <f>IF(D10="Far",IF(E10&lt;$U$23,"Positive","Negative"),IF(E10&gt;$U$23,"Positive","Negative"))</f>
        <v>Positive</v>
      </c>
      <c r="H10" s="16" t="s">
        <v>11</v>
      </c>
      <c r="I10" s="12">
        <f>E97</f>
        <v>-424.45169299999901</v>
      </c>
      <c r="J10" s="4">
        <f>E96</f>
        <v>-419.16707400000001</v>
      </c>
      <c r="T10" s="23">
        <v>0.5</v>
      </c>
      <c r="U10" s="6">
        <f>SUMIF(C2:C151,C6,E2:E151)/COUNTIF(C2:C151,C6)</f>
        <v>-414.1797417844441</v>
      </c>
    </row>
    <row r="11" spans="1:23" thickBot="1" x14ac:dyDescent="0.6">
      <c r="A11" s="3" t="s">
        <v>5</v>
      </c>
      <c r="B11" s="32">
        <v>2</v>
      </c>
      <c r="C11" s="32">
        <v>40</v>
      </c>
      <c r="D11" s="32" t="s">
        <v>6</v>
      </c>
      <c r="E11" s="32">
        <v>-411.10514799999999</v>
      </c>
      <c r="F11" s="4" t="str">
        <f>IF(D11="Far",IF(E11&lt;$U$23,"Positive","Negative"),IF(E11&gt;$U$23,"Positive","Negative"))</f>
        <v>Negative</v>
      </c>
      <c r="H11" s="17" t="s">
        <v>12</v>
      </c>
      <c r="I11" s="13">
        <f>E127</f>
        <v>-423.91091499999999</v>
      </c>
      <c r="J11" s="6">
        <f>E126</f>
        <v>-424.73098499999998</v>
      </c>
      <c r="T11" s="21" t="s">
        <v>18</v>
      </c>
      <c r="U11" s="2">
        <f>AVERAGE(E122:E151)</f>
        <v>-420.27979674444401</v>
      </c>
    </row>
    <row r="12" spans="1:23" thickBot="1" x14ac:dyDescent="0.6">
      <c r="A12" s="3" t="s">
        <v>5</v>
      </c>
      <c r="B12" s="32">
        <v>2</v>
      </c>
      <c r="C12" s="32">
        <v>50</v>
      </c>
      <c r="D12" s="32" t="s">
        <v>8</v>
      </c>
      <c r="E12" s="32">
        <v>-416.38969799999899</v>
      </c>
      <c r="F12" s="4" t="str">
        <f>IF(D12="Far",IF(E12&lt;$U$23,"Positive","Negative"),IF(E12&gt;$U$23,"Positive","Negative"))</f>
        <v>Positive</v>
      </c>
      <c r="T12" s="18" t="s">
        <v>19</v>
      </c>
      <c r="U12" s="4">
        <f>AVERAGE(E92:E121)</f>
        <v>-414.53422879999954</v>
      </c>
    </row>
    <row r="13" spans="1:23" thickBot="1" x14ac:dyDescent="0.6">
      <c r="A13" s="3" t="s">
        <v>5</v>
      </c>
      <c r="B13" s="32">
        <v>2</v>
      </c>
      <c r="C13" s="32">
        <v>50</v>
      </c>
      <c r="D13" s="32" t="s">
        <v>6</v>
      </c>
      <c r="E13" s="32">
        <v>-410.75902899999897</v>
      </c>
      <c r="F13" s="4" t="str">
        <f>IF(D13="Far",IF(E13&lt;$U$23,"Positive","Negative"),IF(E13&gt;$U$23,"Positive","Negative"))</f>
        <v>Negative</v>
      </c>
      <c r="H13" s="14">
        <v>2</v>
      </c>
      <c r="I13" s="10" t="s">
        <v>6</v>
      </c>
      <c r="J13" s="9" t="s">
        <v>8</v>
      </c>
      <c r="T13" s="18" t="s">
        <v>20</v>
      </c>
      <c r="U13" s="4">
        <f>AVERAGE(E62:E91)</f>
        <v>-417.90202133333304</v>
      </c>
    </row>
    <row r="14" spans="1:23" x14ac:dyDescent="0.55000000000000004">
      <c r="A14" s="3" t="s">
        <v>5</v>
      </c>
      <c r="B14" s="32">
        <v>3</v>
      </c>
      <c r="C14" s="32">
        <v>20</v>
      </c>
      <c r="D14" s="32" t="s">
        <v>8</v>
      </c>
      <c r="E14" s="32">
        <v>-411.32717100000002</v>
      </c>
      <c r="F14" s="4" t="str">
        <f>IF(D14="Far",IF(E14&lt;$U$23,"Positive","Negative"),IF(E14&gt;$U$23,"Positive","Negative"))</f>
        <v>Positive</v>
      </c>
      <c r="H14" s="15" t="s">
        <v>5</v>
      </c>
      <c r="I14" s="11">
        <f>E13</f>
        <v>-410.75902899999897</v>
      </c>
      <c r="J14" s="7">
        <f>E12</f>
        <v>-416.38969799999899</v>
      </c>
      <c r="T14" s="18" t="s">
        <v>21</v>
      </c>
      <c r="U14" s="4">
        <f>AVERAGE(E32:E61)</f>
        <v>-409.08988470139241</v>
      </c>
    </row>
    <row r="15" spans="1:23" thickBot="1" x14ac:dyDescent="0.6">
      <c r="A15" s="3" t="s">
        <v>5</v>
      </c>
      <c r="B15" s="32">
        <v>3</v>
      </c>
      <c r="C15" s="32">
        <v>20</v>
      </c>
      <c r="D15" s="32" t="s">
        <v>6</v>
      </c>
      <c r="E15" s="32">
        <v>-408.21014399999899</v>
      </c>
      <c r="F15" s="4" t="str">
        <f>IF(D15="Far",IF(E15&lt;$U$23,"Positive","Negative"),IF(E15&gt;$U$23,"Positive","Negative"))</f>
        <v>Negative</v>
      </c>
      <c r="H15" s="16" t="s">
        <v>9</v>
      </c>
      <c r="I15" s="12">
        <f>E43</f>
        <v>-414.43664799999902</v>
      </c>
      <c r="J15" s="4">
        <f>E42</f>
        <v>-404.95466699999997</v>
      </c>
      <c r="T15" s="20" t="s">
        <v>22</v>
      </c>
      <c r="U15" s="6">
        <f>AVERAGE(E2:E31)</f>
        <v>-410.92195221796362</v>
      </c>
    </row>
    <row r="16" spans="1:23" x14ac:dyDescent="0.55000000000000004">
      <c r="A16" s="3" t="s">
        <v>5</v>
      </c>
      <c r="B16" s="32">
        <v>3</v>
      </c>
      <c r="C16" s="32">
        <v>40</v>
      </c>
      <c r="D16" s="32" t="s">
        <v>8</v>
      </c>
      <c r="E16" s="32">
        <v>-410.78230000000002</v>
      </c>
      <c r="F16" s="4" t="str">
        <f>IF(D16="Far",IF(E16&lt;$U$23,"Positive","Negative"),IF(E16&gt;$U$23,"Positive","Negative"))</f>
        <v>Positive</v>
      </c>
      <c r="H16" s="16" t="s">
        <v>10</v>
      </c>
      <c r="I16" s="12">
        <f>E73</f>
        <v>-420.01772099999903</v>
      </c>
      <c r="J16" s="4">
        <f>E72</f>
        <v>-422.18893999999898</v>
      </c>
      <c r="T16" s="1" t="s">
        <v>23</v>
      </c>
      <c r="U16" s="2">
        <f>SUMIF(C122:C151,C6,E122:E151)/COUNTIF(C122:C151,C6)</f>
        <v>-419.98175395555529</v>
      </c>
    </row>
    <row r="17" spans="1:21" x14ac:dyDescent="0.55000000000000004">
      <c r="A17" s="3" t="s">
        <v>5</v>
      </c>
      <c r="B17" s="32">
        <v>3</v>
      </c>
      <c r="C17" s="32">
        <v>40</v>
      </c>
      <c r="D17" s="32" t="s">
        <v>6</v>
      </c>
      <c r="E17" s="32">
        <v>-407.77953399999899</v>
      </c>
      <c r="F17" s="4" t="str">
        <f>IF(D17="Far",IF(E17&lt;$U$23,"Positive","Negative"),IF(E17&gt;$U$23,"Positive","Negative"))</f>
        <v>Negative</v>
      </c>
      <c r="H17" s="16" t="s">
        <v>11</v>
      </c>
      <c r="I17" s="12">
        <f>E103</f>
        <v>-415.51702199999897</v>
      </c>
      <c r="J17" s="4">
        <f>E102</f>
        <v>-408.87715500000002</v>
      </c>
      <c r="T17" s="3" t="s">
        <v>24</v>
      </c>
      <c r="U17" s="4">
        <f>SUMIF(C92:C121,C6,E92:E121)/COUNTIF(C92:C121,C6)</f>
        <v>-414.14454599999965</v>
      </c>
    </row>
    <row r="18" spans="1:21" thickBot="1" x14ac:dyDescent="0.6">
      <c r="A18" s="3" t="s">
        <v>5</v>
      </c>
      <c r="B18" s="32">
        <v>3</v>
      </c>
      <c r="C18" s="32">
        <v>50</v>
      </c>
      <c r="D18" s="32" t="s">
        <v>8</v>
      </c>
      <c r="E18" s="32">
        <v>-410.61978099999999</v>
      </c>
      <c r="F18" s="4" t="str">
        <f>IF(D18="Far",IF(E18&lt;$U$23,"Positive","Negative"),IF(E18&gt;$U$23,"Positive","Negative"))</f>
        <v>Positive</v>
      </c>
      <c r="H18" s="17" t="s">
        <v>12</v>
      </c>
      <c r="I18" s="13">
        <f>E133</f>
        <v>-424.86690599999901</v>
      </c>
      <c r="J18" s="6">
        <f>E132</f>
        <v>-425.32193399999898</v>
      </c>
      <c r="T18" s="3" t="s">
        <v>25</v>
      </c>
      <c r="U18" s="4">
        <f>SUMIF(C62:C91,C6,E62:E91)/COUNTIF(C62:C91,C6)</f>
        <v>-417.43988529999967</v>
      </c>
    </row>
    <row r="19" spans="1:21" thickBot="1" x14ac:dyDescent="0.6">
      <c r="A19" s="3" t="s">
        <v>5</v>
      </c>
      <c r="B19" s="32">
        <v>3</v>
      </c>
      <c r="C19" s="32">
        <v>50</v>
      </c>
      <c r="D19" s="32" t="s">
        <v>6</v>
      </c>
      <c r="E19" s="32">
        <v>-407.67148799999899</v>
      </c>
      <c r="F19" s="4" t="str">
        <f>IF(D19="Far",IF(E19&lt;$U$23,"Positive","Negative"),IF(E19&gt;$U$23,"Positive","Negative"))</f>
        <v>Negative</v>
      </c>
      <c r="T19" s="3" t="s">
        <v>26</v>
      </c>
      <c r="U19" s="4">
        <f>SUMIF(C32:C61,C6,E32:E61)/COUNTIF(C32:C61,C6)</f>
        <v>-408.73990396187651</v>
      </c>
    </row>
    <row r="20" spans="1:21" thickBot="1" x14ac:dyDescent="0.6">
      <c r="A20" s="3" t="s">
        <v>5</v>
      </c>
      <c r="B20" s="32">
        <v>4</v>
      </c>
      <c r="C20" s="32">
        <v>20</v>
      </c>
      <c r="D20" s="32" t="s">
        <v>8</v>
      </c>
      <c r="E20" s="32">
        <v>-413.27146099999902</v>
      </c>
      <c r="F20" s="4" t="str">
        <f>IF(D20="Far",IF(E20&lt;$U$23,"Positive","Negative"),IF(E20&gt;$U$23,"Positive","Negative"))</f>
        <v>Positive</v>
      </c>
      <c r="H20" s="14">
        <v>3</v>
      </c>
      <c r="I20" s="10" t="s">
        <v>6</v>
      </c>
      <c r="J20" s="9" t="s">
        <v>8</v>
      </c>
      <c r="T20" s="5" t="s">
        <v>27</v>
      </c>
      <c r="U20" s="6">
        <f>SUMIF(C2:C31,C6,E2:E31)/COUNTIF(C2:C31,C6)</f>
        <v>-410.59261970478991</v>
      </c>
    </row>
    <row r="21" spans="1:21" thickBot="1" x14ac:dyDescent="0.6">
      <c r="A21" s="3" t="s">
        <v>5</v>
      </c>
      <c r="B21" s="32">
        <v>4</v>
      </c>
      <c r="C21" s="32">
        <v>20</v>
      </c>
      <c r="D21" s="32" t="s">
        <v>6</v>
      </c>
      <c r="E21" s="32">
        <v>-412.141212</v>
      </c>
      <c r="F21" s="4" t="str">
        <f>IF(D21="Far",IF(E21&lt;$U$23,"Positive","Negative"),IF(E21&gt;$U$23,"Positive","Negative"))</f>
        <v>Negative</v>
      </c>
      <c r="H21" s="15" t="s">
        <v>5</v>
      </c>
      <c r="I21" s="11">
        <f>E19</f>
        <v>-407.67148799999899</v>
      </c>
      <c r="J21" s="7">
        <f>E18</f>
        <v>-410.61978099999999</v>
      </c>
    </row>
    <row r="22" spans="1:21" thickBot="1" x14ac:dyDescent="0.6">
      <c r="A22" s="3" t="s">
        <v>5</v>
      </c>
      <c r="B22" s="32">
        <v>4</v>
      </c>
      <c r="C22" s="32">
        <v>40</v>
      </c>
      <c r="D22" s="32" t="s">
        <v>8</v>
      </c>
      <c r="E22" s="32">
        <v>-412.51606299999997</v>
      </c>
      <c r="F22" s="4" t="str">
        <f>IF(D22="Far",IF(E22&lt;$U$23,"Positive","Negative"),IF(E22&gt;$U$23,"Positive","Negative"))</f>
        <v>Positive</v>
      </c>
      <c r="H22" s="16" t="s">
        <v>9</v>
      </c>
      <c r="I22" s="12">
        <f>E49</f>
        <v>-404.19278800000001</v>
      </c>
      <c r="J22" s="4">
        <f>E48</f>
        <v>-407.48606999999998</v>
      </c>
      <c r="T22" s="8" t="s">
        <v>28</v>
      </c>
      <c r="U22" s="9">
        <f>U7-U6</f>
        <v>-2.3032072695922921</v>
      </c>
    </row>
    <row r="23" spans="1:21" thickBot="1" x14ac:dyDescent="0.6">
      <c r="A23" s="3" t="s">
        <v>5</v>
      </c>
      <c r="B23" s="32">
        <v>4</v>
      </c>
      <c r="C23" s="32">
        <v>40</v>
      </c>
      <c r="D23" s="32" t="s">
        <v>6</v>
      </c>
      <c r="E23" s="32">
        <v>-411.633073999999</v>
      </c>
      <c r="F23" s="4" t="str">
        <f>IF(D23="Far",IF(E23&lt;$U$23,"Positive","Negative"),IF(E23&gt;$U$23,"Positive","Negative"))</f>
        <v>Negative</v>
      </c>
      <c r="H23" s="16" t="s">
        <v>10</v>
      </c>
      <c r="I23" s="12">
        <f>E79</f>
        <v>-414.96102100000002</v>
      </c>
      <c r="J23" s="4">
        <f>E78</f>
        <v>-421.18398100000002</v>
      </c>
      <c r="T23" s="24" t="s">
        <v>29</v>
      </c>
      <c r="U23" s="25">
        <v>-407.1</v>
      </c>
    </row>
    <row r="24" spans="1:21" x14ac:dyDescent="0.55000000000000004">
      <c r="A24" s="3" t="s">
        <v>5</v>
      </c>
      <c r="B24" s="32">
        <v>4</v>
      </c>
      <c r="C24" s="32">
        <v>50</v>
      </c>
      <c r="D24" s="32" t="s">
        <v>8</v>
      </c>
      <c r="E24" s="32">
        <v>-412.38958200000002</v>
      </c>
      <c r="F24" s="4" t="str">
        <f>IF(D24="Far",IF(E24&lt;$U$23,"Positive","Negative"),IF(E24&gt;$U$23,"Positive","Negative"))</f>
        <v>Positive</v>
      </c>
      <c r="H24" s="16" t="s">
        <v>11</v>
      </c>
      <c r="I24" s="12">
        <f>E109</f>
        <v>-418.05220600000001</v>
      </c>
      <c r="J24" s="4">
        <f>E108</f>
        <v>-421.29773499999902</v>
      </c>
    </row>
    <row r="25" spans="1:21" thickBot="1" x14ac:dyDescent="0.6">
      <c r="A25" s="3" t="s">
        <v>5</v>
      </c>
      <c r="B25" s="32">
        <v>4</v>
      </c>
      <c r="C25" s="32">
        <v>50</v>
      </c>
      <c r="D25" s="32" t="s">
        <v>6</v>
      </c>
      <c r="E25" s="32">
        <v>-411.50027899999901</v>
      </c>
      <c r="F25" s="4" t="str">
        <f>IF(D25="Far",IF(E25&lt;$U$23,"Positive","Negative"),IF(E25&gt;$U$23,"Positive","Negative"))</f>
        <v>Negative</v>
      </c>
      <c r="H25" s="17" t="s">
        <v>12</v>
      </c>
      <c r="I25" s="13">
        <f>E139</f>
        <v>-419.52521400000001</v>
      </c>
      <c r="J25" s="6">
        <f>E138</f>
        <v>-415.583394</v>
      </c>
    </row>
    <row r="26" spans="1:21" thickBot="1" x14ac:dyDescent="0.6">
      <c r="A26" s="3" t="s">
        <v>5</v>
      </c>
      <c r="B26" s="32">
        <v>5</v>
      </c>
      <c r="C26" s="32">
        <v>20</v>
      </c>
      <c r="D26" s="32" t="s">
        <v>8</v>
      </c>
      <c r="E26" s="32">
        <v>-414.104986</v>
      </c>
      <c r="F26" s="4" t="str">
        <f>IF(D26="Far",IF(E26&lt;$U$23,"Positive","Negative"),IF(E26&gt;$U$23,"Positive","Negative"))</f>
        <v>Positive</v>
      </c>
    </row>
    <row r="27" spans="1:21" thickBot="1" x14ac:dyDescent="0.6">
      <c r="A27" s="3" t="s">
        <v>5</v>
      </c>
      <c r="B27" s="32">
        <v>5</v>
      </c>
      <c r="C27" s="32">
        <v>20</v>
      </c>
      <c r="D27" s="32" t="s">
        <v>6</v>
      </c>
      <c r="E27" s="32">
        <v>-395.53821221556802</v>
      </c>
      <c r="F27" s="4" t="str">
        <f>IF(D27="Far",IF(E27&lt;$U$23,"Positive","Negative"),IF(E27&gt;$U$23,"Positive","Negative"))</f>
        <v>Positive</v>
      </c>
      <c r="H27" s="14">
        <v>4</v>
      </c>
      <c r="I27" s="10" t="s">
        <v>6</v>
      </c>
      <c r="J27" s="9" t="s">
        <v>8</v>
      </c>
    </row>
    <row r="28" spans="1:21" x14ac:dyDescent="0.55000000000000004">
      <c r="A28" s="3" t="s">
        <v>5</v>
      </c>
      <c r="B28" s="32">
        <v>5</v>
      </c>
      <c r="C28" s="32">
        <v>40</v>
      </c>
      <c r="D28" s="32" t="s">
        <v>8</v>
      </c>
      <c r="E28" s="32">
        <v>-413.60368299999999</v>
      </c>
      <c r="F28" s="4" t="str">
        <f>IF(D28="Far",IF(E28&lt;$U$23,"Positive","Negative"),IF(E28&gt;$U$23,"Positive","Negative"))</f>
        <v>Positive</v>
      </c>
      <c r="H28" s="15" t="s">
        <v>5</v>
      </c>
      <c r="I28" s="11">
        <f>E25</f>
        <v>-411.50027899999901</v>
      </c>
      <c r="J28" s="7">
        <f>E24</f>
        <v>-412.38958200000002</v>
      </c>
    </row>
    <row r="29" spans="1:21" x14ac:dyDescent="0.55000000000000004">
      <c r="A29" s="3" t="s">
        <v>5</v>
      </c>
      <c r="B29" s="32">
        <v>5</v>
      </c>
      <c r="C29" s="32">
        <v>40</v>
      </c>
      <c r="D29" s="32" t="s">
        <v>6</v>
      </c>
      <c r="E29" s="32">
        <v>-395.03718227544903</v>
      </c>
      <c r="F29" s="4" t="str">
        <f>IF(D29="Far",IF(E29&lt;$U$23,"Positive","Negative"),IF(E29&gt;$U$23,"Positive","Negative"))</f>
        <v>Positive</v>
      </c>
      <c r="H29" s="16" t="s">
        <v>9</v>
      </c>
      <c r="I29" s="12">
        <f>E55</f>
        <v>-396.17139111776402</v>
      </c>
      <c r="J29" s="4">
        <f>E54</f>
        <v>-407.41758350100503</v>
      </c>
    </row>
    <row r="30" spans="1:21" x14ac:dyDescent="0.55000000000000004">
      <c r="A30" s="3" t="s">
        <v>5</v>
      </c>
      <c r="B30" s="32">
        <v>5</v>
      </c>
      <c r="C30" s="32">
        <v>50</v>
      </c>
      <c r="D30" s="32" t="s">
        <v>8</v>
      </c>
      <c r="E30" s="32">
        <v>-413.39908600000001</v>
      </c>
      <c r="F30" s="4" t="str">
        <f>IF(D30="Far",IF(E30&lt;$U$23,"Positive","Negative"),IF(E30&gt;$U$23,"Positive","Negative"))</f>
        <v>Positive</v>
      </c>
      <c r="H30" s="16" t="s">
        <v>10</v>
      </c>
      <c r="I30" s="12">
        <f>E85</f>
        <v>-419.16714400000001</v>
      </c>
      <c r="J30" s="4">
        <f>E84</f>
        <v>-420.73586799999998</v>
      </c>
    </row>
    <row r="31" spans="1:21" x14ac:dyDescent="0.55000000000000004">
      <c r="A31" s="3" t="s">
        <v>5</v>
      </c>
      <c r="B31" s="32">
        <v>5</v>
      </c>
      <c r="C31" s="32">
        <v>50</v>
      </c>
      <c r="D31" s="32" t="s">
        <v>6</v>
      </c>
      <c r="E31" s="32">
        <v>-394.819296047904</v>
      </c>
      <c r="F31" s="4" t="str">
        <f>IF(D31="Far",IF(E31&lt;$U$23,"Positive","Negative"),IF(E31&gt;$U$23,"Positive","Negative"))</f>
        <v>Positive</v>
      </c>
      <c r="H31" s="16" t="s">
        <v>11</v>
      </c>
      <c r="I31" s="12">
        <f>E115</f>
        <v>-405.56886600000001</v>
      </c>
      <c r="J31" s="4">
        <f>E114</f>
        <v>-416.371116999999</v>
      </c>
    </row>
    <row r="32" spans="1:21" thickBot="1" x14ac:dyDescent="0.6">
      <c r="A32" s="3" t="s">
        <v>9</v>
      </c>
      <c r="B32" s="32">
        <v>1</v>
      </c>
      <c r="C32" s="32">
        <v>20</v>
      </c>
      <c r="D32" s="32" t="s">
        <v>8</v>
      </c>
      <c r="E32" s="32">
        <v>-412.17858199999898</v>
      </c>
      <c r="F32" s="4" t="str">
        <f>IF(D32="Far",IF(E32&lt;$U$23,"Positive","Negative"),IF(E32&gt;$U$23,"Positive","Negative"))</f>
        <v>Positive</v>
      </c>
      <c r="H32" s="17" t="s">
        <v>12</v>
      </c>
      <c r="I32" s="13">
        <f>E145</f>
        <v>-418.43720299999899</v>
      </c>
      <c r="J32" s="6">
        <f>E144</f>
        <v>-419.79411099999999</v>
      </c>
    </row>
    <row r="33" spans="1:10" thickBot="1" x14ac:dyDescent="0.6">
      <c r="A33" s="3" t="s">
        <v>9</v>
      </c>
      <c r="B33" s="32">
        <v>1</v>
      </c>
      <c r="C33" s="32">
        <v>20</v>
      </c>
      <c r="D33" s="32" t="s">
        <v>6</v>
      </c>
      <c r="E33" s="32">
        <v>-419.12572599999999</v>
      </c>
      <c r="F33" s="4" t="str">
        <f>IF(D33="Far",IF(E33&lt;$U$23,"Positive","Negative"),IF(E33&gt;$U$23,"Positive","Negative"))</f>
        <v>Negative</v>
      </c>
    </row>
    <row r="34" spans="1:10" thickBot="1" x14ac:dyDescent="0.6">
      <c r="A34" s="3" t="s">
        <v>9</v>
      </c>
      <c r="B34" s="32">
        <v>1</v>
      </c>
      <c r="C34" s="32">
        <v>40</v>
      </c>
      <c r="D34" s="32" t="s">
        <v>8</v>
      </c>
      <c r="E34" s="32">
        <v>-411.72718200000003</v>
      </c>
      <c r="F34" s="4" t="str">
        <f>IF(D34="Far",IF(E34&lt;$U$23,"Positive","Negative"),IF(E34&gt;$U$23,"Positive","Negative"))</f>
        <v>Positive</v>
      </c>
      <c r="H34" s="14">
        <v>5</v>
      </c>
      <c r="I34" s="10" t="s">
        <v>6</v>
      </c>
      <c r="J34" s="9" t="s">
        <v>8</v>
      </c>
    </row>
    <row r="35" spans="1:10" x14ac:dyDescent="0.55000000000000004">
      <c r="A35" s="3" t="s">
        <v>9</v>
      </c>
      <c r="B35" s="32">
        <v>1</v>
      </c>
      <c r="C35" s="32">
        <v>40</v>
      </c>
      <c r="D35" s="32" t="s">
        <v>6</v>
      </c>
      <c r="E35" s="32">
        <v>-418.61914799999897</v>
      </c>
      <c r="F35" s="4" t="str">
        <f>IF(D35="Far",IF(E35&lt;$U$23,"Positive","Negative"),IF(E35&gt;$U$23,"Positive","Negative"))</f>
        <v>Negative</v>
      </c>
      <c r="H35" s="15" t="s">
        <v>5</v>
      </c>
      <c r="I35" s="11">
        <f>E31</f>
        <v>-394.819296047904</v>
      </c>
      <c r="J35" s="7">
        <f>E30</f>
        <v>-413.39908600000001</v>
      </c>
    </row>
    <row r="36" spans="1:10" x14ac:dyDescent="0.55000000000000004">
      <c r="A36" s="3" t="s">
        <v>9</v>
      </c>
      <c r="B36" s="32">
        <v>1</v>
      </c>
      <c r="C36" s="32">
        <v>50</v>
      </c>
      <c r="D36" s="32" t="s">
        <v>8</v>
      </c>
      <c r="E36" s="32">
        <v>-411.47698599999899</v>
      </c>
      <c r="F36" s="4" t="str">
        <f>IF(D36="Far",IF(E36&lt;$U$23,"Positive","Negative"),IF(E36&gt;$U$23,"Positive","Negative"))</f>
        <v>Positive</v>
      </c>
      <c r="H36" s="16" t="s">
        <v>9</v>
      </c>
      <c r="I36" s="12">
        <f>E61</f>
        <v>-408.15661299999903</v>
      </c>
      <c r="J36" s="4">
        <f>E60</f>
        <v>-414.65309600000001</v>
      </c>
    </row>
    <row r="37" spans="1:10" x14ac:dyDescent="0.55000000000000004">
      <c r="A37" s="3" t="s">
        <v>9</v>
      </c>
      <c r="B37" s="32">
        <v>1</v>
      </c>
      <c r="C37" s="32">
        <v>50</v>
      </c>
      <c r="D37" s="32" t="s">
        <v>6</v>
      </c>
      <c r="E37" s="32">
        <v>-418.45319699999902</v>
      </c>
      <c r="F37" s="4" t="str">
        <f>IF(D37="Far",IF(E37&lt;$U$23,"Positive","Negative"),IF(E37&gt;$U$23,"Positive","Negative"))</f>
        <v>Negative</v>
      </c>
      <c r="H37" s="16" t="s">
        <v>10</v>
      </c>
      <c r="I37" s="12">
        <f>E91</f>
        <v>-419.62926700000003</v>
      </c>
      <c r="J37" s="4">
        <f>E90</f>
        <v>-420.29445399999901</v>
      </c>
    </row>
    <row r="38" spans="1:10" x14ac:dyDescent="0.55000000000000004">
      <c r="A38" s="3" t="s">
        <v>9</v>
      </c>
      <c r="B38" s="32">
        <v>2</v>
      </c>
      <c r="C38" s="32">
        <v>20</v>
      </c>
      <c r="D38" s="32" t="s">
        <v>8</v>
      </c>
      <c r="E38" s="32">
        <v>-405.84283199999999</v>
      </c>
      <c r="F38" s="4" t="str">
        <f>IF(D38="Far",IF(E38&lt;$U$23,"Positive","Negative"),IF(E38&gt;$U$23,"Positive","Negative"))</f>
        <v>Negative</v>
      </c>
      <c r="H38" s="16" t="s">
        <v>11</v>
      </c>
      <c r="I38" s="12">
        <f>E121</f>
        <v>-406.13552800000002</v>
      </c>
      <c r="J38" s="4">
        <f>E120</f>
        <v>-406.00706400000001</v>
      </c>
    </row>
    <row r="39" spans="1:10" thickBot="1" x14ac:dyDescent="0.6">
      <c r="A39" s="3" t="s">
        <v>9</v>
      </c>
      <c r="B39" s="32">
        <v>2</v>
      </c>
      <c r="C39" s="32">
        <v>20</v>
      </c>
      <c r="D39" s="32" t="s">
        <v>6</v>
      </c>
      <c r="E39" s="32">
        <v>-415.25006300000001</v>
      </c>
      <c r="F39" s="4" t="str">
        <f>IF(D39="Far",IF(E39&lt;$U$23,"Positive","Negative"),IF(E39&gt;$U$23,"Positive","Negative"))</f>
        <v>Negative</v>
      </c>
      <c r="H39" s="17" t="s">
        <v>12</v>
      </c>
      <c r="I39" s="13">
        <f>E151</f>
        <v>-409.99116199999997</v>
      </c>
      <c r="J39" s="6">
        <f>E150</f>
        <v>-417.65571555555499</v>
      </c>
    </row>
    <row r="40" spans="1:10" x14ac:dyDescent="0.55000000000000004">
      <c r="A40" s="3" t="s">
        <v>9</v>
      </c>
      <c r="B40" s="32">
        <v>2</v>
      </c>
      <c r="C40" s="32">
        <v>40</v>
      </c>
      <c r="D40" s="32" t="s">
        <v>8</v>
      </c>
      <c r="E40" s="32">
        <v>-405.09318699999898</v>
      </c>
      <c r="F40" s="4" t="str">
        <f>IF(D40="Far",IF(E40&lt;$U$23,"Positive","Negative"),IF(E40&gt;$U$23,"Positive","Negative"))</f>
        <v>Negative</v>
      </c>
    </row>
    <row r="41" spans="1:10" x14ac:dyDescent="0.55000000000000004">
      <c r="A41" s="3" t="s">
        <v>9</v>
      </c>
      <c r="B41" s="32">
        <v>2</v>
      </c>
      <c r="C41" s="32">
        <v>40</v>
      </c>
      <c r="D41" s="32" t="s">
        <v>6</v>
      </c>
      <c r="E41" s="32">
        <v>-414.56993199999903</v>
      </c>
      <c r="F41" s="4" t="str">
        <f>IF(D41="Far",IF(E41&lt;$U$23,"Positive","Negative"),IF(E41&gt;$U$23,"Positive","Negative"))</f>
        <v>Negative</v>
      </c>
    </row>
    <row r="42" spans="1:10" x14ac:dyDescent="0.55000000000000004">
      <c r="A42" s="3" t="s">
        <v>9</v>
      </c>
      <c r="B42" s="32">
        <v>2</v>
      </c>
      <c r="C42" s="32">
        <v>50</v>
      </c>
      <c r="D42" s="32" t="s">
        <v>8</v>
      </c>
      <c r="E42" s="32">
        <v>-404.95466699999997</v>
      </c>
      <c r="F42" s="4" t="str">
        <f>IF(D42="Far",IF(E42&lt;$U$23,"Positive","Negative"),IF(E42&gt;$U$23,"Positive","Negative"))</f>
        <v>Negative</v>
      </c>
    </row>
    <row r="43" spans="1:10" x14ac:dyDescent="0.55000000000000004">
      <c r="A43" s="3" t="s">
        <v>9</v>
      </c>
      <c r="B43" s="32">
        <v>2</v>
      </c>
      <c r="C43" s="32">
        <v>50</v>
      </c>
      <c r="D43" s="32" t="s">
        <v>6</v>
      </c>
      <c r="E43" s="32">
        <v>-414.43664799999902</v>
      </c>
      <c r="F43" s="4" t="str">
        <f>IF(D43="Far",IF(E43&lt;$U$23,"Positive","Negative"),IF(E43&gt;$U$23,"Positive","Negative"))</f>
        <v>Negative</v>
      </c>
    </row>
    <row r="44" spans="1:10" x14ac:dyDescent="0.55000000000000004">
      <c r="A44" s="3" t="s">
        <v>9</v>
      </c>
      <c r="B44" s="32">
        <v>3</v>
      </c>
      <c r="C44" s="32">
        <v>20</v>
      </c>
      <c r="D44" s="32" t="s">
        <v>8</v>
      </c>
      <c r="E44" s="32">
        <v>-408.31250899999998</v>
      </c>
      <c r="F44" s="4" t="str">
        <f>IF(D44="Far",IF(E44&lt;$U$23,"Positive","Negative"),IF(E44&gt;$U$23,"Positive","Negative"))</f>
        <v>Positive</v>
      </c>
    </row>
    <row r="45" spans="1:10" x14ac:dyDescent="0.55000000000000004">
      <c r="A45" s="3" t="s">
        <v>9</v>
      </c>
      <c r="B45" s="32">
        <v>3</v>
      </c>
      <c r="C45" s="32">
        <v>20</v>
      </c>
      <c r="D45" s="32" t="s">
        <v>6</v>
      </c>
      <c r="E45" s="32">
        <v>-404.740951</v>
      </c>
      <c r="F45" s="4" t="str">
        <f>IF(D45="Far",IF(E45&lt;$U$23,"Positive","Negative"),IF(E45&gt;$U$23,"Positive","Negative"))</f>
        <v>Positive</v>
      </c>
    </row>
    <row r="46" spans="1:10" x14ac:dyDescent="0.55000000000000004">
      <c r="A46" s="3" t="s">
        <v>9</v>
      </c>
      <c r="B46" s="32">
        <v>3</v>
      </c>
      <c r="C46" s="32">
        <v>40</v>
      </c>
      <c r="D46" s="32" t="s">
        <v>8</v>
      </c>
      <c r="E46" s="32">
        <v>-407.79607700000003</v>
      </c>
      <c r="F46" s="4" t="str">
        <f>IF(D46="Far",IF(E46&lt;$U$23,"Positive","Negative"),IF(E46&gt;$U$23,"Positive","Negative"))</f>
        <v>Positive</v>
      </c>
    </row>
    <row r="47" spans="1:10" x14ac:dyDescent="0.55000000000000004">
      <c r="A47" s="3" t="s">
        <v>9</v>
      </c>
      <c r="B47" s="32">
        <v>3</v>
      </c>
      <c r="C47" s="32">
        <v>40</v>
      </c>
      <c r="D47" s="32" t="s">
        <v>6</v>
      </c>
      <c r="E47" s="32">
        <v>-404.36680000000001</v>
      </c>
      <c r="F47" s="4" t="str">
        <f>IF(D47="Far",IF(E47&lt;$U$23,"Positive","Negative"),IF(E47&gt;$U$23,"Positive","Negative"))</f>
        <v>Positive</v>
      </c>
    </row>
    <row r="48" spans="1:10" x14ac:dyDescent="0.55000000000000004">
      <c r="A48" s="3" t="s">
        <v>9</v>
      </c>
      <c r="B48" s="32">
        <v>3</v>
      </c>
      <c r="C48" s="32">
        <v>50</v>
      </c>
      <c r="D48" s="32" t="s">
        <v>8</v>
      </c>
      <c r="E48" s="32">
        <v>-407.48606999999998</v>
      </c>
      <c r="F48" s="4" t="str">
        <f>IF(D48="Far",IF(E48&lt;$U$23,"Positive","Negative"),IF(E48&gt;$U$23,"Positive","Negative"))</f>
        <v>Positive</v>
      </c>
    </row>
    <row r="49" spans="1:15" x14ac:dyDescent="0.55000000000000004">
      <c r="A49" s="3" t="s">
        <v>9</v>
      </c>
      <c r="B49" s="32">
        <v>3</v>
      </c>
      <c r="C49" s="32">
        <v>50</v>
      </c>
      <c r="D49" s="32" t="s">
        <v>6</v>
      </c>
      <c r="E49" s="32">
        <v>-404.19278800000001</v>
      </c>
      <c r="F49" s="4" t="str">
        <f>IF(D49="Far",IF(E49&lt;$U$23,"Positive","Negative"),IF(E49&gt;$U$23,"Positive","Negative"))</f>
        <v>Positive</v>
      </c>
      <c r="H49" t="s">
        <v>35</v>
      </c>
      <c r="I49">
        <f>COUNTIF(F:F,"Positive")</f>
        <v>87</v>
      </c>
      <c r="J49" t="s">
        <v>37</v>
      </c>
      <c r="K49">
        <f>MIN(E2:E151)</f>
        <v>-425.89338799999899</v>
      </c>
      <c r="L49">
        <f>K50 - K49</f>
        <v>31.074091952094989</v>
      </c>
    </row>
    <row r="50" spans="1:15" x14ac:dyDescent="0.55000000000000004">
      <c r="A50" s="3" t="s">
        <v>9</v>
      </c>
      <c r="B50" s="32">
        <v>4</v>
      </c>
      <c r="C50" s="32">
        <v>20</v>
      </c>
      <c r="D50" s="32" t="s">
        <v>8</v>
      </c>
      <c r="E50" s="32">
        <v>-408.51515392354099</v>
      </c>
      <c r="F50" s="4" t="str">
        <f>IF(D50="Far",IF(E50&lt;$U$23,"Positive","Negative"),IF(E50&gt;$U$23,"Positive","Negative"))</f>
        <v>Positive</v>
      </c>
      <c r="H50" t="s">
        <v>36</v>
      </c>
      <c r="I50">
        <f>COUNTIF(F:F,"Negative")</f>
        <v>63</v>
      </c>
      <c r="J50" t="s">
        <v>38</v>
      </c>
      <c r="K50">
        <f>MAX(E2:E151)</f>
        <v>-394.819296047904</v>
      </c>
      <c r="L50">
        <f>L49/11</f>
        <v>2.8249174501904535</v>
      </c>
    </row>
    <row r="51" spans="1:15" thickBot="1" x14ac:dyDescent="0.6">
      <c r="A51" s="3" t="s">
        <v>9</v>
      </c>
      <c r="B51" s="32">
        <v>4</v>
      </c>
      <c r="C51" s="32">
        <v>20</v>
      </c>
      <c r="D51" s="32" t="s">
        <v>6</v>
      </c>
      <c r="E51" s="32">
        <v>-396.967131217565</v>
      </c>
      <c r="F51" s="4" t="str">
        <f>IF(D51="Far",IF(E51&lt;$U$23,"Positive","Negative"),IF(E51&gt;$U$23,"Positive","Negative"))</f>
        <v>Positive</v>
      </c>
    </row>
    <row r="52" spans="1:15" ht="14.4" x14ac:dyDescent="0.55000000000000004">
      <c r="A52" s="3" t="s">
        <v>9</v>
      </c>
      <c r="B52" s="32">
        <v>4</v>
      </c>
      <c r="C52" s="32">
        <v>40</v>
      </c>
      <c r="D52" s="32" t="s">
        <v>8</v>
      </c>
      <c r="E52" s="32">
        <v>-407.572634808852</v>
      </c>
      <c r="F52" s="4" t="str">
        <f>IF(D52="Far",IF(E52&lt;$U$23,"Positive","Negative"),IF(E52&gt;$U$23,"Positive","Negative"))</f>
        <v>Positive</v>
      </c>
      <c r="H52" s="53" t="s">
        <v>39</v>
      </c>
      <c r="I52" s="48" t="s">
        <v>43</v>
      </c>
      <c r="J52" s="39"/>
      <c r="K52" s="48" t="s">
        <v>42</v>
      </c>
      <c r="L52" s="39"/>
      <c r="M52" s="45" t="s">
        <v>44</v>
      </c>
      <c r="N52" s="45" t="s">
        <v>45</v>
      </c>
      <c r="O52" s="46" t="s">
        <v>46</v>
      </c>
    </row>
    <row r="53" spans="1:15" ht="14.7" thickBot="1" x14ac:dyDescent="0.6">
      <c r="A53" s="3" t="s">
        <v>9</v>
      </c>
      <c r="B53" s="32">
        <v>4</v>
      </c>
      <c r="C53" s="32">
        <v>40</v>
      </c>
      <c r="D53" s="32" t="s">
        <v>6</v>
      </c>
      <c r="E53" s="32">
        <v>-396.32921347305398</v>
      </c>
      <c r="F53" s="4" t="str">
        <f>IF(D53="Far",IF(E53&lt;$U$23,"Positive","Negative"),IF(E53&gt;$U$23,"Positive","Negative"))</f>
        <v>Positive</v>
      </c>
      <c r="H53" s="54"/>
      <c r="I53" s="37" t="s">
        <v>40</v>
      </c>
      <c r="J53" s="49" t="s">
        <v>41</v>
      </c>
      <c r="K53" s="5" t="s">
        <v>33</v>
      </c>
      <c r="L53" s="6" t="s">
        <v>41</v>
      </c>
      <c r="M53" s="44"/>
      <c r="N53" s="44"/>
      <c r="O53" s="47"/>
    </row>
    <row r="54" spans="1:15" ht="14.7" thickBot="1" x14ac:dyDescent="0.6">
      <c r="A54" s="3" t="s">
        <v>9</v>
      </c>
      <c r="B54" s="32">
        <v>4</v>
      </c>
      <c r="C54" s="32">
        <v>50</v>
      </c>
      <c r="D54" s="32" t="s">
        <v>8</v>
      </c>
      <c r="E54" s="32">
        <v>-407.41758350100503</v>
      </c>
      <c r="F54" s="4" t="str">
        <f>IF(D54="Far",IF(E54&lt;$U$23,"Positive","Negative"),IF(E54&gt;$U$23,"Positive","Negative"))</f>
        <v>Positive</v>
      </c>
      <c r="H54" s="55"/>
      <c r="I54" s="40"/>
      <c r="J54" s="50"/>
      <c r="K54" s="11">
        <f>0</f>
        <v>0</v>
      </c>
      <c r="L54" s="38">
        <f>0</f>
        <v>0</v>
      </c>
      <c r="M54" s="11">
        <f>1-K54/$K$66</f>
        <v>1</v>
      </c>
      <c r="N54" s="38">
        <f>1-L54/$L$66</f>
        <v>1</v>
      </c>
      <c r="O54" s="7">
        <f>(M55-M56)*N55</f>
        <v>3.4482758620689613E-2</v>
      </c>
    </row>
    <row r="55" spans="1:15" x14ac:dyDescent="0.55000000000000004">
      <c r="A55" s="3" t="s">
        <v>9</v>
      </c>
      <c r="B55" s="32">
        <v>4</v>
      </c>
      <c r="C55" s="32">
        <v>50</v>
      </c>
      <c r="D55" s="32" t="s">
        <v>6</v>
      </c>
      <c r="E55" s="32">
        <v>-396.17139111776402</v>
      </c>
      <c r="F55" s="4" t="str">
        <f>IF(D55="Far",IF(E55&lt;$U$23,"Positive","Negative"),IF(E55&gt;$U$23,"Positive","Negative"))</f>
        <v>Positive</v>
      </c>
      <c r="G55" s="36"/>
      <c r="H55" s="41" t="s">
        <v>47</v>
      </c>
      <c r="I55" s="11">
        <f>COUNTIFS(E:E,"&gt;-403",F:F,"Positive")</f>
        <v>6</v>
      </c>
      <c r="J55" s="38">
        <f>COUNTIFS(E:E,"&gt;-403",F:F,"Negative")</f>
        <v>0</v>
      </c>
      <c r="K55" s="11">
        <f>SUM($I$55:I55)</f>
        <v>6</v>
      </c>
      <c r="L55" s="38">
        <f>SUM($J$55:J55)</f>
        <v>0</v>
      </c>
      <c r="M55" s="11">
        <f>1-K55/$K$66</f>
        <v>0.93103448275862066</v>
      </c>
      <c r="N55" s="38">
        <f>1-L55/$L$66</f>
        <v>1</v>
      </c>
      <c r="O55" s="4">
        <f>(M56-M57)*N56</f>
        <v>7.9182630906768858E-2</v>
      </c>
    </row>
    <row r="56" spans="1:15" x14ac:dyDescent="0.55000000000000004">
      <c r="A56" s="3" t="s">
        <v>9</v>
      </c>
      <c r="B56" s="32">
        <v>5</v>
      </c>
      <c r="C56" s="32">
        <v>20</v>
      </c>
      <c r="D56" s="32" t="s">
        <v>8</v>
      </c>
      <c r="E56" s="32">
        <v>-415.89242899999903</v>
      </c>
      <c r="F56" s="4" t="str">
        <f>IF(D56="Far",IF(E56&lt;$U$23,"Positive","Negative"),IF(E56&gt;$U$23,"Positive","Negative"))</f>
        <v>Positive</v>
      </c>
      <c r="G56" s="36"/>
      <c r="H56" s="42" t="s">
        <v>48</v>
      </c>
      <c r="I56" s="12">
        <f>COUNTIFS(E:E,"&lt;=-403",E:E,"&gt;-405",F:F,"Positive")</f>
        <v>3</v>
      </c>
      <c r="J56" s="32">
        <f>COUNTIFS(E:E,"&lt;=-403",E:E,"&gt;-405",F:F,"Negative")</f>
        <v>1</v>
      </c>
      <c r="K56" s="11">
        <f>SUM($I$55:I56)</f>
        <v>9</v>
      </c>
      <c r="L56" s="38">
        <f>SUM($J$55:J56)</f>
        <v>1</v>
      </c>
      <c r="M56" s="11">
        <f>1-K56/$K$66</f>
        <v>0.89655172413793105</v>
      </c>
      <c r="N56" s="38">
        <f>1-L56/$L$66</f>
        <v>0.98412698412698418</v>
      </c>
      <c r="O56" s="4">
        <f>(M57-M58)*N57</f>
        <v>9.5238095238095233E-2</v>
      </c>
    </row>
    <row r="57" spans="1:15" x14ac:dyDescent="0.55000000000000004">
      <c r="A57" s="3" t="s">
        <v>9</v>
      </c>
      <c r="B57" s="32">
        <v>5</v>
      </c>
      <c r="C57" s="32">
        <v>20</v>
      </c>
      <c r="D57" s="32" t="s">
        <v>6</v>
      </c>
      <c r="E57" s="32">
        <v>-409.07437900000002</v>
      </c>
      <c r="F57" s="4" t="str">
        <f>IF(D57="Far",IF(E57&lt;$U$23,"Positive","Negative"),IF(E57&gt;$U$23,"Positive","Negative"))</f>
        <v>Negative</v>
      </c>
      <c r="G57" s="36"/>
      <c r="H57" s="42" t="s">
        <v>49</v>
      </c>
      <c r="I57" s="12">
        <f>COUNTIFS(E:E,"&lt;=-405",E:E,"&gt;-407",F:F,"Positive")</f>
        <v>7</v>
      </c>
      <c r="J57" s="32">
        <f>COUNTIFS(E:E,"&lt;=-405",E:E,"&gt;-407",F:F,"Negative")</f>
        <v>4</v>
      </c>
      <c r="K57" s="11">
        <f>SUM($I$55:I57)</f>
        <v>16</v>
      </c>
      <c r="L57" s="38">
        <f>SUM($J$55:J57)</f>
        <v>5</v>
      </c>
      <c r="M57" s="11">
        <f>1-K57/$K$66</f>
        <v>0.81609195402298851</v>
      </c>
      <c r="N57" s="38">
        <f>1-L57/$L$66</f>
        <v>0.92063492063492069</v>
      </c>
      <c r="O57" s="4">
        <f>(M58-M60)*N58</f>
        <v>0.12333515781791646</v>
      </c>
    </row>
    <row r="58" spans="1:15" x14ac:dyDescent="0.55000000000000004">
      <c r="A58" s="3" t="s">
        <v>9</v>
      </c>
      <c r="B58" s="32">
        <v>5</v>
      </c>
      <c r="C58" s="32">
        <v>40</v>
      </c>
      <c r="D58" s="32" t="s">
        <v>8</v>
      </c>
      <c r="E58" s="32">
        <v>-414.89013699999902</v>
      </c>
      <c r="F58" s="4" t="str">
        <f>IF(D58="Far",IF(E58&lt;$U$23,"Positive","Negative"),IF(E58&gt;$U$23,"Positive","Negative"))</f>
        <v>Positive</v>
      </c>
      <c r="G58" s="36"/>
      <c r="H58" s="42" t="s">
        <v>50</v>
      </c>
      <c r="I58" s="12">
        <f>COUNTIFS(E:E,"&lt;=-407",E:E,"&gt;-409",F:F,"Positive")</f>
        <v>9</v>
      </c>
      <c r="J58" s="32">
        <f>COUNTIFS(E:E,"&lt;=-407",E:E,"&gt;-409",F:F,"Negative")</f>
        <v>6</v>
      </c>
      <c r="K58" s="11">
        <f>SUM($I$55:I58)</f>
        <v>25</v>
      </c>
      <c r="L58" s="38">
        <f>SUM($J$55:J58)</f>
        <v>11</v>
      </c>
      <c r="M58" s="11">
        <f>1-K58/$K$66</f>
        <v>0.71264367816091956</v>
      </c>
      <c r="N58" s="38">
        <f>1-L58/$L$66</f>
        <v>0.82539682539682535</v>
      </c>
      <c r="O58" s="4">
        <f>(M60-M61)*N60</f>
        <v>6.1302681992337169E-2</v>
      </c>
    </row>
    <row r="59" spans="1:15" x14ac:dyDescent="0.55000000000000004">
      <c r="A59" s="3" t="s">
        <v>9</v>
      </c>
      <c r="B59" s="32">
        <v>5</v>
      </c>
      <c r="C59" s="32">
        <v>40</v>
      </c>
      <c r="D59" s="32" t="s">
        <v>6</v>
      </c>
      <c r="E59" s="32">
        <v>-408.43343399999998</v>
      </c>
      <c r="F59" s="4" t="str">
        <f>IF(D59="Far",IF(E59&lt;$U$23,"Positive","Negative"),IF(E59&gt;$U$23,"Positive","Negative"))</f>
        <v>Negative</v>
      </c>
      <c r="G59" s="36"/>
      <c r="H59" s="42" t="s">
        <v>58</v>
      </c>
      <c r="I59" s="12">
        <f>COUNTIFS(E:E,"&lt;=-409",E:E,"&gt;-411",F:F,"Positive")</f>
        <v>7</v>
      </c>
      <c r="J59" s="32">
        <f>COUNTIFS(E:E,"&lt;=-409",E:E,"&gt;-411",F:F,"Negative")</f>
        <v>5</v>
      </c>
      <c r="K59" s="11">
        <f>SUM($I$55:I59)</f>
        <v>32</v>
      </c>
      <c r="L59" s="38">
        <f>SUM($J$55:J59)</f>
        <v>16</v>
      </c>
      <c r="M59" s="11">
        <f>1-K59/$K$66</f>
        <v>0.63218390804597702</v>
      </c>
      <c r="N59" s="38">
        <f>1-L59/$L$66</f>
        <v>0.74603174603174605</v>
      </c>
      <c r="O59" s="4">
        <f>(M61-M62)*N61</f>
        <v>6.5681444991789795E-2</v>
      </c>
    </row>
    <row r="60" spans="1:15" x14ac:dyDescent="0.55000000000000004">
      <c r="A60" s="3" t="s">
        <v>9</v>
      </c>
      <c r="B60" s="32">
        <v>5</v>
      </c>
      <c r="C60" s="32">
        <v>50</v>
      </c>
      <c r="D60" s="32" t="s">
        <v>8</v>
      </c>
      <c r="E60" s="32">
        <v>-414.65309600000001</v>
      </c>
      <c r="F60" s="4" t="str">
        <f>IF(D60="Far",IF(E60&lt;$U$23,"Positive","Negative"),IF(E60&gt;$U$23,"Positive","Negative"))</f>
        <v>Positive</v>
      </c>
      <c r="G60" s="36"/>
      <c r="H60" s="42" t="s">
        <v>51</v>
      </c>
      <c r="I60" s="12">
        <f>COUNTIFS(E:E,"&lt;=-411",E:E,"&gt;-413",F:F,"Positive")</f>
        <v>6</v>
      </c>
      <c r="J60" s="32">
        <f>COUNTIFS(E:E,"&lt;=-411",E:E,"&gt;-413",F:F,"Negative")</f>
        <v>5</v>
      </c>
      <c r="K60" s="11">
        <f>SUM($I$55:I60)</f>
        <v>38</v>
      </c>
      <c r="L60" s="38">
        <f>SUM($J$55:J60)</f>
        <v>21</v>
      </c>
      <c r="M60" s="11">
        <f>1-K60/$K$66</f>
        <v>0.56321839080459768</v>
      </c>
      <c r="N60" s="38">
        <f>1-L60/$L$66</f>
        <v>0.66666666666666674</v>
      </c>
      <c r="O60" s="4">
        <f>(M61-M62)*N61</f>
        <v>6.5681444991789795E-2</v>
      </c>
    </row>
    <row r="61" spans="1:15" x14ac:dyDescent="0.55000000000000004">
      <c r="A61" s="3" t="s">
        <v>9</v>
      </c>
      <c r="B61" s="32">
        <v>5</v>
      </c>
      <c r="C61" s="32">
        <v>50</v>
      </c>
      <c r="D61" s="32" t="s">
        <v>6</v>
      </c>
      <c r="E61" s="32">
        <v>-408.15661299999903</v>
      </c>
      <c r="F61" s="4" t="str">
        <f>IF(D61="Far",IF(E61&lt;$U$23,"Positive","Negative"),IF(E61&gt;$U$23,"Positive","Negative"))</f>
        <v>Negative</v>
      </c>
      <c r="G61" s="36"/>
      <c r="H61" s="42" t="s">
        <v>52</v>
      </c>
      <c r="I61" s="12">
        <f>COUNTIFS(E:E,"&lt;=-413",E:E,"&gt;-415",F:F,"Positive")</f>
        <v>8</v>
      </c>
      <c r="J61" s="32">
        <f>COUNTIFS(E:E,"&lt;=-413",E:E,"&gt;-415",F:F,"Negative")</f>
        <v>6</v>
      </c>
      <c r="K61" s="11">
        <f>SUM($I$55:I61)</f>
        <v>46</v>
      </c>
      <c r="L61" s="38">
        <f>SUM($J$55:J61)</f>
        <v>27</v>
      </c>
      <c r="M61" s="11">
        <f>1-K61/$K$66</f>
        <v>0.47126436781609193</v>
      </c>
      <c r="N61" s="38">
        <f>1-L61/$L$66</f>
        <v>0.5714285714285714</v>
      </c>
      <c r="O61" s="4">
        <f>(M62-M63)*N62</f>
        <v>2.1893814997263297E-2</v>
      </c>
    </row>
    <row r="62" spans="1:15" x14ac:dyDescent="0.55000000000000004">
      <c r="A62" s="3" t="s">
        <v>13</v>
      </c>
      <c r="B62" s="32">
        <v>1</v>
      </c>
      <c r="C62" s="32">
        <v>20</v>
      </c>
      <c r="D62" s="32" t="s">
        <v>8</v>
      </c>
      <c r="E62" s="32">
        <v>-410.67274900000001</v>
      </c>
      <c r="F62" s="4" t="str">
        <f>IF(D62="Far",IF(E62&lt;$U$23,"Positive","Negative"),IF(E62&gt;$U$23,"Positive","Negative"))</f>
        <v>Positive</v>
      </c>
      <c r="G62" s="36"/>
      <c r="H62" s="42" t="s">
        <v>53</v>
      </c>
      <c r="I62" s="12">
        <f>COUNTIFS(E:E,"&lt;=-415",E:E,"&gt;-417",F:F,"Positive")</f>
        <v>10</v>
      </c>
      <c r="J62" s="32">
        <f>COUNTIFS(E:E,"&lt;=-415",E:E,"&gt;-417",F:F,"Negative")</f>
        <v>6</v>
      </c>
      <c r="K62" s="11">
        <f>SUM($I$55:I62)</f>
        <v>56</v>
      </c>
      <c r="L62" s="38">
        <f>SUM($J$55:J62)</f>
        <v>33</v>
      </c>
      <c r="M62" s="11">
        <f>1-K62/$K$66</f>
        <v>0.35632183908045978</v>
      </c>
      <c r="N62" s="38">
        <f>1-L62/$L$66</f>
        <v>0.47619047619047616</v>
      </c>
      <c r="O62" s="4">
        <f>(M63-M64)*N63</f>
        <v>3.9408866995073885E-2</v>
      </c>
    </row>
    <row r="63" spans="1:15" x14ac:dyDescent="0.55000000000000004">
      <c r="A63" s="3" t="s">
        <v>13</v>
      </c>
      <c r="B63" s="32">
        <v>1</v>
      </c>
      <c r="C63" s="32">
        <v>20</v>
      </c>
      <c r="D63" s="32" t="s">
        <v>6</v>
      </c>
      <c r="E63" s="32">
        <v>-407.56582500000002</v>
      </c>
      <c r="F63" s="4" t="str">
        <f>IF(D63="Far",IF(E63&lt;$U$23,"Positive","Negative"),IF(E63&gt;$U$23,"Positive","Negative"))</f>
        <v>Negative</v>
      </c>
      <c r="G63" s="36"/>
      <c r="H63" s="42" t="s">
        <v>54</v>
      </c>
      <c r="I63" s="12">
        <f>COUNTIFS(E:E,"&lt;=-417",E:E,"&gt;-419",F:F,"Positive")</f>
        <v>4</v>
      </c>
      <c r="J63" s="32">
        <f>COUNTIFS(E:E,"&lt;=-417",E:E,"&gt;-419",F:F,"Negative")</f>
        <v>6</v>
      </c>
      <c r="K63" s="11">
        <f>SUM($I$55:I63)</f>
        <v>60</v>
      </c>
      <c r="L63" s="38">
        <f>SUM($J$55:J63)</f>
        <v>39</v>
      </c>
      <c r="M63" s="11">
        <f>1-K63/$K$66</f>
        <v>0.31034482758620685</v>
      </c>
      <c r="N63" s="38">
        <f>1-L63/$L$66</f>
        <v>0.38095238095238093</v>
      </c>
      <c r="O63" s="4">
        <f>(M64-M65)*N64</f>
        <v>1.9704433497536943E-2</v>
      </c>
    </row>
    <row r="64" spans="1:15" x14ac:dyDescent="0.55000000000000004">
      <c r="A64" s="3" t="s">
        <v>13</v>
      </c>
      <c r="B64" s="32">
        <v>1</v>
      </c>
      <c r="C64" s="32">
        <v>40</v>
      </c>
      <c r="D64" s="32" t="s">
        <v>8</v>
      </c>
      <c r="E64" s="32">
        <v>-409.771413</v>
      </c>
      <c r="F64" s="4" t="str">
        <f>IF(D64="Far",IF(E64&lt;$U$23,"Positive","Negative"),IF(E64&gt;$U$23,"Positive","Negative"))</f>
        <v>Positive</v>
      </c>
      <c r="G64" s="36"/>
      <c r="H64" s="42" t="s">
        <v>55</v>
      </c>
      <c r="I64" s="12">
        <f>COUNTIFS(E:E,"&lt;=-419",E:E,"&gt;-421",F:F,"Positive")</f>
        <v>9</v>
      </c>
      <c r="J64" s="12">
        <f>COUNTIFS(E:E,"&lt;=-419",E:E,"&gt;-421",F:F,"Negative")</f>
        <v>15</v>
      </c>
      <c r="K64" s="11">
        <f>SUM($I$55:I64)</f>
        <v>69</v>
      </c>
      <c r="L64" s="38">
        <f>SUM($J$55:J64)</f>
        <v>54</v>
      </c>
      <c r="M64" s="11">
        <f>1-K64/$K$66</f>
        <v>0.2068965517241379</v>
      </c>
      <c r="N64" s="38">
        <f>1-L64/$L$66</f>
        <v>0.1428571428571429</v>
      </c>
      <c r="O64" s="4">
        <f>(M65-M66)*N65</f>
        <v>9.85221674876848E-3</v>
      </c>
    </row>
    <row r="65" spans="1:15" x14ac:dyDescent="0.55000000000000004">
      <c r="A65" s="3" t="s">
        <v>13</v>
      </c>
      <c r="B65" s="32">
        <v>1</v>
      </c>
      <c r="C65" s="32">
        <v>40</v>
      </c>
      <c r="D65" s="32" t="s">
        <v>6</v>
      </c>
      <c r="E65" s="32">
        <v>-406.76716299999998</v>
      </c>
      <c r="F65" s="4" t="str">
        <f>IF(D65="Far",IF(E65&lt;$U$23,"Positive","Negative"),IF(E65&gt;$U$23,"Positive","Negative"))</f>
        <v>Positive</v>
      </c>
      <c r="G65" s="36"/>
      <c r="H65" s="60" t="s">
        <v>56</v>
      </c>
      <c r="I65" s="61">
        <f>COUNTIFS(E:E,"&lt;=-421",E:E,"&gt;-423",F:F,"Positive")</f>
        <v>12</v>
      </c>
      <c r="J65" s="61">
        <f>COUNTIFS(E:E,"&lt;=-421",E:E,"&gt;-423",F:F,"Negative")</f>
        <v>0</v>
      </c>
      <c r="K65" s="62">
        <f>SUM($I$55:I65)</f>
        <v>81</v>
      </c>
      <c r="L65" s="63">
        <f>SUM($J$55:J65)</f>
        <v>54</v>
      </c>
      <c r="M65" s="62">
        <f>1-K65/$K$66</f>
        <v>6.8965517241379337E-2</v>
      </c>
      <c r="N65" s="63">
        <f>1-L65/$L$66</f>
        <v>0.1428571428571429</v>
      </c>
      <c r="O65" s="64">
        <f>(M66-M67)*N66</f>
        <v>0</v>
      </c>
    </row>
    <row r="66" spans="1:15" thickBot="1" x14ac:dyDescent="0.6">
      <c r="A66" s="3" t="s">
        <v>13</v>
      </c>
      <c r="B66" s="32">
        <v>1</v>
      </c>
      <c r="C66" s="32">
        <v>50</v>
      </c>
      <c r="D66" s="32" t="s">
        <v>8</v>
      </c>
      <c r="E66" s="32">
        <v>-409.57085599999999</v>
      </c>
      <c r="F66" s="4" t="str">
        <f>IF(D66="Far",IF(E66&lt;$U$23,"Positive","Negative"),IF(E66&gt;$U$23,"Positive","Negative"))</f>
        <v>Positive</v>
      </c>
      <c r="G66" s="36"/>
      <c r="H66" s="43" t="s">
        <v>57</v>
      </c>
      <c r="I66" s="13">
        <f>COUNTIFS(E:E,"&lt;=-423",F:F,"Positive")</f>
        <v>6</v>
      </c>
      <c r="J66" s="13">
        <f>COUNTIFS(E:E,"&lt;-423",F:F,"Negative")</f>
        <v>9</v>
      </c>
      <c r="K66" s="13">
        <f>SUM($I$55:I66)</f>
        <v>87</v>
      </c>
      <c r="L66" s="34">
        <f>SUM($J$55:J66)</f>
        <v>63</v>
      </c>
      <c r="M66" s="13">
        <f>1-K66/$K$66</f>
        <v>0</v>
      </c>
      <c r="N66" s="34">
        <f>1-L66/$L$66</f>
        <v>0</v>
      </c>
      <c r="O66" s="6">
        <f>(M67-M68)*N67</f>
        <v>0</v>
      </c>
    </row>
    <row r="67" spans="1:15" x14ac:dyDescent="0.55000000000000004">
      <c r="A67" s="3" t="s">
        <v>13</v>
      </c>
      <c r="B67" s="32">
        <v>1</v>
      </c>
      <c r="C67" s="32">
        <v>50</v>
      </c>
      <c r="D67" s="32" t="s">
        <v>6</v>
      </c>
      <c r="E67" s="32">
        <v>-406.64960100000002</v>
      </c>
      <c r="F67" s="4" t="str">
        <f>IF(D67="Far",IF(E67&lt;$U$23,"Positive","Negative"),IF(E67&gt;$U$23,"Positive","Negative"))</f>
        <v>Positive</v>
      </c>
      <c r="H67" s="36"/>
    </row>
    <row r="68" spans="1:15" thickBot="1" x14ac:dyDescent="0.6">
      <c r="A68" s="3" t="s">
        <v>13</v>
      </c>
      <c r="B68" s="32">
        <v>2</v>
      </c>
      <c r="C68" s="32">
        <v>20</v>
      </c>
      <c r="D68" s="32" t="s">
        <v>8</v>
      </c>
      <c r="E68" s="32">
        <v>-422.81209799999999</v>
      </c>
      <c r="F68" s="4" t="str">
        <f>IF(D68="Far",IF(E68&lt;$U$23,"Positive","Negative"),IF(E68&gt;$U$23,"Positive","Negative"))</f>
        <v>Positive</v>
      </c>
    </row>
    <row r="69" spans="1:15" x14ac:dyDescent="0.55000000000000004">
      <c r="A69" s="3" t="s">
        <v>13</v>
      </c>
      <c r="B69" s="32">
        <v>2</v>
      </c>
      <c r="C69" s="32">
        <v>20</v>
      </c>
      <c r="D69" s="32" t="s">
        <v>6</v>
      </c>
      <c r="E69" s="32">
        <v>-420.43545299999897</v>
      </c>
      <c r="F69" s="4" t="str">
        <f>IF(D69="Far",IF(E69&lt;$U$23,"Positive","Negative"),IF(E69&gt;$U$23,"Positive","Negative"))</f>
        <v>Negative</v>
      </c>
      <c r="L69" s="56">
        <v>0</v>
      </c>
      <c r="M69" s="57">
        <v>0</v>
      </c>
    </row>
    <row r="70" spans="1:15" thickBot="1" x14ac:dyDescent="0.6">
      <c r="A70" s="3" t="s">
        <v>13</v>
      </c>
      <c r="B70" s="32">
        <v>2</v>
      </c>
      <c r="C70" s="32">
        <v>40</v>
      </c>
      <c r="D70" s="32" t="s">
        <v>8</v>
      </c>
      <c r="E70" s="32">
        <v>-422.35555099999902</v>
      </c>
      <c r="F70" s="4" t="str">
        <f>IF(D70="Far",IF(E70&lt;$U$23,"Positive","Negative"),IF(E70&gt;$U$23,"Positive","Negative"))</f>
        <v>Positive</v>
      </c>
      <c r="L70" s="58">
        <v>1</v>
      </c>
      <c r="M70" s="59">
        <v>1</v>
      </c>
    </row>
    <row r="71" spans="1:15" x14ac:dyDescent="0.55000000000000004">
      <c r="A71" s="3" t="s">
        <v>13</v>
      </c>
      <c r="B71" s="32">
        <v>2</v>
      </c>
      <c r="C71" s="32">
        <v>40</v>
      </c>
      <c r="D71" s="32" t="s">
        <v>6</v>
      </c>
      <c r="E71" s="32">
        <v>-420.59463199999902</v>
      </c>
      <c r="F71" s="4" t="str">
        <f>IF(D71="Far",IF(E71&lt;$U$23,"Positive","Negative"),IF(E71&gt;$U$23,"Positive","Negative"))</f>
        <v>Negative</v>
      </c>
    </row>
    <row r="72" spans="1:15" x14ac:dyDescent="0.55000000000000004">
      <c r="A72" s="3" t="s">
        <v>13</v>
      </c>
      <c r="B72" s="32">
        <v>2</v>
      </c>
      <c r="C72" s="32">
        <v>50</v>
      </c>
      <c r="D72" s="32" t="s">
        <v>8</v>
      </c>
      <c r="E72" s="32">
        <v>-422.18893999999898</v>
      </c>
      <c r="F72" s="4" t="str">
        <f>IF(D72="Far",IF(E72&lt;$U$23,"Positive","Negative"),IF(E72&gt;$U$23,"Positive","Negative"))</f>
        <v>Positive</v>
      </c>
    </row>
    <row r="73" spans="1:15" x14ac:dyDescent="0.55000000000000004">
      <c r="A73" s="3" t="s">
        <v>13</v>
      </c>
      <c r="B73" s="32">
        <v>2</v>
      </c>
      <c r="C73" s="32">
        <v>50</v>
      </c>
      <c r="D73" s="32" t="s">
        <v>6</v>
      </c>
      <c r="E73" s="32">
        <v>-420.01772099999903</v>
      </c>
      <c r="F73" s="4" t="str">
        <f>IF(D73="Far",IF(E73&lt;$U$23,"Positive","Negative"),IF(E73&gt;$U$23,"Positive","Negative"))</f>
        <v>Negative</v>
      </c>
    </row>
    <row r="74" spans="1:15" x14ac:dyDescent="0.55000000000000004">
      <c r="A74" s="3" t="s">
        <v>13</v>
      </c>
      <c r="B74" s="32">
        <v>3</v>
      </c>
      <c r="C74" s="32">
        <v>20</v>
      </c>
      <c r="D74" s="32" t="s">
        <v>8</v>
      </c>
      <c r="E74" s="32">
        <v>-422.84276699999998</v>
      </c>
      <c r="F74" s="4" t="str">
        <f>IF(D74="Far",IF(E74&lt;$U$23,"Positive","Negative"),IF(E74&gt;$U$23,"Positive","Negative"))</f>
        <v>Positive</v>
      </c>
      <c r="M74">
        <f>SUM(M54:N66)</f>
        <v>14.822660098522165</v>
      </c>
    </row>
    <row r="75" spans="1:15" x14ac:dyDescent="0.55000000000000004">
      <c r="A75" s="3" t="s">
        <v>13</v>
      </c>
      <c r="B75" s="32">
        <v>3</v>
      </c>
      <c r="C75" s="32">
        <v>20</v>
      </c>
      <c r="D75" s="32" t="s">
        <v>6</v>
      </c>
      <c r="E75" s="32">
        <v>-415.91119300000003</v>
      </c>
      <c r="F75" s="4" t="str">
        <f>IF(D75="Far",IF(E75&lt;$U$23,"Positive","Negative"),IF(E75&gt;$U$23,"Positive","Negative"))</f>
        <v>Negative</v>
      </c>
    </row>
    <row r="76" spans="1:15" x14ac:dyDescent="0.55000000000000004">
      <c r="A76" s="3" t="s">
        <v>13</v>
      </c>
      <c r="B76" s="32">
        <v>3</v>
      </c>
      <c r="C76" s="32">
        <v>40</v>
      </c>
      <c r="D76" s="32" t="s">
        <v>8</v>
      </c>
      <c r="E76" s="32">
        <v>-421.43637799999902</v>
      </c>
      <c r="F76" s="4" t="str">
        <f>IF(D76="Far",IF(E76&lt;$U$23,"Positive","Negative"),IF(E76&gt;$U$23,"Positive","Negative"))</f>
        <v>Positive</v>
      </c>
    </row>
    <row r="77" spans="1:15" x14ac:dyDescent="0.55000000000000004">
      <c r="A77" s="3" t="s">
        <v>13</v>
      </c>
      <c r="B77" s="32">
        <v>3</v>
      </c>
      <c r="C77" s="32">
        <v>40</v>
      </c>
      <c r="D77" s="32" t="s">
        <v>6</v>
      </c>
      <c r="E77" s="32">
        <v>-415.15921500000002</v>
      </c>
      <c r="F77" s="4" t="str">
        <f>IF(D77="Far",IF(E77&lt;$U$23,"Positive","Negative"),IF(E77&gt;$U$23,"Positive","Negative"))</f>
        <v>Negative</v>
      </c>
    </row>
    <row r="78" spans="1:15" x14ac:dyDescent="0.55000000000000004">
      <c r="A78" s="3" t="s">
        <v>13</v>
      </c>
      <c r="B78" s="32">
        <v>3</v>
      </c>
      <c r="C78" s="32">
        <v>50</v>
      </c>
      <c r="D78" s="32" t="s">
        <v>8</v>
      </c>
      <c r="E78" s="32">
        <v>-421.18398100000002</v>
      </c>
      <c r="F78" s="4" t="str">
        <f>IF(D78="Far",IF(E78&lt;$U$23,"Positive","Negative"),IF(E78&gt;$U$23,"Positive","Negative"))</f>
        <v>Positive</v>
      </c>
    </row>
    <row r="79" spans="1:15" x14ac:dyDescent="0.55000000000000004">
      <c r="A79" s="3" t="s">
        <v>13</v>
      </c>
      <c r="B79" s="32">
        <v>3</v>
      </c>
      <c r="C79" s="32">
        <v>50</v>
      </c>
      <c r="D79" s="32" t="s">
        <v>6</v>
      </c>
      <c r="E79" s="32">
        <v>-414.96102100000002</v>
      </c>
      <c r="F79" s="4" t="str">
        <f>IF(D79="Far",IF(E79&lt;$U$23,"Positive","Negative"),IF(E79&gt;$U$23,"Positive","Negative"))</f>
        <v>Negative</v>
      </c>
    </row>
    <row r="80" spans="1:15" x14ac:dyDescent="0.55000000000000004">
      <c r="A80" s="3" t="s">
        <v>13</v>
      </c>
      <c r="B80" s="32">
        <v>4</v>
      </c>
      <c r="C80" s="32">
        <v>20</v>
      </c>
      <c r="D80" s="32" t="s">
        <v>8</v>
      </c>
      <c r="E80" s="32">
        <v>-422.29122799999999</v>
      </c>
      <c r="F80" s="4" t="str">
        <f>IF(D80="Far",IF(E80&lt;$U$23,"Positive","Negative"),IF(E80&gt;$U$23,"Positive","Negative"))</f>
        <v>Positive</v>
      </c>
    </row>
    <row r="81" spans="1:6" x14ac:dyDescent="0.55000000000000004">
      <c r="A81" s="3" t="s">
        <v>13</v>
      </c>
      <c r="B81" s="32">
        <v>4</v>
      </c>
      <c r="C81" s="32">
        <v>20</v>
      </c>
      <c r="D81" s="32" t="s">
        <v>6</v>
      </c>
      <c r="E81" s="32">
        <v>-419.96551199999902</v>
      </c>
      <c r="F81" s="4" t="str">
        <f>IF(D81="Far",IF(E81&lt;$U$23,"Positive","Negative"),IF(E81&gt;$U$23,"Positive","Negative"))</f>
        <v>Negative</v>
      </c>
    </row>
    <row r="82" spans="1:6" x14ac:dyDescent="0.55000000000000004">
      <c r="A82" s="3" t="s">
        <v>13</v>
      </c>
      <c r="B82" s="32">
        <v>4</v>
      </c>
      <c r="C82" s="32">
        <v>40</v>
      </c>
      <c r="D82" s="32" t="s">
        <v>8</v>
      </c>
      <c r="E82" s="32">
        <v>-421.29346500000003</v>
      </c>
      <c r="F82" s="4" t="str">
        <f>IF(D82="Far",IF(E82&lt;$U$23,"Positive","Negative"),IF(E82&gt;$U$23,"Positive","Negative"))</f>
        <v>Positive</v>
      </c>
    </row>
    <row r="83" spans="1:6" x14ac:dyDescent="0.55000000000000004">
      <c r="A83" s="3" t="s">
        <v>13</v>
      </c>
      <c r="B83" s="32">
        <v>4</v>
      </c>
      <c r="C83" s="32">
        <v>40</v>
      </c>
      <c r="D83" s="32" t="s">
        <v>6</v>
      </c>
      <c r="E83" s="32">
        <v>-419.35160100000002</v>
      </c>
      <c r="F83" s="4" t="str">
        <f>IF(D83="Far",IF(E83&lt;$U$23,"Positive","Negative"),IF(E83&gt;$U$23,"Positive","Negative"))</f>
        <v>Negative</v>
      </c>
    </row>
    <row r="84" spans="1:6" x14ac:dyDescent="0.55000000000000004">
      <c r="A84" s="3" t="s">
        <v>13</v>
      </c>
      <c r="B84" s="32">
        <v>4</v>
      </c>
      <c r="C84" s="32">
        <v>50</v>
      </c>
      <c r="D84" s="32" t="s">
        <v>8</v>
      </c>
      <c r="E84" s="32">
        <v>-420.73586799999998</v>
      </c>
      <c r="F84" s="4" t="str">
        <f>IF(D84="Far",IF(E84&lt;$U$23,"Positive","Negative"),IF(E84&gt;$U$23,"Positive","Negative"))</f>
        <v>Positive</v>
      </c>
    </row>
    <row r="85" spans="1:6" x14ac:dyDescent="0.55000000000000004">
      <c r="A85" s="3" t="s">
        <v>13</v>
      </c>
      <c r="B85" s="32">
        <v>4</v>
      </c>
      <c r="C85" s="32">
        <v>50</v>
      </c>
      <c r="D85" s="32" t="s">
        <v>6</v>
      </c>
      <c r="E85" s="32">
        <v>-419.16714400000001</v>
      </c>
      <c r="F85" s="4" t="str">
        <f>IF(D85="Far",IF(E85&lt;$U$23,"Positive","Negative"),IF(E85&gt;$U$23,"Positive","Negative"))</f>
        <v>Negative</v>
      </c>
    </row>
    <row r="86" spans="1:6" x14ac:dyDescent="0.55000000000000004">
      <c r="A86" s="3" t="s">
        <v>13</v>
      </c>
      <c r="B86" s="32">
        <v>5</v>
      </c>
      <c r="C86" s="32">
        <v>20</v>
      </c>
      <c r="D86" s="32" t="s">
        <v>8</v>
      </c>
      <c r="E86" s="32">
        <v>-422.165154999999</v>
      </c>
      <c r="F86" s="4" t="str">
        <f>IF(D86="Far",IF(E86&lt;$U$23,"Positive","Negative"),IF(E86&gt;$U$23,"Positive","Negative"))</f>
        <v>Positive</v>
      </c>
    </row>
    <row r="87" spans="1:6" x14ac:dyDescent="0.55000000000000004">
      <c r="A87" s="3" t="s">
        <v>13</v>
      </c>
      <c r="B87" s="32">
        <v>5</v>
      </c>
      <c r="C87" s="32">
        <v>20</v>
      </c>
      <c r="D87" s="32" t="s">
        <v>6</v>
      </c>
      <c r="E87" s="32">
        <v>-420.9948</v>
      </c>
      <c r="F87" s="4" t="str">
        <f>IF(D87="Far",IF(E87&lt;$U$23,"Positive","Negative"),IF(E87&gt;$U$23,"Positive","Negative"))</f>
        <v>Negative</v>
      </c>
    </row>
    <row r="88" spans="1:6" x14ac:dyDescent="0.55000000000000004">
      <c r="A88" s="3" t="s">
        <v>13</v>
      </c>
      <c r="B88" s="32">
        <v>5</v>
      </c>
      <c r="C88" s="32">
        <v>40</v>
      </c>
      <c r="D88" s="32" t="s">
        <v>8</v>
      </c>
      <c r="E88" s="32">
        <v>-420.43174699999901</v>
      </c>
      <c r="F88" s="4" t="str">
        <f>IF(D88="Far",IF(E88&lt;$U$23,"Positive","Negative"),IF(E88&gt;$U$23,"Positive","Negative"))</f>
        <v>Positive</v>
      </c>
    </row>
    <row r="89" spans="1:6" x14ac:dyDescent="0.55000000000000004">
      <c r="A89" s="3" t="s">
        <v>13</v>
      </c>
      <c r="B89" s="32">
        <v>5</v>
      </c>
      <c r="C89" s="32">
        <v>40</v>
      </c>
      <c r="D89" s="32" t="s">
        <v>6</v>
      </c>
      <c r="E89" s="32">
        <v>-419.843842</v>
      </c>
      <c r="F89" s="4" t="str">
        <f>IF(D89="Far",IF(E89&lt;$U$23,"Positive","Negative"),IF(E89&gt;$U$23,"Positive","Negative"))</f>
        <v>Negative</v>
      </c>
    </row>
    <row r="90" spans="1:6" x14ac:dyDescent="0.55000000000000004">
      <c r="A90" s="3" t="s">
        <v>13</v>
      </c>
      <c r="B90" s="32">
        <v>5</v>
      </c>
      <c r="C90" s="32">
        <v>50</v>
      </c>
      <c r="D90" s="32" t="s">
        <v>8</v>
      </c>
      <c r="E90" s="32">
        <v>-420.29445399999901</v>
      </c>
      <c r="F90" s="4" t="str">
        <f>IF(D90="Far",IF(E90&lt;$U$23,"Positive","Negative"),IF(E90&gt;$U$23,"Positive","Negative"))</f>
        <v>Positive</v>
      </c>
    </row>
    <row r="91" spans="1:6" x14ac:dyDescent="0.55000000000000004">
      <c r="A91" s="3" t="s">
        <v>13</v>
      </c>
      <c r="B91" s="32">
        <v>5</v>
      </c>
      <c r="C91" s="32">
        <v>50</v>
      </c>
      <c r="D91" s="32" t="s">
        <v>6</v>
      </c>
      <c r="E91" s="32">
        <v>-419.62926700000003</v>
      </c>
      <c r="F91" s="4" t="str">
        <f>IF(D91="Far",IF(E91&lt;$U$23,"Positive","Negative"),IF(E91&gt;$U$23,"Positive","Negative"))</f>
        <v>Negative</v>
      </c>
    </row>
    <row r="92" spans="1:6" x14ac:dyDescent="0.55000000000000004">
      <c r="A92" s="3" t="s">
        <v>11</v>
      </c>
      <c r="B92" s="32">
        <v>1</v>
      </c>
      <c r="C92" s="32">
        <v>20</v>
      </c>
      <c r="D92" s="32" t="s">
        <v>8</v>
      </c>
      <c r="E92" s="32">
        <v>-420.75463399999899</v>
      </c>
      <c r="F92" s="4" t="str">
        <f>IF(D92="Far",IF(E92&lt;$U$23,"Positive","Negative"),IF(E92&gt;$U$23,"Positive","Negative"))</f>
        <v>Positive</v>
      </c>
    </row>
    <row r="93" spans="1:6" x14ac:dyDescent="0.55000000000000004">
      <c r="A93" s="3" t="s">
        <v>11</v>
      </c>
      <c r="B93" s="32">
        <v>1</v>
      </c>
      <c r="C93" s="32">
        <v>20</v>
      </c>
      <c r="D93" s="32" t="s">
        <v>6</v>
      </c>
      <c r="E93" s="32">
        <v>-425.12276800000001</v>
      </c>
      <c r="F93" s="4" t="str">
        <f>IF(D93="Far",IF(E93&lt;$U$23,"Positive","Negative"),IF(E93&gt;$U$23,"Positive","Negative"))</f>
        <v>Negative</v>
      </c>
    </row>
    <row r="94" spans="1:6" x14ac:dyDescent="0.55000000000000004">
      <c r="A94" s="3" t="s">
        <v>11</v>
      </c>
      <c r="B94" s="32">
        <v>1</v>
      </c>
      <c r="C94" s="32">
        <v>40</v>
      </c>
      <c r="D94" s="32" t="s">
        <v>8</v>
      </c>
      <c r="E94" s="32">
        <v>-419.226676</v>
      </c>
      <c r="F94" s="4" t="str">
        <f>IF(D94="Far",IF(E94&lt;$U$23,"Positive","Negative"),IF(E94&gt;$U$23,"Positive","Negative"))</f>
        <v>Positive</v>
      </c>
    </row>
    <row r="95" spans="1:6" x14ac:dyDescent="0.55000000000000004">
      <c r="A95" s="3" t="s">
        <v>11</v>
      </c>
      <c r="B95" s="32">
        <v>1</v>
      </c>
      <c r="C95" s="32">
        <v>40</v>
      </c>
      <c r="D95" s="32" t="s">
        <v>6</v>
      </c>
      <c r="E95" s="32">
        <v>-424.60326999999899</v>
      </c>
      <c r="F95" s="4" t="str">
        <f>IF(D95="Far",IF(E95&lt;$U$23,"Positive","Negative"),IF(E95&gt;$U$23,"Positive","Negative"))</f>
        <v>Negative</v>
      </c>
    </row>
    <row r="96" spans="1:6" x14ac:dyDescent="0.55000000000000004">
      <c r="A96" s="3" t="s">
        <v>11</v>
      </c>
      <c r="B96" s="32">
        <v>1</v>
      </c>
      <c r="C96" s="32">
        <v>50</v>
      </c>
      <c r="D96" s="32" t="s">
        <v>8</v>
      </c>
      <c r="E96" s="32">
        <v>-419.16707400000001</v>
      </c>
      <c r="F96" s="4" t="str">
        <f>IF(D96="Far",IF(E96&lt;$U$23,"Positive","Negative"),IF(E96&gt;$U$23,"Positive","Negative"))</f>
        <v>Positive</v>
      </c>
    </row>
    <row r="97" spans="1:6" x14ac:dyDescent="0.55000000000000004">
      <c r="A97" s="3" t="s">
        <v>11</v>
      </c>
      <c r="B97" s="32">
        <v>1</v>
      </c>
      <c r="C97" s="32">
        <v>50</v>
      </c>
      <c r="D97" s="32" t="s">
        <v>6</v>
      </c>
      <c r="E97" s="32">
        <v>-424.45169299999901</v>
      </c>
      <c r="F97" s="4" t="str">
        <f>IF(D97="Far",IF(E97&lt;$U$23,"Positive","Negative"),IF(E97&gt;$U$23,"Positive","Negative"))</f>
        <v>Negative</v>
      </c>
    </row>
    <row r="98" spans="1:6" x14ac:dyDescent="0.55000000000000004">
      <c r="A98" s="3" t="s">
        <v>11</v>
      </c>
      <c r="B98" s="32">
        <v>2</v>
      </c>
      <c r="C98" s="32">
        <v>20</v>
      </c>
      <c r="D98" s="32" t="s">
        <v>8</v>
      </c>
      <c r="E98" s="32">
        <v>-410.05803100000003</v>
      </c>
      <c r="F98" s="4" t="str">
        <f>IF(D98="Far",IF(E98&lt;$U$23,"Positive","Negative"),IF(E98&gt;$U$23,"Positive","Negative"))</f>
        <v>Positive</v>
      </c>
    </row>
    <row r="99" spans="1:6" x14ac:dyDescent="0.55000000000000004">
      <c r="A99" s="3" t="s">
        <v>11</v>
      </c>
      <c r="B99" s="32">
        <v>2</v>
      </c>
      <c r="C99" s="32">
        <v>20</v>
      </c>
      <c r="D99" s="32" t="s">
        <v>6</v>
      </c>
      <c r="E99" s="32">
        <v>-416.27615899999898</v>
      </c>
      <c r="F99" s="4" t="str">
        <f>IF(D99="Far",IF(E99&lt;$U$23,"Positive","Negative"),IF(E99&gt;$U$23,"Positive","Negative"))</f>
        <v>Negative</v>
      </c>
    </row>
    <row r="100" spans="1:6" x14ac:dyDescent="0.55000000000000004">
      <c r="A100" s="3" t="s">
        <v>11</v>
      </c>
      <c r="B100" s="32">
        <v>2</v>
      </c>
      <c r="C100" s="32">
        <v>40</v>
      </c>
      <c r="D100" s="32" t="s">
        <v>8</v>
      </c>
      <c r="E100" s="32">
        <v>-409.29817400000002</v>
      </c>
      <c r="F100" s="4" t="str">
        <f>IF(D100="Far",IF(E100&lt;$U$23,"Positive","Negative"),IF(E100&gt;$U$23,"Positive","Negative"))</f>
        <v>Positive</v>
      </c>
    </row>
    <row r="101" spans="1:6" x14ac:dyDescent="0.55000000000000004">
      <c r="A101" s="3" t="s">
        <v>11</v>
      </c>
      <c r="B101" s="32">
        <v>2</v>
      </c>
      <c r="C101" s="32">
        <v>40</v>
      </c>
      <c r="D101" s="32" t="s">
        <v>6</v>
      </c>
      <c r="E101" s="32">
        <v>-415.70050099999997</v>
      </c>
      <c r="F101" s="4" t="str">
        <f>IF(D101="Far",IF(E101&lt;$U$23,"Positive","Negative"),IF(E101&gt;$U$23,"Positive","Negative"))</f>
        <v>Negative</v>
      </c>
    </row>
    <row r="102" spans="1:6" x14ac:dyDescent="0.55000000000000004">
      <c r="A102" s="3" t="s">
        <v>11</v>
      </c>
      <c r="B102" s="32">
        <v>2</v>
      </c>
      <c r="C102" s="32">
        <v>50</v>
      </c>
      <c r="D102" s="32" t="s">
        <v>8</v>
      </c>
      <c r="E102" s="32">
        <v>-408.87715500000002</v>
      </c>
      <c r="F102" s="4" t="str">
        <f>IF(D102="Far",IF(E102&lt;$U$23,"Positive","Negative"),IF(E102&gt;$U$23,"Positive","Negative"))</f>
        <v>Positive</v>
      </c>
    </row>
    <row r="103" spans="1:6" x14ac:dyDescent="0.55000000000000004">
      <c r="A103" s="3" t="s">
        <v>11</v>
      </c>
      <c r="B103" s="32">
        <v>2</v>
      </c>
      <c r="C103" s="32">
        <v>50</v>
      </c>
      <c r="D103" s="32" t="s">
        <v>6</v>
      </c>
      <c r="E103" s="32">
        <v>-415.51702199999897</v>
      </c>
      <c r="F103" s="4" t="str">
        <f>IF(D103="Far",IF(E103&lt;$U$23,"Positive","Negative"),IF(E103&gt;$U$23,"Positive","Negative"))</f>
        <v>Negative</v>
      </c>
    </row>
    <row r="104" spans="1:6" x14ac:dyDescent="0.55000000000000004">
      <c r="A104" s="3" t="s">
        <v>11</v>
      </c>
      <c r="B104" s="32">
        <v>3</v>
      </c>
      <c r="C104" s="32">
        <v>20</v>
      </c>
      <c r="D104" s="32" t="s">
        <v>8</v>
      </c>
      <c r="E104" s="32">
        <v>-422.56145299999997</v>
      </c>
      <c r="F104" s="4" t="str">
        <f>IF(D104="Far",IF(E104&lt;$U$23,"Positive","Negative"),IF(E104&gt;$U$23,"Positive","Negative"))</f>
        <v>Positive</v>
      </c>
    </row>
    <row r="105" spans="1:6" x14ac:dyDescent="0.55000000000000004">
      <c r="A105" s="3" t="s">
        <v>11</v>
      </c>
      <c r="B105" s="32">
        <v>3</v>
      </c>
      <c r="C105" s="32">
        <v>20</v>
      </c>
      <c r="D105" s="32" t="s">
        <v>6</v>
      </c>
      <c r="E105" s="32">
        <v>-419.002397999999</v>
      </c>
      <c r="F105" s="4" t="str">
        <f>IF(D105="Far",IF(E105&lt;$U$23,"Positive","Negative"),IF(E105&gt;$U$23,"Positive","Negative"))</f>
        <v>Negative</v>
      </c>
    </row>
    <row r="106" spans="1:6" x14ac:dyDescent="0.55000000000000004">
      <c r="A106" s="3" t="s">
        <v>11</v>
      </c>
      <c r="B106" s="32">
        <v>3</v>
      </c>
      <c r="C106" s="32">
        <v>40</v>
      </c>
      <c r="D106" s="32" t="s">
        <v>8</v>
      </c>
      <c r="E106" s="32">
        <v>-421.517438999999</v>
      </c>
      <c r="F106" s="4" t="str">
        <f>IF(D106="Far",IF(E106&lt;$U$23,"Positive","Negative"),IF(E106&gt;$U$23,"Positive","Negative"))</f>
        <v>Positive</v>
      </c>
    </row>
    <row r="107" spans="1:6" x14ac:dyDescent="0.55000000000000004">
      <c r="A107" s="3" t="s">
        <v>11</v>
      </c>
      <c r="B107" s="32">
        <v>3</v>
      </c>
      <c r="C107" s="32">
        <v>40</v>
      </c>
      <c r="D107" s="32" t="s">
        <v>6</v>
      </c>
      <c r="E107" s="32">
        <v>-418.22338000000002</v>
      </c>
      <c r="F107" s="4" t="str">
        <f>IF(D107="Far",IF(E107&lt;$U$23,"Positive","Negative"),IF(E107&gt;$U$23,"Positive","Negative"))</f>
        <v>Negative</v>
      </c>
    </row>
    <row r="108" spans="1:6" x14ac:dyDescent="0.55000000000000004">
      <c r="A108" s="3" t="s">
        <v>11</v>
      </c>
      <c r="B108" s="32">
        <v>3</v>
      </c>
      <c r="C108" s="32">
        <v>50</v>
      </c>
      <c r="D108" s="32" t="s">
        <v>8</v>
      </c>
      <c r="E108" s="32">
        <v>-421.29773499999902</v>
      </c>
      <c r="F108" s="4" t="str">
        <f>IF(D108="Far",IF(E108&lt;$U$23,"Positive","Negative"),IF(E108&gt;$U$23,"Positive","Negative"))</f>
        <v>Positive</v>
      </c>
    </row>
    <row r="109" spans="1:6" x14ac:dyDescent="0.55000000000000004">
      <c r="A109" s="3" t="s">
        <v>11</v>
      </c>
      <c r="B109" s="32">
        <v>3</v>
      </c>
      <c r="C109" s="32">
        <v>50</v>
      </c>
      <c r="D109" s="32" t="s">
        <v>6</v>
      </c>
      <c r="E109" s="32">
        <v>-418.05220600000001</v>
      </c>
      <c r="F109" s="4" t="str">
        <f>IF(D109="Far",IF(E109&lt;$U$23,"Positive","Negative"),IF(E109&gt;$U$23,"Positive","Negative"))</f>
        <v>Negative</v>
      </c>
    </row>
    <row r="110" spans="1:6" x14ac:dyDescent="0.55000000000000004">
      <c r="A110" s="3" t="s">
        <v>11</v>
      </c>
      <c r="B110" s="32">
        <v>4</v>
      </c>
      <c r="C110" s="32">
        <v>20</v>
      </c>
      <c r="D110" s="32" t="s">
        <v>8</v>
      </c>
      <c r="E110" s="32">
        <v>-416.92977299999899</v>
      </c>
      <c r="F110" s="4" t="str">
        <f>IF(D110="Far",IF(E110&lt;$U$23,"Positive","Negative"),IF(E110&gt;$U$23,"Positive","Negative"))</f>
        <v>Positive</v>
      </c>
    </row>
    <row r="111" spans="1:6" x14ac:dyDescent="0.55000000000000004">
      <c r="A111" s="3" t="s">
        <v>11</v>
      </c>
      <c r="B111" s="32">
        <v>4</v>
      </c>
      <c r="C111" s="32">
        <v>20</v>
      </c>
      <c r="D111" s="32" t="s">
        <v>6</v>
      </c>
      <c r="E111" s="32">
        <v>-406.27683499999898</v>
      </c>
      <c r="F111" s="4" t="str">
        <f>IF(D111="Far",IF(E111&lt;$U$23,"Positive","Negative"),IF(E111&gt;$U$23,"Positive","Negative"))</f>
        <v>Positive</v>
      </c>
    </row>
    <row r="112" spans="1:6" x14ac:dyDescent="0.55000000000000004">
      <c r="A112" s="3" t="s">
        <v>11</v>
      </c>
      <c r="B112" s="32">
        <v>4</v>
      </c>
      <c r="C112" s="32">
        <v>40</v>
      </c>
      <c r="D112" s="32" t="s">
        <v>8</v>
      </c>
      <c r="E112" s="32">
        <v>-416.49412499999897</v>
      </c>
      <c r="F112" s="4" t="str">
        <f>IF(D112="Far",IF(E112&lt;$U$23,"Positive","Negative"),IF(E112&gt;$U$23,"Positive","Negative"))</f>
        <v>Positive</v>
      </c>
    </row>
    <row r="113" spans="1:6" x14ac:dyDescent="0.55000000000000004">
      <c r="A113" s="3" t="s">
        <v>11</v>
      </c>
      <c r="B113" s="32">
        <v>4</v>
      </c>
      <c r="C113" s="32">
        <v>40</v>
      </c>
      <c r="D113" s="32" t="s">
        <v>6</v>
      </c>
      <c r="E113" s="32">
        <v>-405.73248000000001</v>
      </c>
      <c r="F113" s="4" t="str">
        <f>IF(D113="Far",IF(E113&lt;$U$23,"Positive","Negative"),IF(E113&gt;$U$23,"Positive","Negative"))</f>
        <v>Positive</v>
      </c>
    </row>
    <row r="114" spans="1:6" x14ac:dyDescent="0.55000000000000004">
      <c r="A114" s="3" t="s">
        <v>11</v>
      </c>
      <c r="B114" s="32">
        <v>4</v>
      </c>
      <c r="C114" s="32">
        <v>50</v>
      </c>
      <c r="D114" s="32" t="s">
        <v>8</v>
      </c>
      <c r="E114" s="32">
        <v>-416.371116999999</v>
      </c>
      <c r="F114" s="4" t="str">
        <f>IF(D114="Far",IF(E114&lt;$U$23,"Positive","Negative"),IF(E114&gt;$U$23,"Positive","Negative"))</f>
        <v>Positive</v>
      </c>
    </row>
    <row r="115" spans="1:6" x14ac:dyDescent="0.55000000000000004">
      <c r="A115" s="3" t="s">
        <v>11</v>
      </c>
      <c r="B115" s="32">
        <v>4</v>
      </c>
      <c r="C115" s="32">
        <v>50</v>
      </c>
      <c r="D115" s="32" t="s">
        <v>6</v>
      </c>
      <c r="E115" s="32">
        <v>-405.56886600000001</v>
      </c>
      <c r="F115" s="4" t="str">
        <f>IF(D115="Far",IF(E115&lt;$U$23,"Positive","Negative"),IF(E115&gt;$U$23,"Positive","Negative"))</f>
        <v>Positive</v>
      </c>
    </row>
    <row r="116" spans="1:6" x14ac:dyDescent="0.55000000000000004">
      <c r="A116" s="3" t="s">
        <v>11</v>
      </c>
      <c r="B116" s="32">
        <v>5</v>
      </c>
      <c r="C116" s="32">
        <v>20</v>
      </c>
      <c r="D116" s="32" t="s">
        <v>8</v>
      </c>
      <c r="E116" s="32">
        <v>-407.114633999999</v>
      </c>
      <c r="F116" s="4" t="str">
        <f>IF(D116="Far",IF(E116&lt;$U$23,"Positive","Negative"),IF(E116&gt;$U$23,"Positive","Negative"))</f>
        <v>Positive</v>
      </c>
    </row>
    <row r="117" spans="1:6" x14ac:dyDescent="0.55000000000000004">
      <c r="A117" s="3" t="s">
        <v>11</v>
      </c>
      <c r="B117" s="32">
        <v>5</v>
      </c>
      <c r="C117" s="32">
        <v>20</v>
      </c>
      <c r="D117" s="32" t="s">
        <v>6</v>
      </c>
      <c r="E117" s="32">
        <v>-407.05493599999897</v>
      </c>
      <c r="F117" s="4" t="str">
        <f>IF(D117="Far",IF(E117&lt;$U$23,"Positive","Negative"),IF(E117&gt;$U$23,"Positive","Negative"))</f>
        <v>Positive</v>
      </c>
    </row>
    <row r="118" spans="1:6" x14ac:dyDescent="0.55000000000000004">
      <c r="A118" s="3" t="s">
        <v>11</v>
      </c>
      <c r="B118" s="32">
        <v>5</v>
      </c>
      <c r="C118" s="32">
        <v>40</v>
      </c>
      <c r="D118" s="32" t="s">
        <v>8</v>
      </c>
      <c r="E118" s="32">
        <v>-406.25314499999899</v>
      </c>
      <c r="F118" s="4" t="str">
        <f>IF(D118="Far",IF(E118&lt;$U$23,"Positive","Negative"),IF(E118&gt;$U$23,"Positive","Negative"))</f>
        <v>Negative</v>
      </c>
    </row>
    <row r="119" spans="1:6" x14ac:dyDescent="0.55000000000000004">
      <c r="A119" s="3" t="s">
        <v>11</v>
      </c>
      <c r="B119" s="32">
        <v>5</v>
      </c>
      <c r="C119" s="32">
        <v>40</v>
      </c>
      <c r="D119" s="32" t="s">
        <v>6</v>
      </c>
      <c r="E119" s="32">
        <v>-406.38059299999998</v>
      </c>
      <c r="F119" s="4" t="str">
        <f>IF(D119="Far",IF(E119&lt;$U$23,"Positive","Negative"),IF(E119&gt;$U$23,"Positive","Negative"))</f>
        <v>Positive</v>
      </c>
    </row>
    <row r="120" spans="1:6" x14ac:dyDescent="0.55000000000000004">
      <c r="A120" s="3" t="s">
        <v>11</v>
      </c>
      <c r="B120" s="32">
        <v>5</v>
      </c>
      <c r="C120" s="32">
        <v>50</v>
      </c>
      <c r="D120" s="32" t="s">
        <v>8</v>
      </c>
      <c r="E120" s="32">
        <v>-406.00706400000001</v>
      </c>
      <c r="F120" s="4" t="str">
        <f>IF(D120="Far",IF(E120&lt;$U$23,"Positive","Negative"),IF(E120&gt;$U$23,"Positive","Negative"))</f>
        <v>Negative</v>
      </c>
    </row>
    <row r="121" spans="1:6" x14ac:dyDescent="0.55000000000000004">
      <c r="A121" s="3" t="s">
        <v>11</v>
      </c>
      <c r="B121" s="32">
        <v>5</v>
      </c>
      <c r="C121" s="32">
        <v>50</v>
      </c>
      <c r="D121" s="32" t="s">
        <v>6</v>
      </c>
      <c r="E121" s="32">
        <v>-406.13552800000002</v>
      </c>
      <c r="F121" s="4" t="str">
        <f>IF(D121="Far",IF(E121&lt;$U$23,"Positive","Negative"),IF(E121&gt;$U$23,"Positive","Negative"))</f>
        <v>Positive</v>
      </c>
    </row>
    <row r="122" spans="1:6" x14ac:dyDescent="0.55000000000000004">
      <c r="A122" s="3" t="s">
        <v>12</v>
      </c>
      <c r="B122" s="32">
        <v>1</v>
      </c>
      <c r="C122" s="32">
        <v>20</v>
      </c>
      <c r="D122" s="32" t="s">
        <v>8</v>
      </c>
      <c r="E122" s="32">
        <v>-425.28542399999901</v>
      </c>
      <c r="F122" s="4" t="str">
        <f>IF(D122="Far",IF(E122&lt;$U$23,"Positive","Negative"),IF(E122&gt;$U$23,"Positive","Negative"))</f>
        <v>Positive</v>
      </c>
    </row>
    <row r="123" spans="1:6" x14ac:dyDescent="0.55000000000000004">
      <c r="A123" s="3" t="s">
        <v>12</v>
      </c>
      <c r="B123" s="32">
        <v>1</v>
      </c>
      <c r="C123" s="32">
        <v>20</v>
      </c>
      <c r="D123" s="32" t="s">
        <v>6</v>
      </c>
      <c r="E123" s="32">
        <v>-424.47572499999899</v>
      </c>
      <c r="F123" s="4" t="str">
        <f>IF(D123="Far",IF(E123&lt;$U$23,"Positive","Negative"),IF(E123&gt;$U$23,"Positive","Negative"))</f>
        <v>Negative</v>
      </c>
    </row>
    <row r="124" spans="1:6" x14ac:dyDescent="0.55000000000000004">
      <c r="A124" s="3" t="s">
        <v>12</v>
      </c>
      <c r="B124" s="32">
        <v>1</v>
      </c>
      <c r="C124" s="32">
        <v>40</v>
      </c>
      <c r="D124" s="32" t="s">
        <v>8</v>
      </c>
      <c r="E124" s="32">
        <v>-424.89020799999997</v>
      </c>
      <c r="F124" s="4" t="str">
        <f>IF(D124="Far",IF(E124&lt;$U$23,"Positive","Negative"),IF(E124&gt;$U$23,"Positive","Negative"))</f>
        <v>Positive</v>
      </c>
    </row>
    <row r="125" spans="1:6" x14ac:dyDescent="0.55000000000000004">
      <c r="A125" s="3" t="s">
        <v>12</v>
      </c>
      <c r="B125" s="32">
        <v>1</v>
      </c>
      <c r="C125" s="32">
        <v>40</v>
      </c>
      <c r="D125" s="32" t="s">
        <v>6</v>
      </c>
      <c r="E125" s="32">
        <v>-424.02974</v>
      </c>
      <c r="F125" s="4" t="str">
        <f>IF(D125="Far",IF(E125&lt;$U$23,"Positive","Negative"),IF(E125&gt;$U$23,"Positive","Negative"))</f>
        <v>Negative</v>
      </c>
    </row>
    <row r="126" spans="1:6" x14ac:dyDescent="0.55000000000000004">
      <c r="A126" s="3" t="s">
        <v>12</v>
      </c>
      <c r="B126" s="32">
        <v>1</v>
      </c>
      <c r="C126" s="32">
        <v>50</v>
      </c>
      <c r="D126" s="32" t="s">
        <v>8</v>
      </c>
      <c r="E126" s="32">
        <v>-424.73098499999998</v>
      </c>
      <c r="F126" s="4" t="str">
        <f>IF(D126="Far",IF(E126&lt;$U$23,"Positive","Negative"),IF(E126&gt;$U$23,"Positive","Negative"))</f>
        <v>Positive</v>
      </c>
    </row>
    <row r="127" spans="1:6" x14ac:dyDescent="0.55000000000000004">
      <c r="A127" s="3" t="s">
        <v>12</v>
      </c>
      <c r="B127" s="32">
        <v>1</v>
      </c>
      <c r="C127" s="32">
        <v>50</v>
      </c>
      <c r="D127" s="32" t="s">
        <v>6</v>
      </c>
      <c r="E127" s="32">
        <v>-423.91091499999999</v>
      </c>
      <c r="F127" s="4" t="str">
        <f>IF(D127="Far",IF(E127&lt;$U$23,"Positive","Negative"),IF(E127&gt;$U$23,"Positive","Negative"))</f>
        <v>Negative</v>
      </c>
    </row>
    <row r="128" spans="1:6" x14ac:dyDescent="0.55000000000000004">
      <c r="A128" s="3" t="s">
        <v>12</v>
      </c>
      <c r="B128" s="32">
        <v>2</v>
      </c>
      <c r="C128" s="32">
        <v>20</v>
      </c>
      <c r="D128" s="32" t="s">
        <v>8</v>
      </c>
      <c r="E128" s="32">
        <v>-425.89338799999899</v>
      </c>
      <c r="F128" s="4" t="str">
        <f>IF(D128="Far",IF(E128&lt;$U$23,"Positive","Negative"),IF(E128&gt;$U$23,"Positive","Negative"))</f>
        <v>Positive</v>
      </c>
    </row>
    <row r="129" spans="1:6" x14ac:dyDescent="0.55000000000000004">
      <c r="A129" s="3" t="s">
        <v>12</v>
      </c>
      <c r="B129" s="32">
        <v>2</v>
      </c>
      <c r="C129" s="32">
        <v>20</v>
      </c>
      <c r="D129" s="32" t="s">
        <v>6</v>
      </c>
      <c r="E129" s="32">
        <v>-425.30879099999999</v>
      </c>
      <c r="F129" s="4" t="str">
        <f>IF(D129="Far",IF(E129&lt;$U$23,"Positive","Negative"),IF(E129&gt;$U$23,"Positive","Negative"))</f>
        <v>Negative</v>
      </c>
    </row>
    <row r="130" spans="1:6" x14ac:dyDescent="0.55000000000000004">
      <c r="A130" s="3" t="s">
        <v>12</v>
      </c>
      <c r="B130" s="32">
        <v>2</v>
      </c>
      <c r="C130" s="32">
        <v>40</v>
      </c>
      <c r="D130" s="32" t="s">
        <v>8</v>
      </c>
      <c r="E130" s="32">
        <v>-425.47469100000001</v>
      </c>
      <c r="F130" s="4" t="str">
        <f>IF(D130="Far",IF(E130&lt;$U$23,"Positive","Negative"),IF(E130&gt;$U$23,"Positive","Negative"))</f>
        <v>Positive</v>
      </c>
    </row>
    <row r="131" spans="1:6" x14ac:dyDescent="0.55000000000000004">
      <c r="A131" s="3" t="s">
        <v>12</v>
      </c>
      <c r="B131" s="32">
        <v>2</v>
      </c>
      <c r="C131" s="32">
        <v>40</v>
      </c>
      <c r="D131" s="32" t="s">
        <v>6</v>
      </c>
      <c r="E131" s="32">
        <v>-425.01430099999902</v>
      </c>
      <c r="F131" s="4" t="str">
        <f>IF(D131="Far",IF(E131&lt;$U$23,"Positive","Negative"),IF(E131&gt;$U$23,"Positive","Negative"))</f>
        <v>Negative</v>
      </c>
    </row>
    <row r="132" spans="1:6" x14ac:dyDescent="0.55000000000000004">
      <c r="A132" s="3" t="s">
        <v>12</v>
      </c>
      <c r="B132" s="32">
        <v>2</v>
      </c>
      <c r="C132" s="32">
        <v>50</v>
      </c>
      <c r="D132" s="32" t="s">
        <v>8</v>
      </c>
      <c r="E132" s="32">
        <v>-425.32193399999898</v>
      </c>
      <c r="F132" s="4" t="str">
        <f>IF(D132="Far",IF(E132&lt;$U$23,"Positive","Negative"),IF(E132&gt;$U$23,"Positive","Negative"))</f>
        <v>Positive</v>
      </c>
    </row>
    <row r="133" spans="1:6" x14ac:dyDescent="0.55000000000000004">
      <c r="A133" s="3" t="s">
        <v>12</v>
      </c>
      <c r="B133" s="32">
        <v>2</v>
      </c>
      <c r="C133" s="32">
        <v>50</v>
      </c>
      <c r="D133" s="32" t="s">
        <v>6</v>
      </c>
      <c r="E133" s="32">
        <v>-424.86690599999901</v>
      </c>
      <c r="F133" s="4" t="str">
        <f>IF(D133="Far",IF(E133&lt;$U$23,"Positive","Negative"),IF(E133&gt;$U$23,"Positive","Negative"))</f>
        <v>Negative</v>
      </c>
    </row>
    <row r="134" spans="1:6" x14ac:dyDescent="0.55000000000000004">
      <c r="A134" s="3" t="s">
        <v>12</v>
      </c>
      <c r="B134" s="32">
        <v>3</v>
      </c>
      <c r="C134" s="32">
        <v>20</v>
      </c>
      <c r="D134" s="32" t="s">
        <v>8</v>
      </c>
      <c r="E134" s="32">
        <v>-416.30357900000001</v>
      </c>
      <c r="F134" s="4" t="str">
        <f>IF(D134="Far",IF(E134&lt;$U$23,"Positive","Negative"),IF(E134&gt;$U$23,"Positive","Negative"))</f>
        <v>Positive</v>
      </c>
    </row>
    <row r="135" spans="1:6" x14ac:dyDescent="0.55000000000000004">
      <c r="A135" s="3" t="s">
        <v>12</v>
      </c>
      <c r="B135" s="32">
        <v>3</v>
      </c>
      <c r="C135" s="32">
        <v>20</v>
      </c>
      <c r="D135" s="32" t="s">
        <v>6</v>
      </c>
      <c r="E135" s="32">
        <v>-420.30676699999998</v>
      </c>
      <c r="F135" s="4" t="str">
        <f>IF(D135="Far",IF(E135&lt;$U$23,"Positive","Negative"),IF(E135&gt;$U$23,"Positive","Negative"))</f>
        <v>Negative</v>
      </c>
    </row>
    <row r="136" spans="1:6" x14ac:dyDescent="0.55000000000000004">
      <c r="A136" s="3" t="s">
        <v>12</v>
      </c>
      <c r="B136" s="32">
        <v>3</v>
      </c>
      <c r="C136" s="32">
        <v>40</v>
      </c>
      <c r="D136" s="32" t="s">
        <v>8</v>
      </c>
      <c r="E136" s="32">
        <v>-415.817429</v>
      </c>
      <c r="F136" s="4" t="str">
        <f>IF(D136="Far",IF(E136&lt;$U$23,"Positive","Negative"),IF(E136&gt;$U$23,"Positive","Negative"))</f>
        <v>Positive</v>
      </c>
    </row>
    <row r="137" spans="1:6" x14ac:dyDescent="0.55000000000000004">
      <c r="A137" s="3" t="s">
        <v>12</v>
      </c>
      <c r="B137" s="32">
        <v>3</v>
      </c>
      <c r="C137" s="32">
        <v>40</v>
      </c>
      <c r="D137" s="32" t="s">
        <v>6</v>
      </c>
      <c r="E137" s="32">
        <v>-419.78301399999998</v>
      </c>
      <c r="F137" s="4" t="str">
        <f>IF(D137="Far",IF(E137&lt;$U$23,"Positive","Negative"),IF(E137&gt;$U$23,"Positive","Negative"))</f>
        <v>Negative</v>
      </c>
    </row>
    <row r="138" spans="1:6" x14ac:dyDescent="0.55000000000000004">
      <c r="A138" s="3" t="s">
        <v>12</v>
      </c>
      <c r="B138" s="32">
        <v>3</v>
      </c>
      <c r="C138" s="32">
        <v>50</v>
      </c>
      <c r="D138" s="32" t="s">
        <v>8</v>
      </c>
      <c r="E138" s="32">
        <v>-415.583394</v>
      </c>
      <c r="F138" s="4" t="str">
        <f>IF(D138="Far",IF(E138&lt;$U$23,"Positive","Negative"),IF(E138&gt;$U$23,"Positive","Negative"))</f>
        <v>Positive</v>
      </c>
    </row>
    <row r="139" spans="1:6" x14ac:dyDescent="0.55000000000000004">
      <c r="A139" s="3" t="s">
        <v>12</v>
      </c>
      <c r="B139" s="32">
        <v>3</v>
      </c>
      <c r="C139" s="32">
        <v>50</v>
      </c>
      <c r="D139" s="32" t="s">
        <v>6</v>
      </c>
      <c r="E139" s="32">
        <v>-419.52521400000001</v>
      </c>
      <c r="F139" s="4" t="str">
        <f>IF(D139="Far",IF(E139&lt;$U$23,"Positive","Negative"),IF(E139&gt;$U$23,"Positive","Negative"))</f>
        <v>Negative</v>
      </c>
    </row>
    <row r="140" spans="1:6" x14ac:dyDescent="0.55000000000000004">
      <c r="A140" s="3" t="s">
        <v>12</v>
      </c>
      <c r="B140" s="32">
        <v>4</v>
      </c>
      <c r="C140" s="32">
        <v>20</v>
      </c>
      <c r="D140" s="32" t="s">
        <v>8</v>
      </c>
      <c r="E140" s="32">
        <v>-420.74868999999899</v>
      </c>
      <c r="F140" s="4" t="str">
        <f>IF(D140="Far",IF(E140&lt;$U$23,"Positive","Negative"),IF(E140&gt;$U$23,"Positive","Negative"))</f>
        <v>Positive</v>
      </c>
    </row>
    <row r="141" spans="1:6" x14ac:dyDescent="0.55000000000000004">
      <c r="A141" s="3" t="s">
        <v>12</v>
      </c>
      <c r="B141" s="32">
        <v>4</v>
      </c>
      <c r="C141" s="32">
        <v>20</v>
      </c>
      <c r="D141" s="32" t="s">
        <v>6</v>
      </c>
      <c r="E141" s="32">
        <v>-419.41013800000002</v>
      </c>
      <c r="F141" s="4" t="str">
        <f>IF(D141="Far",IF(E141&lt;$U$23,"Positive","Negative"),IF(E141&gt;$U$23,"Positive","Negative"))</f>
        <v>Negative</v>
      </c>
    </row>
    <row r="142" spans="1:6" x14ac:dyDescent="0.55000000000000004">
      <c r="A142" s="3" t="s">
        <v>12</v>
      </c>
      <c r="B142" s="32">
        <v>4</v>
      </c>
      <c r="C142" s="32">
        <v>40</v>
      </c>
      <c r="D142" s="32" t="s">
        <v>8</v>
      </c>
      <c r="E142" s="32">
        <v>-420.01748700000002</v>
      </c>
      <c r="F142" s="4" t="str">
        <f>IF(D142="Far",IF(E142&lt;$U$23,"Positive","Negative"),IF(E142&gt;$U$23,"Positive","Negative"))</f>
        <v>Positive</v>
      </c>
    </row>
    <row r="143" spans="1:6" x14ac:dyDescent="0.55000000000000004">
      <c r="A143" s="3" t="s">
        <v>12</v>
      </c>
      <c r="B143" s="32">
        <v>4</v>
      </c>
      <c r="C143" s="32">
        <v>40</v>
      </c>
      <c r="D143" s="32" t="s">
        <v>6</v>
      </c>
      <c r="E143" s="32">
        <v>-418.65796199999897</v>
      </c>
      <c r="F143" s="4" t="str">
        <f>IF(D143="Far",IF(E143&lt;$U$23,"Positive","Negative"),IF(E143&gt;$U$23,"Positive","Negative"))</f>
        <v>Negative</v>
      </c>
    </row>
    <row r="144" spans="1:6" x14ac:dyDescent="0.55000000000000004">
      <c r="A144" s="3" t="s">
        <v>12</v>
      </c>
      <c r="B144" s="32">
        <v>4</v>
      </c>
      <c r="C144" s="32">
        <v>50</v>
      </c>
      <c r="D144" s="32" t="s">
        <v>8</v>
      </c>
      <c r="E144" s="32">
        <v>-419.79411099999999</v>
      </c>
      <c r="F144" s="4" t="str">
        <f>IF(D144="Far",IF(E144&lt;$U$23,"Positive","Negative"),IF(E144&gt;$U$23,"Positive","Negative"))</f>
        <v>Positive</v>
      </c>
    </row>
    <row r="145" spans="1:6" x14ac:dyDescent="0.55000000000000004">
      <c r="A145" s="3" t="s">
        <v>12</v>
      </c>
      <c r="B145" s="32">
        <v>4</v>
      </c>
      <c r="C145" s="32">
        <v>50</v>
      </c>
      <c r="D145" s="32" t="s">
        <v>6</v>
      </c>
      <c r="E145" s="32">
        <v>-418.43720299999899</v>
      </c>
      <c r="F145" s="4" t="str">
        <f>IF(D145="Far",IF(E145&lt;$U$23,"Positive","Negative"),IF(E145&gt;$U$23,"Positive","Negative"))</f>
        <v>Negative</v>
      </c>
    </row>
    <row r="146" spans="1:6" x14ac:dyDescent="0.55000000000000004">
      <c r="A146" s="3" t="s">
        <v>12</v>
      </c>
      <c r="B146" s="32">
        <v>5</v>
      </c>
      <c r="C146" s="32">
        <v>20</v>
      </c>
      <c r="D146" s="32" t="s">
        <v>8</v>
      </c>
      <c r="E146" s="32">
        <v>-418.494665555555</v>
      </c>
      <c r="F146" s="4" t="str">
        <f>IF(D146="Far",IF(E146&lt;$U$23,"Positive","Negative"),IF(E146&gt;$U$23,"Positive","Negative"))</f>
        <v>Positive</v>
      </c>
    </row>
    <row r="147" spans="1:6" x14ac:dyDescent="0.55000000000000004">
      <c r="A147" s="3" t="s">
        <v>12</v>
      </c>
      <c r="B147" s="32">
        <v>5</v>
      </c>
      <c r="C147" s="32">
        <v>20</v>
      </c>
      <c r="D147" s="32" t="s">
        <v>6</v>
      </c>
      <c r="E147" s="32">
        <v>-410.69423599999999</v>
      </c>
      <c r="F147" s="4" t="str">
        <f>IF(D147="Far",IF(E147&lt;$U$23,"Positive","Negative"),IF(E147&gt;$U$23,"Positive","Negative"))</f>
        <v>Negative</v>
      </c>
    </row>
    <row r="148" spans="1:6" x14ac:dyDescent="0.55000000000000004">
      <c r="A148" s="3" t="s">
        <v>12</v>
      </c>
      <c r="B148" s="32">
        <v>5</v>
      </c>
      <c r="C148" s="32">
        <v>40</v>
      </c>
      <c r="D148" s="32" t="s">
        <v>8</v>
      </c>
      <c r="E148" s="32">
        <v>-417.80031222222198</v>
      </c>
      <c r="F148" s="4" t="str">
        <f>IF(D148="Far",IF(E148&lt;$U$23,"Positive","Negative"),IF(E148&gt;$U$23,"Positive","Negative"))</f>
        <v>Positive</v>
      </c>
    </row>
    <row r="149" spans="1:6" x14ac:dyDescent="0.55000000000000004">
      <c r="A149" s="3" t="s">
        <v>12</v>
      </c>
      <c r="B149" s="32">
        <v>5</v>
      </c>
      <c r="C149" s="32">
        <v>40</v>
      </c>
      <c r="D149" s="32" t="s">
        <v>6</v>
      </c>
      <c r="E149" s="32">
        <v>-410.16981500000003</v>
      </c>
      <c r="F149" s="4" t="str">
        <f>IF(D149="Far",IF(E149&lt;$U$23,"Positive","Negative"),IF(E149&gt;$U$23,"Positive","Negative"))</f>
        <v>Negative</v>
      </c>
    </row>
    <row r="150" spans="1:6" x14ac:dyDescent="0.55000000000000004">
      <c r="A150" s="3" t="s">
        <v>12</v>
      </c>
      <c r="B150" s="32">
        <v>5</v>
      </c>
      <c r="C150" s="32">
        <v>50</v>
      </c>
      <c r="D150" s="32" t="s">
        <v>8</v>
      </c>
      <c r="E150" s="32">
        <v>-417.65571555555499</v>
      </c>
      <c r="F150" s="4" t="str">
        <f>IF(D150="Far",IF(E150&lt;$U$23,"Positive","Negative"),IF(E150&gt;$U$23,"Positive","Negative"))</f>
        <v>Positive</v>
      </c>
    </row>
    <row r="151" spans="1:6" thickBot="1" x14ac:dyDescent="0.6">
      <c r="A151" s="5" t="s">
        <v>12</v>
      </c>
      <c r="B151" s="34">
        <v>5</v>
      </c>
      <c r="C151" s="34">
        <v>50</v>
      </c>
      <c r="D151" s="34" t="s">
        <v>6</v>
      </c>
      <c r="E151" s="34">
        <v>-409.99116199999997</v>
      </c>
      <c r="F151" s="6" t="str">
        <f>IF(D151="Far",IF(E151&lt;$U$23,"Positive","Negative"),IF(E151&gt;$U$23,"Positive","Negative"))</f>
        <v>Negative</v>
      </c>
    </row>
  </sheetData>
  <autoFilter ref="A1:F151" xr:uid="{00000000-0001-0000-0000-000000000000}"/>
  <mergeCells count="9">
    <mergeCell ref="O52:O53"/>
    <mergeCell ref="I53:I54"/>
    <mergeCell ref="J53:J54"/>
    <mergeCell ref="H4:J4"/>
    <mergeCell ref="H52:H54"/>
    <mergeCell ref="I52:J52"/>
    <mergeCell ref="K52:L52"/>
    <mergeCell ref="M52:M53"/>
    <mergeCell ref="N52:N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50%</vt:lpstr>
      <vt:lpstr>40%</vt:lpstr>
      <vt:lpstr>20%</vt:lpstr>
      <vt:lpstr>Original (ALL)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Mangione,Drew</cp:lastModifiedBy>
  <cp:revision/>
  <dcterms:created xsi:type="dcterms:W3CDTF">2024-03-11T17:30:18Z</dcterms:created>
  <dcterms:modified xsi:type="dcterms:W3CDTF">2024-03-13T22:01:47Z</dcterms:modified>
  <cp:category/>
  <cp:contentStatus/>
</cp:coreProperties>
</file>