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lisannebeurskens/Desktop/"/>
    </mc:Choice>
  </mc:AlternateContent>
  <xr:revisionPtr revIDLastSave="0" documentId="8_{0A092A58-358F-454A-9F51-40BC87D6499D}" xr6:coauthVersionLast="45" xr6:coauthVersionMax="45" xr10:uidLastSave="{00000000-0000-0000-0000-000000000000}"/>
  <bookViews>
    <workbookView xWindow="0" yWindow="460" windowWidth="28800" windowHeight="16240" firstSheet="5" activeTab="12" xr2:uid="{00000000-000D-0000-FFFF-FFFF00000000}"/>
  </bookViews>
  <sheets>
    <sheet name="balance sheet MCD" sheetId="1" r:id="rId1"/>
    <sheet name="kengetallen (1) BK" sheetId="2" r:id="rId2"/>
    <sheet name="cash flow MCD" sheetId="3" r:id="rId3"/>
    <sheet name="kengetallen DO" sheetId="4" r:id="rId4"/>
    <sheet name="income statement MCD" sheetId="5" r:id="rId5"/>
    <sheet name="kengetallen MCD" sheetId="6" r:id="rId6"/>
    <sheet name="Balance sheet BK" sheetId="7" r:id="rId7"/>
    <sheet name="income statement (1) BK" sheetId="8" r:id="rId8"/>
    <sheet name="Cash flow BK" sheetId="9" r:id="rId9"/>
    <sheet name="income statement DO" sheetId="10" r:id="rId10"/>
    <sheet name="balance sheet DO" sheetId="11" r:id="rId11"/>
    <sheet name="cash flow DO" sheetId="12" r:id="rId12"/>
    <sheet name="Visuele weergave kengetallen" sheetId="13" r:id="rId13"/>
  </sheets>
  <definedNames>
    <definedName name="ExterneGegevens_1" localSheetId="6">'Balance sheet BK'!$A$1:$G$40</definedName>
    <definedName name="ExterneGegevens_1" localSheetId="8">'Cash flow BK'!$A$1:$G$19</definedName>
    <definedName name="ExterneGegevens_1" localSheetId="7">'income statement (1) BK'!$A$1:$G$30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2" l="1"/>
  <c r="F20" i="12"/>
  <c r="E20" i="12"/>
  <c r="D20" i="12"/>
  <c r="C20" i="12"/>
  <c r="B20" i="12"/>
  <c r="A20" i="12"/>
  <c r="H19" i="12"/>
  <c r="F19" i="12"/>
  <c r="E19" i="12"/>
  <c r="D19" i="12"/>
  <c r="C19" i="12"/>
  <c r="B19" i="12"/>
  <c r="A19" i="12"/>
  <c r="H18" i="12"/>
  <c r="F18" i="12"/>
  <c r="E18" i="12"/>
  <c r="D18" i="12"/>
  <c r="C18" i="12"/>
  <c r="B18" i="12"/>
  <c r="A18" i="12"/>
  <c r="H17" i="12"/>
  <c r="F17" i="12"/>
  <c r="E17" i="12"/>
  <c r="D17" i="12"/>
  <c r="C17" i="12"/>
  <c r="B17" i="12"/>
  <c r="A17" i="12"/>
  <c r="H16" i="12"/>
  <c r="F16" i="12"/>
  <c r="E16" i="12"/>
  <c r="D16" i="12"/>
  <c r="C16" i="12"/>
  <c r="B16" i="12"/>
  <c r="A16" i="12"/>
  <c r="H15" i="12"/>
  <c r="F15" i="12"/>
  <c r="E15" i="12"/>
  <c r="D15" i="12"/>
  <c r="C15" i="12"/>
  <c r="B15" i="12"/>
  <c r="A15" i="12"/>
  <c r="H14" i="12"/>
  <c r="F14" i="12"/>
  <c r="E14" i="12"/>
  <c r="D14" i="12"/>
  <c r="C14" i="12"/>
  <c r="B14" i="12"/>
  <c r="A14" i="12"/>
  <c r="H13" i="12"/>
  <c r="F13" i="12"/>
  <c r="E13" i="12"/>
  <c r="D13" i="12"/>
  <c r="C13" i="12"/>
  <c r="B13" i="12"/>
  <c r="A13" i="12"/>
  <c r="H12" i="12"/>
  <c r="F12" i="12"/>
  <c r="E12" i="12"/>
  <c r="D12" i="12"/>
  <c r="C12" i="12"/>
  <c r="B12" i="12"/>
  <c r="A12" i="12"/>
  <c r="H11" i="12"/>
  <c r="F11" i="12"/>
  <c r="E11" i="12"/>
  <c r="D11" i="12"/>
  <c r="C11" i="12"/>
  <c r="B11" i="12"/>
  <c r="A11" i="12"/>
  <c r="H10" i="12"/>
  <c r="F10" i="12"/>
  <c r="E10" i="12"/>
  <c r="D10" i="12"/>
  <c r="C10" i="12"/>
  <c r="B10" i="12"/>
  <c r="A10" i="12"/>
  <c r="H9" i="12"/>
  <c r="F9" i="12"/>
  <c r="E9" i="12"/>
  <c r="D9" i="12"/>
  <c r="C9" i="12"/>
  <c r="B9" i="12"/>
  <c r="A9" i="12"/>
  <c r="H8" i="12"/>
  <c r="F8" i="12"/>
  <c r="E8" i="12"/>
  <c r="D8" i="12"/>
  <c r="C8" i="12"/>
  <c r="B8" i="12"/>
  <c r="A8" i="12"/>
  <c r="H7" i="12"/>
  <c r="F7" i="12"/>
  <c r="E7" i="12"/>
  <c r="D7" i="12"/>
  <c r="C7" i="12"/>
  <c r="B7" i="12"/>
  <c r="A7" i="12"/>
  <c r="H6" i="12"/>
  <c r="F6" i="12"/>
  <c r="E6" i="12"/>
  <c r="D6" i="12"/>
  <c r="C6" i="12"/>
  <c r="B6" i="12"/>
  <c r="A6" i="12"/>
  <c r="H5" i="12"/>
  <c r="F5" i="12"/>
  <c r="E5" i="12"/>
  <c r="D5" i="12"/>
  <c r="C5" i="12"/>
  <c r="B5" i="12"/>
  <c r="A5" i="12"/>
  <c r="H4" i="12"/>
  <c r="F4" i="12"/>
  <c r="E4" i="12"/>
  <c r="D4" i="12"/>
  <c r="C4" i="12"/>
  <c r="B4" i="12"/>
  <c r="A4" i="12"/>
  <c r="H3" i="12"/>
  <c r="F3" i="12"/>
  <c r="E3" i="12"/>
  <c r="D3" i="12"/>
  <c r="C3" i="12"/>
  <c r="B3" i="12"/>
  <c r="A3" i="12"/>
  <c r="G2" i="12"/>
  <c r="A2" i="12"/>
  <c r="H40" i="11"/>
  <c r="F40" i="11"/>
  <c r="E40" i="11"/>
  <c r="D40" i="11"/>
  <c r="C40" i="11"/>
  <c r="B40" i="11"/>
  <c r="A40" i="11"/>
  <c r="H39" i="11"/>
  <c r="F39" i="11"/>
  <c r="E39" i="11"/>
  <c r="D39" i="11"/>
  <c r="C39" i="11"/>
  <c r="B39" i="11"/>
  <c r="A39" i="11"/>
  <c r="H38" i="11"/>
  <c r="F38" i="11"/>
  <c r="E38" i="11"/>
  <c r="D38" i="11"/>
  <c r="C38" i="11"/>
  <c r="B38" i="11"/>
  <c r="A38" i="11"/>
  <c r="H37" i="11"/>
  <c r="F37" i="11"/>
  <c r="E37" i="11"/>
  <c r="D37" i="11"/>
  <c r="C37" i="11"/>
  <c r="B37" i="11"/>
  <c r="A37" i="11"/>
  <c r="H36" i="11"/>
  <c r="F36" i="11"/>
  <c r="E36" i="11"/>
  <c r="D36" i="11"/>
  <c r="C36" i="11"/>
  <c r="B36" i="11"/>
  <c r="A36" i="11"/>
  <c r="H35" i="11"/>
  <c r="F35" i="11"/>
  <c r="E35" i="11"/>
  <c r="D35" i="11"/>
  <c r="C35" i="11"/>
  <c r="B35" i="11"/>
  <c r="A35" i="11"/>
  <c r="H34" i="11"/>
  <c r="F34" i="11"/>
  <c r="E34" i="11"/>
  <c r="D34" i="11"/>
  <c r="C34" i="11"/>
  <c r="B34" i="11"/>
  <c r="A34" i="11"/>
  <c r="H33" i="11"/>
  <c r="F33" i="11"/>
  <c r="E33" i="11"/>
  <c r="D33" i="11"/>
  <c r="C33" i="11"/>
  <c r="B33" i="11"/>
  <c r="A33" i="11"/>
  <c r="H32" i="11"/>
  <c r="F32" i="11"/>
  <c r="E32" i="11"/>
  <c r="D32" i="11"/>
  <c r="C32" i="11"/>
  <c r="B32" i="11"/>
  <c r="A32" i="11"/>
  <c r="H31" i="11"/>
  <c r="F31" i="11"/>
  <c r="E31" i="11"/>
  <c r="D31" i="11"/>
  <c r="C31" i="11"/>
  <c r="B31" i="11"/>
  <c r="A31" i="11"/>
  <c r="H30" i="11"/>
  <c r="F30" i="11"/>
  <c r="E30" i="11"/>
  <c r="D30" i="11"/>
  <c r="C30" i="11"/>
  <c r="B30" i="11"/>
  <c r="A30" i="11"/>
  <c r="H29" i="11"/>
  <c r="F29" i="11"/>
  <c r="E29" i="11"/>
  <c r="D29" i="11"/>
  <c r="C29" i="11"/>
  <c r="B29" i="11"/>
  <c r="A29" i="11"/>
  <c r="H28" i="11"/>
  <c r="F28" i="11"/>
  <c r="E28" i="11"/>
  <c r="D28" i="11"/>
  <c r="C28" i="11"/>
  <c r="B28" i="11"/>
  <c r="A28" i="11"/>
  <c r="H27" i="11"/>
  <c r="F27" i="11"/>
  <c r="E27" i="11"/>
  <c r="D27" i="11"/>
  <c r="C27" i="11"/>
  <c r="B27" i="11"/>
  <c r="A27" i="11"/>
  <c r="H26" i="11"/>
  <c r="F26" i="11"/>
  <c r="E26" i="11"/>
  <c r="D26" i="11"/>
  <c r="C26" i="11"/>
  <c r="B26" i="11"/>
  <c r="A26" i="11"/>
  <c r="H25" i="11"/>
  <c r="F25" i="11"/>
  <c r="E25" i="11"/>
  <c r="D25" i="11"/>
  <c r="C25" i="11"/>
  <c r="B25" i="11"/>
  <c r="A25" i="11"/>
  <c r="H24" i="11"/>
  <c r="F24" i="11"/>
  <c r="E24" i="11"/>
  <c r="D24" i="11"/>
  <c r="C24" i="11"/>
  <c r="B24" i="11"/>
  <c r="A24" i="11"/>
  <c r="H23" i="11"/>
  <c r="F23" i="11"/>
  <c r="E23" i="11"/>
  <c r="D23" i="11"/>
  <c r="C23" i="11"/>
  <c r="B23" i="11"/>
  <c r="A23" i="11"/>
  <c r="H22" i="11"/>
  <c r="F22" i="11"/>
  <c r="E22" i="11"/>
  <c r="D22" i="11"/>
  <c r="C22" i="11"/>
  <c r="B22" i="11"/>
  <c r="A22" i="11"/>
  <c r="H21" i="11"/>
  <c r="F21" i="11"/>
  <c r="E21" i="11"/>
  <c r="D21" i="11"/>
  <c r="C21" i="11"/>
  <c r="B21" i="11"/>
  <c r="A21" i="11"/>
  <c r="H20" i="11"/>
  <c r="F20" i="11"/>
  <c r="E20" i="11"/>
  <c r="D20" i="11"/>
  <c r="C20" i="11"/>
  <c r="B20" i="11"/>
  <c r="A20" i="11"/>
  <c r="H19" i="11"/>
  <c r="F19" i="11"/>
  <c r="E19" i="11"/>
  <c r="D19" i="11"/>
  <c r="C19" i="11"/>
  <c r="B19" i="11"/>
  <c r="A19" i="11"/>
  <c r="H18" i="11"/>
  <c r="F18" i="11"/>
  <c r="E18" i="11"/>
  <c r="D18" i="11"/>
  <c r="C18" i="11"/>
  <c r="B18" i="11"/>
  <c r="A18" i="11"/>
  <c r="H17" i="11"/>
  <c r="F17" i="11"/>
  <c r="E17" i="11"/>
  <c r="D17" i="11"/>
  <c r="C17" i="11"/>
  <c r="B17" i="11"/>
  <c r="A17" i="11"/>
  <c r="H16" i="11"/>
  <c r="F16" i="11"/>
  <c r="E16" i="11"/>
  <c r="D16" i="11"/>
  <c r="C16" i="11"/>
  <c r="B16" i="11"/>
  <c r="A16" i="11"/>
  <c r="H15" i="11"/>
  <c r="F15" i="11"/>
  <c r="E15" i="11"/>
  <c r="D15" i="11"/>
  <c r="C15" i="11"/>
  <c r="B15" i="11"/>
  <c r="A15" i="11"/>
  <c r="H14" i="11"/>
  <c r="F14" i="11"/>
  <c r="E14" i="11"/>
  <c r="D14" i="11"/>
  <c r="C14" i="11"/>
  <c r="B14" i="11"/>
  <c r="A14" i="11"/>
  <c r="H13" i="11"/>
  <c r="F13" i="11"/>
  <c r="E13" i="11"/>
  <c r="D13" i="11"/>
  <c r="C13" i="11"/>
  <c r="B13" i="11"/>
  <c r="A13" i="11"/>
  <c r="H12" i="11"/>
  <c r="F12" i="11"/>
  <c r="E12" i="11"/>
  <c r="D12" i="11"/>
  <c r="C12" i="11"/>
  <c r="B12" i="11"/>
  <c r="A12" i="11"/>
  <c r="H11" i="11"/>
  <c r="F11" i="11"/>
  <c r="E11" i="11"/>
  <c r="D11" i="11"/>
  <c r="C11" i="11"/>
  <c r="B11" i="11"/>
  <c r="A11" i="11"/>
  <c r="H10" i="11"/>
  <c r="F10" i="11"/>
  <c r="E10" i="11"/>
  <c r="D10" i="11"/>
  <c r="C10" i="11"/>
  <c r="B10" i="11"/>
  <c r="B12" i="4" s="1"/>
  <c r="A10" i="11"/>
  <c r="H9" i="11"/>
  <c r="F9" i="11"/>
  <c r="E9" i="11"/>
  <c r="D9" i="11"/>
  <c r="C9" i="11"/>
  <c r="B9" i="11"/>
  <c r="A9" i="11"/>
  <c r="H8" i="11"/>
  <c r="F8" i="11"/>
  <c r="E8" i="11"/>
  <c r="D8" i="11"/>
  <c r="C8" i="11"/>
  <c r="B8" i="11"/>
  <c r="A8" i="11"/>
  <c r="H7" i="11"/>
  <c r="F7" i="11"/>
  <c r="E7" i="11"/>
  <c r="D7" i="11"/>
  <c r="C7" i="11"/>
  <c r="B7" i="11"/>
  <c r="A7" i="11"/>
  <c r="H6" i="11"/>
  <c r="F6" i="11"/>
  <c r="E6" i="11"/>
  <c r="D6" i="11"/>
  <c r="C6" i="11"/>
  <c r="B6" i="11"/>
  <c r="A6" i="11"/>
  <c r="H5" i="11"/>
  <c r="F5" i="11"/>
  <c r="E5" i="11"/>
  <c r="D5" i="11"/>
  <c r="C5" i="11"/>
  <c r="B5" i="11"/>
  <c r="A5" i="11"/>
  <c r="H4" i="11"/>
  <c r="F4" i="11"/>
  <c r="E4" i="11"/>
  <c r="D4" i="11"/>
  <c r="C4" i="11"/>
  <c r="B4" i="11"/>
  <c r="A4" i="11"/>
  <c r="H3" i="11"/>
  <c r="F3" i="11"/>
  <c r="E3" i="11"/>
  <c r="D3" i="11"/>
  <c r="C3" i="11"/>
  <c r="B3" i="11"/>
  <c r="A3" i="11"/>
  <c r="G2" i="11"/>
  <c r="A2" i="11"/>
  <c r="H22" i="10"/>
  <c r="F22" i="10"/>
  <c r="E22" i="10"/>
  <c r="D22" i="10"/>
  <c r="C22" i="10"/>
  <c r="B22" i="10"/>
  <c r="A22" i="10"/>
  <c r="H21" i="10"/>
  <c r="F21" i="10"/>
  <c r="E21" i="10"/>
  <c r="D21" i="10"/>
  <c r="C21" i="10"/>
  <c r="B21" i="10"/>
  <c r="A21" i="10"/>
  <c r="H20" i="10"/>
  <c r="F20" i="10"/>
  <c r="E20" i="10"/>
  <c r="D20" i="10"/>
  <c r="C20" i="10"/>
  <c r="B20" i="10"/>
  <c r="A20" i="10"/>
  <c r="H19" i="10"/>
  <c r="F19" i="10"/>
  <c r="E19" i="10"/>
  <c r="D19" i="10"/>
  <c r="C19" i="10"/>
  <c r="B19" i="10"/>
  <c r="A19" i="10"/>
  <c r="H18" i="10"/>
  <c r="F18" i="10"/>
  <c r="E18" i="10"/>
  <c r="D18" i="10"/>
  <c r="C18" i="10"/>
  <c r="B18" i="10"/>
  <c r="A18" i="10"/>
  <c r="H17" i="10"/>
  <c r="F17" i="10"/>
  <c r="E17" i="10"/>
  <c r="D17" i="10"/>
  <c r="C17" i="10"/>
  <c r="B17" i="10"/>
  <c r="A17" i="10"/>
  <c r="H16" i="10"/>
  <c r="F16" i="10"/>
  <c r="E16" i="10"/>
  <c r="D16" i="10"/>
  <c r="C16" i="10"/>
  <c r="B16" i="10"/>
  <c r="A16" i="10"/>
  <c r="H15" i="10"/>
  <c r="F15" i="10"/>
  <c r="E15" i="10"/>
  <c r="D15" i="10"/>
  <c r="C15" i="10"/>
  <c r="B15" i="10"/>
  <c r="A15" i="10"/>
  <c r="H14" i="10"/>
  <c r="F14" i="10"/>
  <c r="E14" i="10"/>
  <c r="D14" i="10"/>
  <c r="C14" i="10"/>
  <c r="B14" i="10"/>
  <c r="A14" i="10"/>
  <c r="H13" i="10"/>
  <c r="F13" i="10"/>
  <c r="E13" i="10"/>
  <c r="D13" i="10"/>
  <c r="C13" i="10"/>
  <c r="B13" i="10"/>
  <c r="A13" i="10"/>
  <c r="H12" i="10"/>
  <c r="F12" i="10"/>
  <c r="E12" i="10"/>
  <c r="D12" i="10"/>
  <c r="C12" i="10"/>
  <c r="B12" i="10"/>
  <c r="A12" i="10"/>
  <c r="H11" i="10"/>
  <c r="F11" i="10"/>
  <c r="E11" i="10"/>
  <c r="D11" i="10"/>
  <c r="C11" i="10"/>
  <c r="B11" i="10"/>
  <c r="A11" i="10"/>
  <c r="H10" i="10"/>
  <c r="F10" i="10"/>
  <c r="E10" i="10"/>
  <c r="D10" i="10"/>
  <c r="C10" i="10"/>
  <c r="B10" i="10"/>
  <c r="A10" i="10"/>
  <c r="H9" i="10"/>
  <c r="F9" i="10"/>
  <c r="E9" i="10"/>
  <c r="D9" i="10"/>
  <c r="C9" i="10"/>
  <c r="B9" i="10"/>
  <c r="A9" i="10"/>
  <c r="H8" i="10"/>
  <c r="F8" i="10"/>
  <c r="E8" i="10"/>
  <c r="D8" i="10"/>
  <c r="C8" i="10"/>
  <c r="B8" i="10"/>
  <c r="A8" i="10"/>
  <c r="H7" i="10"/>
  <c r="F7" i="10"/>
  <c r="E7" i="10"/>
  <c r="D7" i="10"/>
  <c r="C7" i="10"/>
  <c r="B7" i="10"/>
  <c r="A7" i="10"/>
  <c r="H6" i="10"/>
  <c r="F6" i="10"/>
  <c r="E6" i="10"/>
  <c r="D6" i="10"/>
  <c r="C6" i="10"/>
  <c r="B6" i="10"/>
  <c r="A6" i="10"/>
  <c r="H5" i="10"/>
  <c r="F5" i="10"/>
  <c r="E5" i="10"/>
  <c r="D5" i="10"/>
  <c r="C5" i="10"/>
  <c r="B5" i="10"/>
  <c r="A5" i="10"/>
  <c r="H4" i="10"/>
  <c r="F4" i="10"/>
  <c r="E4" i="10"/>
  <c r="D4" i="10"/>
  <c r="C4" i="10"/>
  <c r="B4" i="10"/>
  <c r="B14" i="4" s="1"/>
  <c r="A4" i="10"/>
  <c r="H3" i="10"/>
  <c r="F3" i="10"/>
  <c r="E3" i="10"/>
  <c r="D3" i="10"/>
  <c r="C3" i="10"/>
  <c r="B3" i="10"/>
  <c r="A3" i="10"/>
  <c r="G2" i="10"/>
  <c r="A2" i="10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I1" i="6" s="1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G2" i="5"/>
  <c r="A2" i="5"/>
  <c r="B8" i="4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G2" i="3"/>
  <c r="A2" i="3"/>
  <c r="B12" i="2"/>
  <c r="R10" i="2"/>
  <c r="D5" i="2"/>
  <c r="D4" i="2"/>
  <c r="D2" i="2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I3" i="6" s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G2" i="1"/>
  <c r="A2" i="1"/>
  <c r="B10" i="4" l="1"/>
  <c r="I2" i="6"/>
  <c r="I4" i="6"/>
</calcChain>
</file>

<file path=xl/sharedStrings.xml><?xml version="1.0" encoding="utf-8"?>
<sst xmlns="http://schemas.openxmlformats.org/spreadsheetml/2006/main" count="414" uniqueCount="283">
  <si>
    <t>https://www.reuters.com/companies/MCD.A/financials/balance-sheet-annual</t>
  </si>
  <si>
    <t>REV/ROE after taxes</t>
  </si>
  <si>
    <t>Debt ratio</t>
  </si>
  <si>
    <t>Quick ratio</t>
  </si>
  <si>
    <t>Omloopsnelheid van het totaal vermogen</t>
  </si>
  <si>
    <t>1111/2050.5</t>
  </si>
  <si>
    <t>1111=nettowinst voor belansting</t>
  </si>
  <si>
    <t>netowinst na belasting/gem eigen vermogen</t>
  </si>
  <si>
    <t>net income after taxes/Total average equity</t>
  </si>
  <si>
    <t>12148=vreemd vermogen</t>
  </si>
  <si>
    <t>22360=totaal vermogen</t>
  </si>
  <si>
    <t>vreemd vermogen/totaal vermogen</t>
  </si>
  <si>
    <t>debt/total assets</t>
  </si>
  <si>
    <t>vl actica-voorraad/kort vreemd vermogen</t>
  </si>
  <si>
    <t>current assets</t>
  </si>
  <si>
    <t>inventory</t>
  </si>
  <si>
    <t>prepaid expenses</t>
  </si>
  <si>
    <t>current liabilities</t>
  </si>
  <si>
    <t>current assest-inventory-prepaid expensen/current liabilities</t>
  </si>
  <si>
    <t>omzet/gem totaal vermogen</t>
  </si>
  <si>
    <t>22360+20141/2</t>
  </si>
  <si>
    <t>total revenu</t>
  </si>
  <si>
    <t>https://www.reuters.com/companies/MCD.A/financials/cash-flow-annual</t>
  </si>
  <si>
    <t>Rentabiliteit</t>
  </si>
  <si>
    <t>REV</t>
  </si>
  <si>
    <t>Solvabiliteit</t>
  </si>
  <si>
    <t>Debt Ratio</t>
  </si>
  <si>
    <t>Liquiditeit</t>
  </si>
  <si>
    <t>Quick Ratio</t>
  </si>
  <si>
    <t>Efficientie</t>
  </si>
  <si>
    <t>Omloopsnelheid van totaal vermogen</t>
  </si>
  <si>
    <t>omzet excl. btw/gemiddeld totaal vermogen</t>
  </si>
  <si>
    <t xml:space="preserve">Gemiddeld cijfers 2019 en 2018 delen door 2 </t>
  </si>
  <si>
    <t>Rev</t>
  </si>
  <si>
    <t>https://www.reuters.com/companies/MCD.A/financials</t>
  </si>
  <si>
    <t>solvabiliteit</t>
  </si>
  <si>
    <t xml:space="preserve">Liquiditeit </t>
  </si>
  <si>
    <t>quick ratio</t>
  </si>
  <si>
    <t>efficiëntie</t>
  </si>
  <si>
    <t>omloopsnelheid van totaal vermogen</t>
  </si>
  <si>
    <t>Column1</t>
  </si>
  <si>
    <t>31-Dec-19</t>
  </si>
  <si>
    <t>31-Dec-18</t>
  </si>
  <si>
    <t>31-Dec-17</t>
  </si>
  <si>
    <t>31-Dec-16</t>
  </si>
  <si>
    <t>31-Dec-15</t>
  </si>
  <si>
    <t>Trend</t>
  </si>
  <si>
    <t>Cash &amp; Equivalents</t>
  </si>
  <si>
    <t>1.460,40</t>
  </si>
  <si>
    <t>757,80</t>
  </si>
  <si>
    <t/>
  </si>
  <si>
    <t>Cash and Short Term Investments</t>
  </si>
  <si>
    <t>Accounts Receivable - Trade, Net</t>
  </si>
  <si>
    <t>403,50</t>
  </si>
  <si>
    <t>420,30</t>
  </si>
  <si>
    <t>Total Receivables, Net</t>
  </si>
  <si>
    <t>443,50</t>
  </si>
  <si>
    <t>Total Inventory</t>
  </si>
  <si>
    <t>71,80</t>
  </si>
  <si>
    <t>81,30</t>
  </si>
  <si>
    <t>Prepaid Expenses</t>
  </si>
  <si>
    <t>103,60</t>
  </si>
  <si>
    <t>29,40</t>
  </si>
  <si>
    <t>Other Current Assets, Total</t>
  </si>
  <si>
    <t>57,50</t>
  </si>
  <si>
    <t>224,10</t>
  </si>
  <si>
    <t>Total Current Assets</t>
  </si>
  <si>
    <t>2.097,00</t>
  </si>
  <si>
    <t>1.369,50</t>
  </si>
  <si>
    <t>Property/Plant/Equipment, Total - Gross</t>
  </si>
  <si>
    <t>2.529,20</t>
  </si>
  <si>
    <t>2.489,90</t>
  </si>
  <si>
    <t>Accumulated Depreciation, Total</t>
  </si>
  <si>
    <t>(474,50)</t>
  </si>
  <si>
    <t>(339,30)</t>
  </si>
  <si>
    <t>Property/Plant/Equipment, Total - Net</t>
  </si>
  <si>
    <t>2.054,70</t>
  </si>
  <si>
    <t>2.150,60</t>
  </si>
  <si>
    <t>Goodwill, Net</t>
  </si>
  <si>
    <t>4.675,10</t>
  </si>
  <si>
    <t>4.574,40</t>
  </si>
  <si>
    <t>Intangibles, Net</t>
  </si>
  <si>
    <t>9.228,00</t>
  </si>
  <si>
    <t>9.147,80</t>
  </si>
  <si>
    <t>Long Term Investments</t>
  </si>
  <si>
    <t>91,90</t>
  </si>
  <si>
    <t>117,20</t>
  </si>
  <si>
    <t>Other Long Term Assets, Total</t>
  </si>
  <si>
    <t>978,20</t>
  </si>
  <si>
    <t>1.051,60</t>
  </si>
  <si>
    <t>Total Assets</t>
  </si>
  <si>
    <t>19.124,90</t>
  </si>
  <si>
    <t>18.411,10</t>
  </si>
  <si>
    <t>Accounts Payable</t>
  </si>
  <si>
    <t>369,80</t>
  </si>
  <si>
    <t>361,50</t>
  </si>
  <si>
    <t>Accrued Expenses</t>
  </si>
  <si>
    <t>257,50</t>
  </si>
  <si>
    <t>297,20</t>
  </si>
  <si>
    <t>Notes Payable/Short Term Debt</t>
  </si>
  <si>
    <t>0,00</t>
  </si>
  <si>
    <t>Current Port. of  LT Debt/Capital Leases</t>
  </si>
  <si>
    <t>93,90</t>
  </si>
  <si>
    <t>56,10</t>
  </si>
  <si>
    <t>Other Current liabilities, Total</t>
  </si>
  <si>
    <t>489,50</t>
  </si>
  <si>
    <t>406,20</t>
  </si>
  <si>
    <t>Total Current Liabilities</t>
  </si>
  <si>
    <t>1.210,70</t>
  </si>
  <si>
    <t>1.121,00</t>
  </si>
  <si>
    <t>Long Term Debt</t>
  </si>
  <si>
    <t>8.410,20</t>
  </si>
  <si>
    <t>8.462,30</t>
  </si>
  <si>
    <t>Capital Lease Obligations</t>
  </si>
  <si>
    <t>218,40</t>
  </si>
  <si>
    <t>203,40</t>
  </si>
  <si>
    <t>Total Long Term Debt</t>
  </si>
  <si>
    <t>8.628,60</t>
  </si>
  <si>
    <t>8.665,70</t>
  </si>
  <si>
    <t>Total Debt</t>
  </si>
  <si>
    <t>8.722,50</t>
  </si>
  <si>
    <t>8.721,80</t>
  </si>
  <si>
    <t>Deferred Income Tax</t>
  </si>
  <si>
    <t>1.715,10</t>
  </si>
  <si>
    <t>1.618,80</t>
  </si>
  <si>
    <t>Minority Interest</t>
  </si>
  <si>
    <t>1.786,10</t>
  </si>
  <si>
    <t>1.576,10</t>
  </si>
  <si>
    <t>Other Liabilities, Total</t>
  </si>
  <si>
    <t>784,90</t>
  </si>
  <si>
    <t>795,90</t>
  </si>
  <si>
    <t>Total Liabilities</t>
  </si>
  <si>
    <t>14.125,40</t>
  </si>
  <si>
    <t>13.777,50</t>
  </si>
  <si>
    <t>Common Stock, Total</t>
  </si>
  <si>
    <t>1.955,10</t>
  </si>
  <si>
    <t>1.824,50</t>
  </si>
  <si>
    <t>Retained Earnings (Accumulated Deficit)</t>
  </si>
  <si>
    <t>445,70</t>
  </si>
  <si>
    <t>245,80</t>
  </si>
  <si>
    <t>Other Equity, Total</t>
  </si>
  <si>
    <t>(698,30)</t>
  </si>
  <si>
    <t>(733,70)</t>
  </si>
  <si>
    <t>Total Equity</t>
  </si>
  <si>
    <t>4.999,50</t>
  </si>
  <si>
    <t>4.633,60</t>
  </si>
  <si>
    <t>Total Liabilities &amp; Shareholders' Equity</t>
  </si>
  <si>
    <t>Total Common Shares Outstanding</t>
  </si>
  <si>
    <t>234,24</t>
  </si>
  <si>
    <t>225,71</t>
  </si>
  <si>
    <t>Tangible Book Value per Share, Common Eq</t>
  </si>
  <si>
    <t>(52,09)</t>
  </si>
  <si>
    <t>(54,87)</t>
  </si>
  <si>
    <t>Redeemable Preferred Stock, Total</t>
  </si>
  <si>
    <t>--</t>
  </si>
  <si>
    <t>Total Preferred Shares Outstanding</t>
  </si>
  <si>
    <t>Revenue</t>
  </si>
  <si>
    <t>4.576,10</t>
  </si>
  <si>
    <t>4.145,80</t>
  </si>
  <si>
    <t>4.052,20</t>
  </si>
  <si>
    <t>Total Revenue</t>
  </si>
  <si>
    <t>Cost of Revenue, Total</t>
  </si>
  <si>
    <t>1.850,30</t>
  </si>
  <si>
    <t>1.727,30</t>
  </si>
  <si>
    <t>1.809,50</t>
  </si>
  <si>
    <t>Gross Profit</t>
  </si>
  <si>
    <t>2.725,80</t>
  </si>
  <si>
    <t>2.418,50</t>
  </si>
  <si>
    <t>2.242,70</t>
  </si>
  <si>
    <t>Selling/General/Admin. Expenses, Total</t>
  </si>
  <si>
    <t>830,00</t>
  </si>
  <si>
    <t>718,20</t>
  </si>
  <si>
    <t>807,20</t>
  </si>
  <si>
    <t>Depreciation/Amortization</t>
  </si>
  <si>
    <t>22,90</t>
  </si>
  <si>
    <t>21,70</t>
  </si>
  <si>
    <t>17,00</t>
  </si>
  <si>
    <t>Interest Exp.(Inc.),Net-Operating, Total</t>
  </si>
  <si>
    <t>64,90</t>
  </si>
  <si>
    <t>(40,30)</t>
  </si>
  <si>
    <t>88,10</t>
  </si>
  <si>
    <t>Unusual Expense (Income)</t>
  </si>
  <si>
    <t>192,90</t>
  </si>
  <si>
    <t>52,10</t>
  </si>
  <si>
    <t>180,00</t>
  </si>
  <si>
    <t>Other Operating Expenses, Total</t>
  </si>
  <si>
    <t>1,20</t>
  </si>
  <si>
    <t>0,10</t>
  </si>
  <si>
    <t>(1,80)</t>
  </si>
  <si>
    <t>Total Operating Expense</t>
  </si>
  <si>
    <t>2.962,20</t>
  </si>
  <si>
    <t>2.479,10</t>
  </si>
  <si>
    <t>2.900,00</t>
  </si>
  <si>
    <t>Operating Income</t>
  </si>
  <si>
    <t>1.613,90</t>
  </si>
  <si>
    <t>1.666,70</t>
  </si>
  <si>
    <t>1.152,20</t>
  </si>
  <si>
    <t>Interest Inc.(Exp.),Net-Non-Op., Total</t>
  </si>
  <si>
    <t>(512,20)</t>
  </si>
  <si>
    <t>(466,90)</t>
  </si>
  <si>
    <t>(475,70)</t>
  </si>
  <si>
    <t>Net Income Before Taxes</t>
  </si>
  <si>
    <t>1.101,70</t>
  </si>
  <si>
    <t>1.199,80</t>
  </si>
  <si>
    <t>673,90</t>
  </si>
  <si>
    <t>Provision for Income Taxes</t>
  </si>
  <si>
    <t>64,30</t>
  </si>
  <si>
    <t>243,90</t>
  </si>
  <si>
    <t>162,20</t>
  </si>
  <si>
    <t>Net Income After Taxes</t>
  </si>
  <si>
    <t>1.037,40</t>
  </si>
  <si>
    <t>955,90</t>
  </si>
  <si>
    <t>511,70</t>
  </si>
  <si>
    <t>(586,50)</t>
  </si>
  <si>
    <t>(340,30)</t>
  </si>
  <si>
    <t>(136,60)</t>
  </si>
  <si>
    <t>Net Income Before Extra. Items</t>
  </si>
  <si>
    <t>450,90</t>
  </si>
  <si>
    <t>615,60</t>
  </si>
  <si>
    <t>375,10</t>
  </si>
  <si>
    <t>Net Income</t>
  </si>
  <si>
    <t>648,80</t>
  </si>
  <si>
    <t>Total Adjustments to Net Income</t>
  </si>
  <si>
    <t>(22,70)</t>
  </si>
  <si>
    <t>(270,00)</t>
  </si>
  <si>
    <t>(271,20)</t>
  </si>
  <si>
    <t>Income Available to Com Excl ExtraOrd</t>
  </si>
  <si>
    <t>428,20</t>
  </si>
  <si>
    <t>345,60</t>
  </si>
  <si>
    <t>103,90</t>
  </si>
  <si>
    <t>Income Available to Com Incl ExtraOrd</t>
  </si>
  <si>
    <t>626,10</t>
  </si>
  <si>
    <t>Dilution Adjustment</t>
  </si>
  <si>
    <t>585,10</t>
  </si>
  <si>
    <t>336,80</t>
  </si>
  <si>
    <t>133,20</t>
  </si>
  <si>
    <t>Diluted Net Income</t>
  </si>
  <si>
    <t>1.211,20</t>
  </si>
  <si>
    <t>682,40</t>
  </si>
  <si>
    <t>237,10</t>
  </si>
  <si>
    <t>Diluted Weighted Average Shares</t>
  </si>
  <si>
    <t>477,40</t>
  </si>
  <si>
    <t>470,00</t>
  </si>
  <si>
    <t>476,00</t>
  </si>
  <si>
    <t>Diluted EPS Excluding ExtraOrd Items</t>
  </si>
  <si>
    <t>2,12</t>
  </si>
  <si>
    <t>1,45</t>
  </si>
  <si>
    <t>0,50</t>
  </si>
  <si>
    <t>DPS - Common Stock Primary Issue</t>
  </si>
  <si>
    <t>0,78</t>
  </si>
  <si>
    <t>0,62</t>
  </si>
  <si>
    <t>0,44</t>
  </si>
  <si>
    <t>Diluted Normalized EPS</t>
  </si>
  <si>
    <t>2,50</t>
  </si>
  <si>
    <t>1,54</t>
  </si>
  <si>
    <t>0,79</t>
  </si>
  <si>
    <t>Total Extraordinary Items</t>
  </si>
  <si>
    <t>Other, Net</t>
  </si>
  <si>
    <t>Net Income/Starting Line</t>
  </si>
  <si>
    <t>Depreciation/Depletion</t>
  </si>
  <si>
    <t>Deferred Taxes</t>
  </si>
  <si>
    <t>Non-Cash Items</t>
  </si>
  <si>
    <t>Cash Taxes Paid</t>
  </si>
  <si>
    <t>Cash Interest Paid</t>
  </si>
  <si>
    <t>Changes in Working Capital</t>
  </si>
  <si>
    <t>Cash from Operating Activities</t>
  </si>
  <si>
    <t>Capital Expenditures</t>
  </si>
  <si>
    <t>Other Investing Cash Flow Items, Total</t>
  </si>
  <si>
    <t>Cash from Investing Activities</t>
  </si>
  <si>
    <t>Financing Cash Flow Items</t>
  </si>
  <si>
    <t>Total Cash Dividends Paid</t>
  </si>
  <si>
    <t>Issuance (Retirement) of Stock, Net</t>
  </si>
  <si>
    <t>Issuance (Retirement) of Debt, Net</t>
  </si>
  <si>
    <t>Cash from Financing Activities</t>
  </si>
  <si>
    <t>Foreign Exchange Effects</t>
  </si>
  <si>
    <t>Net Change in Cash</t>
  </si>
  <si>
    <t>https://www.reuters.com/companies/DPZ.N/financials/income-statement-annual</t>
  </si>
  <si>
    <t>https://www.reuters.com/companies/DPZ.N/financials/balance-sheet-annual</t>
  </si>
  <si>
    <t>https://www.reuters.com/companies/DPZ.N/financials/cash-flow-annual</t>
  </si>
  <si>
    <t>BK</t>
  </si>
  <si>
    <t>DO</t>
  </si>
  <si>
    <t>MCD</t>
  </si>
  <si>
    <t>Omloopsnelheid totaal vermogen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</si>
</sst>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%"/>
    <numFmt numFmtId="165" formatCode="0.000000"/>
    <numFmt numFmtId="166" formatCode="#,##0.000000"/>
  </numFmts>
  <fonts count="10" x14ac:knownFonts="1"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9"/>
      <color rgb="FF000000"/>
      <name val="Times"/>
    </font>
    <font>
      <sz val="8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4" fontId="2" fillId="0" borderId="0" xfId="0" applyNumberFormat="1" applyFont="1"/>
    <xf numFmtId="164" fontId="3" fillId="0" borderId="0" xfId="0" applyNumberFormat="1" applyFont="1"/>
    <xf numFmtId="0" fontId="3" fillId="2" borderId="1" xfId="0" applyFont="1" applyFill="1" applyBorder="1"/>
    <xf numFmtId="0" fontId="3" fillId="0" borderId="2" xfId="0" applyFont="1" applyBorder="1"/>
    <xf numFmtId="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4" fillId="0" borderId="0" xfId="0" applyNumberFormat="1" applyFont="1"/>
    <xf numFmtId="165" fontId="4" fillId="0" borderId="0" xfId="0" applyNumberFormat="1" applyFont="1"/>
    <xf numFmtId="0" fontId="2" fillId="0" borderId="0" xfId="0" applyFont="1" applyAlignment="1"/>
    <xf numFmtId="10" fontId="2" fillId="0" borderId="0" xfId="0" applyNumberFormat="1" applyFont="1"/>
    <xf numFmtId="0" fontId="2" fillId="0" borderId="0" xfId="0" applyFont="1"/>
    <xf numFmtId="0" fontId="3" fillId="0" borderId="0" xfId="0" applyFont="1"/>
    <xf numFmtId="0" fontId="7" fillId="0" borderId="0" xfId="0" applyFont="1"/>
    <xf numFmtId="4" fontId="4" fillId="0" borderId="0" xfId="0" applyNumberFormat="1" applyFont="1"/>
    <xf numFmtId="0" fontId="8" fillId="0" borderId="0" xfId="0" applyFont="1" applyAlignment="1"/>
    <xf numFmtId="0" fontId="4" fillId="0" borderId="3" xfId="0" applyFont="1" applyBorder="1" applyAlignment="1">
      <alignment horizontal="right" wrapText="1"/>
    </xf>
    <xf numFmtId="0" fontId="9" fillId="0" borderId="0" xfId="0" applyFont="1" applyAlignment="1">
      <alignment horizontal="right"/>
    </xf>
    <xf numFmtId="10" fontId="4" fillId="0" borderId="3" xfId="0" applyNumberFormat="1" applyFont="1" applyBorder="1" applyAlignment="1">
      <alignment horizontal="right" wrapText="1"/>
    </xf>
    <xf numFmtId="165" fontId="4" fillId="0" borderId="3" xfId="0" applyNumberFormat="1" applyFont="1" applyBorder="1" applyAlignment="1">
      <alignment horizontal="right" wrapText="1"/>
    </xf>
    <xf numFmtId="166" fontId="4" fillId="0" borderId="3" xfId="0" applyNumberFormat="1" applyFont="1" applyBorder="1" applyAlignment="1">
      <alignment horizontal="right" wrapText="1"/>
    </xf>
    <xf numFmtId="0" fontId="4" fillId="0" borderId="3" xfId="0" applyFont="1" applyBorder="1" applyAlignment="1">
      <alignment wrapText="1"/>
    </xf>
  </cellXfs>
  <cellStyles count="1">
    <cellStyle name="Standaard" xfId="0" builtinId="0"/>
  </cellStyles>
  <dxfs count="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>
    <tableStyle name="Balance sheet BK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income statement (1) BK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Cash flow BK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nl-NL" sz="1400" b="0" i="0">
                <a:solidFill>
                  <a:srgbClr val="757575"/>
                </a:solidFill>
                <a:latin typeface="+mn-lt"/>
              </a:rPr>
              <a:t>REV
</a:t>
            </a:r>
          </a:p>
        </c:rich>
      </c:tx>
      <c:layout>
        <c:manualLayout>
          <c:xMode val="edge"/>
          <c:yMode val="edge"/>
          <c:x val="0.46191666666666664"/>
          <c:y val="2.7777777777777776E-2"/>
        </c:manualLayout>
      </c:layout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val>
            <c:numRef>
              <c:f>'Visuele weergave kengetallen'!$C$2:$E$2</c:f>
              <c:numCache>
                <c:formatCode>0.00%</c:formatCode>
                <c:ptCount val="3"/>
                <c:pt idx="0">
                  <c:v>0.54181999999999997</c:v>
                </c:pt>
                <c:pt idx="1">
                  <c:v>-0.1241</c:v>
                </c:pt>
                <c:pt idx="2">
                  <c:v>-0.83940000000000003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B09-F140-8E3B-14182C58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846738"/>
        <c:axId val="707999162"/>
      </c:barChart>
      <c:catAx>
        <c:axId val="20968467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707999162"/>
        <c:crosses val="autoZero"/>
        <c:auto val="1"/>
        <c:lblAlgn val="ctr"/>
        <c:lblOffset val="100"/>
        <c:noMultiLvlLbl val="1"/>
      </c:catAx>
      <c:valAx>
        <c:axId val="7079991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09684673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nl-NL" sz="1400" b="0" i="0">
                <a:solidFill>
                  <a:srgbClr val="757575"/>
                </a:solidFill>
                <a:latin typeface="+mn-lt"/>
              </a:rPr>
              <a:t>Debt Ratio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'Visuele weergave kengetallen'!$C$3:$E$3</c:f>
              <c:numCache>
                <c:formatCode>#,##0.000000</c:formatCode>
                <c:ptCount val="3"/>
                <c:pt idx="0" formatCode="0.000000">
                  <c:v>0.54329099999999997</c:v>
                </c:pt>
                <c:pt idx="1">
                  <c:v>2.9769770000000002</c:v>
                </c:pt>
                <c:pt idx="2" formatCode="0.000000">
                  <c:v>0.719356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B0B-9F40-82D4-D2AFAAD6A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796296"/>
        <c:axId val="849994947"/>
      </c:barChart>
      <c:catAx>
        <c:axId val="7247962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849994947"/>
        <c:crosses val="autoZero"/>
        <c:auto val="1"/>
        <c:lblAlgn val="ctr"/>
        <c:lblOffset val="100"/>
        <c:noMultiLvlLbl val="1"/>
      </c:catAx>
      <c:valAx>
        <c:axId val="849994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72479629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nl-NL" sz="1400" b="0" i="0">
                <a:solidFill>
                  <a:srgbClr val="757575"/>
                </a:solidFill>
                <a:latin typeface="+mn-lt"/>
              </a:rPr>
              <a:t>Quick Ratio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2451443569553797E-2"/>
          <c:y val="0.15319444444444447"/>
          <c:w val="0.84398600174978122"/>
          <c:h val="0.72088764946048411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'Visuele weergave kengetallen'!$C$4:$E$4</c:f>
              <c:numCache>
                <c:formatCode>#,##0.000000</c:formatCode>
                <c:ptCount val="3"/>
                <c:pt idx="0" formatCode="0.000000">
                  <c:v>1.20963</c:v>
                </c:pt>
                <c:pt idx="1">
                  <c:v>1.576648</c:v>
                </c:pt>
                <c:pt idx="2" formatCode="0.000000">
                  <c:v>0.86901399999999995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C93-AF41-92FC-F4C5D426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387003"/>
        <c:axId val="2100287664"/>
      </c:barChart>
      <c:catAx>
        <c:axId val="10893870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100287664"/>
        <c:crosses val="autoZero"/>
        <c:auto val="1"/>
        <c:lblAlgn val="ctr"/>
        <c:lblOffset val="100"/>
        <c:noMultiLvlLbl val="1"/>
      </c:catAx>
      <c:valAx>
        <c:axId val="2100287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08938700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nl-NL" sz="1400" b="0" i="0">
                <a:solidFill>
                  <a:srgbClr val="757575"/>
                </a:solidFill>
                <a:latin typeface="+mn-lt"/>
              </a:rPr>
              <a:t>Omloopsnelheid totaal vermogen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'Visuele weergave kengetallen'!$C$5:$E$5</c:f>
              <c:numCache>
                <c:formatCode>#,##0.000000</c:formatCode>
                <c:ptCount val="3"/>
                <c:pt idx="0" formatCode="0.000000">
                  <c:v>0.26366400000000001</c:v>
                </c:pt>
                <c:pt idx="1">
                  <c:v>3.161216</c:v>
                </c:pt>
                <c:pt idx="2" formatCode="0.000000">
                  <c:v>0.52480000000000004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CD1-3747-A1DC-732D578F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414208"/>
        <c:axId val="2069212855"/>
      </c:barChart>
      <c:catAx>
        <c:axId val="19414142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069212855"/>
        <c:crosses val="autoZero"/>
        <c:auto val="1"/>
        <c:lblAlgn val="ctr"/>
        <c:lblOffset val="100"/>
        <c:noMultiLvlLbl val="1"/>
      </c:catAx>
      <c:valAx>
        <c:axId val="20692128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94141420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7</xdr:row>
      <xdr:rowOff>114300</xdr:rowOff>
    </xdr:from>
    <xdr:ext cx="4429125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361950</xdr:colOff>
      <xdr:row>7</xdr:row>
      <xdr:rowOff>95250</xdr:rowOff>
    </xdr:from>
    <xdr:ext cx="4371975" cy="27146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85725</xdr:colOff>
      <xdr:row>23</xdr:row>
      <xdr:rowOff>76200</xdr:rowOff>
    </xdr:from>
    <xdr:ext cx="4429125" cy="27146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371475</xdr:colOff>
      <xdr:row>23</xdr:row>
      <xdr:rowOff>85725</xdr:rowOff>
    </xdr:from>
    <xdr:ext cx="4371975" cy="271462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40">
  <tableColumns count="7">
    <tableColumn id="1" xr3:uid="{00000000-0010-0000-0000-000001000000}" name="Column1"/>
    <tableColumn id="2" xr3:uid="{00000000-0010-0000-0000-000002000000}" name="31-Dec-19"/>
    <tableColumn id="3" xr3:uid="{00000000-0010-0000-0000-000003000000}" name="31-Dec-18"/>
    <tableColumn id="4" xr3:uid="{00000000-0010-0000-0000-000004000000}" name="31-Dec-17"/>
    <tableColumn id="5" xr3:uid="{00000000-0010-0000-0000-000005000000}" name="31-Dec-16"/>
    <tableColumn id="6" xr3:uid="{00000000-0010-0000-0000-000006000000}" name="31-Dec-15"/>
    <tableColumn id="7" xr3:uid="{00000000-0010-0000-0000-000007000000}" name="Trend"/>
  </tableColumns>
  <tableStyleInfo name="Balance sheet BK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30">
  <tableColumns count="7">
    <tableColumn id="1" xr3:uid="{00000000-0010-0000-0100-000001000000}" name="Column1"/>
    <tableColumn id="2" xr3:uid="{00000000-0010-0000-0100-000002000000}" name="31-Dec-19"/>
    <tableColumn id="3" xr3:uid="{00000000-0010-0000-0100-000003000000}" name="31-Dec-18"/>
    <tableColumn id="4" xr3:uid="{00000000-0010-0000-0100-000004000000}" name="31-Dec-17"/>
    <tableColumn id="5" xr3:uid="{00000000-0010-0000-0100-000005000000}" name="31-Dec-16"/>
    <tableColumn id="6" xr3:uid="{00000000-0010-0000-0100-000006000000}" name="31-Dec-15"/>
    <tableColumn id="7" xr3:uid="{00000000-0010-0000-0100-000007000000}" name="Trend"/>
  </tableColumns>
  <tableStyleInfo name="income statement (1) BK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19">
  <tableColumns count="7">
    <tableColumn id="1" xr3:uid="{00000000-0010-0000-0200-000001000000}" name="Column1"/>
    <tableColumn id="2" xr3:uid="{00000000-0010-0000-0200-000002000000}" name="31-Dec-19"/>
    <tableColumn id="3" xr3:uid="{00000000-0010-0000-0200-000003000000}" name="31-Dec-18"/>
    <tableColumn id="4" xr3:uid="{00000000-0010-0000-0200-000004000000}" name="31-Dec-17"/>
    <tableColumn id="5" xr3:uid="{00000000-0010-0000-0200-000005000000}" name="31-Dec-16"/>
    <tableColumn id="6" xr3:uid="{00000000-0010-0000-0200-000006000000}" name="31-Dec-15"/>
    <tableColumn id="7" xr3:uid="{00000000-0010-0000-0200-000007000000}" name="Trend"/>
  </tableColumns>
  <tableStyleInfo name="Cash flow BK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uters.com/companies/MCD.A/financials/balance-sheet-annua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uters.com/companies/DPZ.N/financials/income-statement-annua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uters.com/companies/DPZ.N/financials/balance-sheet-annua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uters.com/companies/DPZ.N/financials/cash-flow-annua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uters.com/companies/MCD.A/financials/cash-flow-annua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uters.com/companies/MCD.A/financial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0"/>
  <sheetViews>
    <sheetView workbookViewId="0"/>
  </sheetViews>
  <sheetFormatPr baseColWidth="10" defaultColWidth="14.5" defaultRowHeight="15.75" customHeight="1" x14ac:dyDescent="0.15"/>
  <cols>
    <col min="1" max="1" width="63.5" customWidth="1"/>
  </cols>
  <sheetData>
    <row r="1" spans="1:7" ht="15.75" customHeight="1" x14ac:dyDescent="0.15">
      <c r="A1" s="1" t="s">
        <v>0</v>
      </c>
    </row>
    <row r="2" spans="1:7" x14ac:dyDescent="0.2">
      <c r="A2" s="2" t="str">
        <f ca="1">IFERROR(__xludf.DUMMYFUNCTION("IMPORTHTML(A1,""table"",1)"),"")</f>
        <v/>
      </c>
      <c r="B2" s="2"/>
      <c r="C2" s="2"/>
      <c r="D2" s="2"/>
      <c r="E2" s="2"/>
      <c r="F2" s="2"/>
      <c r="G2" s="2" t="str">
        <f ca="1">IFERROR(__xludf.DUMMYFUNCTION("""COMPUTED_VALUE"""),"Trend")</f>
        <v>Trend</v>
      </c>
    </row>
    <row r="3" spans="1:7" x14ac:dyDescent="0.2">
      <c r="A3" s="2" t="str">
        <f ca="1">IFERROR(__xludf.DUMMYFUNCTION("""COMPUTED_VALUE"""),"Cash &amp; Equivalents")</f>
        <v>Cash &amp; Equivalents</v>
      </c>
      <c r="B3" s="2">
        <f ca="1">IFERROR(__xludf.DUMMYFUNCTION("""COMPUTED_VALUE"""),898.5)</f>
        <v>898.5</v>
      </c>
      <c r="C3" s="2">
        <f ca="1">IFERROR(__xludf.DUMMYFUNCTION("""COMPUTED_VALUE"""),866)</f>
        <v>866</v>
      </c>
      <c r="D3" s="3">
        <f ca="1">IFERROR(__xludf.DUMMYFUNCTION("""COMPUTED_VALUE"""),2463.8)</f>
        <v>2463.8000000000002</v>
      </c>
      <c r="E3" s="3">
        <f ca="1">IFERROR(__xludf.DUMMYFUNCTION("""COMPUTED_VALUE"""),1223.4)</f>
        <v>1223.4000000000001</v>
      </c>
      <c r="F3" s="3">
        <f ca="1">IFERROR(__xludf.DUMMYFUNCTION("""COMPUTED_VALUE"""),7685.5)</f>
        <v>7685.5</v>
      </c>
      <c r="G3" s="2"/>
    </row>
    <row r="4" spans="1:7" x14ac:dyDescent="0.2">
      <c r="A4" s="2" t="str">
        <f ca="1">IFERROR(__xludf.DUMMYFUNCTION("""COMPUTED_VALUE"""),"Short Term Investments")</f>
        <v>Short Term Investments</v>
      </c>
      <c r="B4" s="2">
        <f ca="1">IFERROR(__xludf.DUMMYFUNCTION("""COMPUTED_VALUE"""),14)</f>
        <v>14</v>
      </c>
      <c r="C4" s="2">
        <f ca="1">IFERROR(__xludf.DUMMYFUNCTION("""COMPUTED_VALUE"""),171.6)</f>
        <v>171.6</v>
      </c>
      <c r="D4" s="2">
        <f ca="1">IFERROR(__xludf.DUMMYFUNCTION("""COMPUTED_VALUE"""),0)</f>
        <v>0</v>
      </c>
      <c r="E4" s="2">
        <f ca="1">IFERROR(__xludf.DUMMYFUNCTION("""COMPUTED_VALUE"""),144.4)</f>
        <v>144.4</v>
      </c>
      <c r="F4" s="2">
        <f ca="1">IFERROR(__xludf.DUMMYFUNCTION("""COMPUTED_VALUE"""),4.5)</f>
        <v>4.5</v>
      </c>
      <c r="G4" s="2"/>
    </row>
    <row r="5" spans="1:7" x14ac:dyDescent="0.2">
      <c r="A5" s="2" t="str">
        <f ca="1">IFERROR(__xludf.DUMMYFUNCTION("""COMPUTED_VALUE"""),"Cash and Short Term Investments")</f>
        <v>Cash and Short Term Investments</v>
      </c>
      <c r="B5" s="2">
        <f ca="1">IFERROR(__xludf.DUMMYFUNCTION("""COMPUTED_VALUE"""),912.5)</f>
        <v>912.5</v>
      </c>
      <c r="C5" s="3">
        <f ca="1">IFERROR(__xludf.DUMMYFUNCTION("""COMPUTED_VALUE"""),1037.6)</f>
        <v>1037.5999999999999</v>
      </c>
      <c r="D5" s="3">
        <f ca="1">IFERROR(__xludf.DUMMYFUNCTION("""COMPUTED_VALUE"""),2463.8)</f>
        <v>2463.8000000000002</v>
      </c>
      <c r="E5" s="3">
        <f ca="1">IFERROR(__xludf.DUMMYFUNCTION("""COMPUTED_VALUE"""),1367.8)</f>
        <v>1367.8</v>
      </c>
      <c r="F5" s="3">
        <f ca="1">IFERROR(__xludf.DUMMYFUNCTION("""COMPUTED_VALUE"""),7690)</f>
        <v>7690</v>
      </c>
      <c r="G5" s="2"/>
    </row>
    <row r="6" spans="1:7" x14ac:dyDescent="0.2">
      <c r="A6" s="2" t="str">
        <f ca="1">IFERROR(__xludf.DUMMYFUNCTION("""COMPUTED_VALUE"""),"Accounts Receivable - Trade, Net")</f>
        <v>Accounts Receivable - Trade, Net</v>
      </c>
      <c r="B6" s="3">
        <f ca="1">IFERROR(__xludf.DUMMYFUNCTION("""COMPUTED_VALUE"""),2224.2)</f>
        <v>2224.1999999999998</v>
      </c>
      <c r="C6" s="3">
        <f ca="1">IFERROR(__xludf.DUMMYFUNCTION("""COMPUTED_VALUE"""),2441.5)</f>
        <v>2441.5</v>
      </c>
      <c r="D6" s="3">
        <f ca="1">IFERROR(__xludf.DUMMYFUNCTION("""COMPUTED_VALUE"""),1976.2)</f>
        <v>1976.2</v>
      </c>
      <c r="E6" s="3">
        <f ca="1">IFERROR(__xludf.DUMMYFUNCTION("""COMPUTED_VALUE"""),1474.1)</f>
        <v>1474.1</v>
      </c>
      <c r="F6" s="3">
        <f ca="1">IFERROR(__xludf.DUMMYFUNCTION("""COMPUTED_VALUE"""),1298.7)</f>
        <v>1298.7</v>
      </c>
      <c r="G6" s="2"/>
    </row>
    <row r="7" spans="1:7" x14ac:dyDescent="0.2">
      <c r="A7" s="2" t="str">
        <f ca="1">IFERROR(__xludf.DUMMYFUNCTION("""COMPUTED_VALUE"""),"Total Receivables, Net")</f>
        <v>Total Receivables, Net</v>
      </c>
      <c r="B7" s="3">
        <f ca="1">IFERROR(__xludf.DUMMYFUNCTION("""COMPUTED_VALUE"""),2224.2)</f>
        <v>2224.1999999999998</v>
      </c>
      <c r="C7" s="3">
        <f ca="1">IFERROR(__xludf.DUMMYFUNCTION("""COMPUTED_VALUE"""),2441.5)</f>
        <v>2441.5</v>
      </c>
      <c r="D7" s="3">
        <f ca="1">IFERROR(__xludf.DUMMYFUNCTION("""COMPUTED_VALUE"""),1976.2)</f>
        <v>1976.2</v>
      </c>
      <c r="E7" s="3">
        <f ca="1">IFERROR(__xludf.DUMMYFUNCTION("""COMPUTED_VALUE"""),1474.1)</f>
        <v>1474.1</v>
      </c>
      <c r="F7" s="3">
        <f ca="1">IFERROR(__xludf.DUMMYFUNCTION("""COMPUTED_VALUE"""),1298.7)</f>
        <v>1298.7</v>
      </c>
      <c r="G7" s="2"/>
    </row>
    <row r="8" spans="1:7" x14ac:dyDescent="0.2">
      <c r="A8" s="2" t="str">
        <f ca="1">IFERROR(__xludf.DUMMYFUNCTION("""COMPUTED_VALUE"""),"Total Inventory")</f>
        <v>Total Inventory</v>
      </c>
      <c r="B8" s="2">
        <f ca="1">IFERROR(__xludf.DUMMYFUNCTION("""COMPUTED_VALUE"""),50.2)</f>
        <v>50.2</v>
      </c>
      <c r="C8" s="2">
        <f ca="1">IFERROR(__xludf.DUMMYFUNCTION("""COMPUTED_VALUE"""),51.1)</f>
        <v>51.1</v>
      </c>
      <c r="D8" s="2">
        <f ca="1">IFERROR(__xludf.DUMMYFUNCTION("""COMPUTED_VALUE"""),58.8)</f>
        <v>58.8</v>
      </c>
      <c r="E8" s="2">
        <f ca="1">IFERROR(__xludf.DUMMYFUNCTION("""COMPUTED_VALUE"""),58.9)</f>
        <v>58.9</v>
      </c>
      <c r="F8" s="2">
        <f ca="1">IFERROR(__xludf.DUMMYFUNCTION("""COMPUTED_VALUE"""),100.1)</f>
        <v>100.1</v>
      </c>
      <c r="G8" s="2"/>
    </row>
    <row r="9" spans="1:7" x14ac:dyDescent="0.2">
      <c r="A9" s="2" t="str">
        <f ca="1">IFERROR(__xludf.DUMMYFUNCTION("""COMPUTED_VALUE"""),"Prepaid Expenses")</f>
        <v>Prepaid Expenses</v>
      </c>
      <c r="B9" s="2">
        <f ca="1">IFERROR(__xludf.DUMMYFUNCTION("""COMPUTED_VALUE"""),361)</f>
        <v>361</v>
      </c>
      <c r="C9" s="2">
        <f ca="1">IFERROR(__xludf.DUMMYFUNCTION("""COMPUTED_VALUE"""),492.1)</f>
        <v>492.1</v>
      </c>
      <c r="D9" s="2">
        <f ca="1">IFERROR(__xludf.DUMMYFUNCTION("""COMPUTED_VALUE"""),827.9)</f>
        <v>827.9</v>
      </c>
      <c r="E9" s="2">
        <f ca="1">IFERROR(__xludf.DUMMYFUNCTION("""COMPUTED_VALUE"""),388.1)</f>
        <v>388.1</v>
      </c>
      <c r="F9" s="2">
        <f ca="1">IFERROR(__xludf.DUMMYFUNCTION("""COMPUTED_VALUE"""),499.2)</f>
        <v>499.2</v>
      </c>
      <c r="G9" s="2"/>
    </row>
    <row r="10" spans="1:7" x14ac:dyDescent="0.2">
      <c r="A10" s="2" t="str">
        <f ca="1">IFERROR(__xludf.DUMMYFUNCTION("""COMPUTED_VALUE"""),"Other Current Assets, Total")</f>
        <v>Other Current Assets, Total</v>
      </c>
      <c r="B10" s="2">
        <f ca="1">IFERROR(__xludf.DUMMYFUNCTION("""COMPUTED_VALUE"""),10)</f>
        <v>10</v>
      </c>
      <c r="C10" s="2">
        <f ca="1">IFERROR(__xludf.DUMMYFUNCTION("""COMPUTED_VALUE"""),30.9)</f>
        <v>30.9</v>
      </c>
      <c r="D10" s="2">
        <f ca="1">IFERROR(__xludf.DUMMYFUNCTION("""COMPUTED_VALUE"""),0.5)</f>
        <v>0.5</v>
      </c>
      <c r="E10" s="3">
        <f ca="1">IFERROR(__xludf.DUMMYFUNCTION("""COMPUTED_VALUE"""),1559.7)</f>
        <v>1559.7</v>
      </c>
      <c r="F10" s="2">
        <f ca="1">IFERROR(__xludf.DUMMYFUNCTION("""COMPUTED_VALUE"""),55)</f>
        <v>55</v>
      </c>
      <c r="G10" s="2"/>
    </row>
    <row r="11" spans="1:7" x14ac:dyDescent="0.2">
      <c r="A11" s="2" t="str">
        <f ca="1">IFERROR(__xludf.DUMMYFUNCTION("""COMPUTED_VALUE"""),"Total Current Assets")</f>
        <v>Total Current Assets</v>
      </c>
      <c r="B11" s="3">
        <f ca="1">IFERROR(__xludf.DUMMYFUNCTION("""COMPUTED_VALUE"""),3557.9)</f>
        <v>3557.9</v>
      </c>
      <c r="C11" s="3">
        <f ca="1">IFERROR(__xludf.DUMMYFUNCTION("""COMPUTED_VALUE"""),4053.2)</f>
        <v>4053.2</v>
      </c>
      <c r="D11" s="3">
        <f ca="1">IFERROR(__xludf.DUMMYFUNCTION("""COMPUTED_VALUE"""),5327.2)</f>
        <v>5327.2</v>
      </c>
      <c r="E11" s="3">
        <f ca="1">IFERROR(__xludf.DUMMYFUNCTION("""COMPUTED_VALUE"""),4848.6)</f>
        <v>4848.6000000000004</v>
      </c>
      <c r="F11" s="3">
        <f ca="1">IFERROR(__xludf.DUMMYFUNCTION("""COMPUTED_VALUE"""),9643)</f>
        <v>9643</v>
      </c>
      <c r="G11" s="2"/>
    </row>
    <row r="12" spans="1:7" x14ac:dyDescent="0.2">
      <c r="A12" s="2" t="str">
        <f ca="1">IFERROR(__xludf.DUMMYFUNCTION("""COMPUTED_VALUE"""),"Property/Plant/Equipment, Total - Gross")</f>
        <v>Property/Plant/Equipment, Total - Gross</v>
      </c>
      <c r="B12" s="3">
        <f ca="1">IFERROR(__xludf.DUMMYFUNCTION("""COMPUTED_VALUE"""),52312.1)</f>
        <v>52312.1</v>
      </c>
      <c r="C12" s="3">
        <f ca="1">IFERROR(__xludf.DUMMYFUNCTION("""COMPUTED_VALUE"""),37193.6)</f>
        <v>37193.599999999999</v>
      </c>
      <c r="D12" s="3">
        <f ca="1">IFERROR(__xludf.DUMMYFUNCTION("""COMPUTED_VALUE"""),36626.4)</f>
        <v>36626.400000000001</v>
      </c>
      <c r="E12" s="3">
        <f ca="1">IFERROR(__xludf.DUMMYFUNCTION("""COMPUTED_VALUE"""),34443.4)</f>
        <v>34443.4</v>
      </c>
      <c r="F12" s="3">
        <f ca="1">IFERROR(__xludf.DUMMYFUNCTION("""COMPUTED_VALUE"""),37692.4)</f>
        <v>37692.400000000001</v>
      </c>
      <c r="G12" s="2"/>
    </row>
    <row r="13" spans="1:7" x14ac:dyDescent="0.2">
      <c r="A13" s="2" t="str">
        <f ca="1">IFERROR(__xludf.DUMMYFUNCTION("""COMPUTED_VALUE"""),"Accumulated Depreciation, Total")</f>
        <v>Accumulated Depreciation, Total</v>
      </c>
      <c r="B13" s="3">
        <f ca="1">IFERROR(__xludf.DUMMYFUNCTION("""COMPUTED_VALUE"""),-14890.9)</f>
        <v>-14890.9</v>
      </c>
      <c r="C13" s="3">
        <f ca="1">IFERROR(__xludf.DUMMYFUNCTION("""COMPUTED_VALUE"""),-14350.9)</f>
        <v>-14350.9</v>
      </c>
      <c r="D13" s="3">
        <f ca="1">IFERROR(__xludf.DUMMYFUNCTION("""COMPUTED_VALUE"""),-14178.1)</f>
        <v>-14178.1</v>
      </c>
      <c r="E13" s="3">
        <f ca="1">IFERROR(__xludf.DUMMYFUNCTION("""COMPUTED_VALUE"""),-13185.8)</f>
        <v>-13185.8</v>
      </c>
      <c r="F13" s="3">
        <f ca="1">IFERROR(__xludf.DUMMYFUNCTION("""COMPUTED_VALUE"""),-14574.8)</f>
        <v>-14574.8</v>
      </c>
      <c r="G13" s="2"/>
    </row>
    <row r="14" spans="1:7" x14ac:dyDescent="0.2">
      <c r="A14" s="2" t="str">
        <f ca="1">IFERROR(__xludf.DUMMYFUNCTION("""COMPUTED_VALUE"""),"Property/Plant/Equipment, Total - Net")</f>
        <v>Property/Plant/Equipment, Total - Net</v>
      </c>
      <c r="B14" s="3">
        <f ca="1">IFERROR(__xludf.DUMMYFUNCTION("""COMPUTED_VALUE"""),37421.2)</f>
        <v>37421.199999999997</v>
      </c>
      <c r="C14" s="3">
        <f ca="1">IFERROR(__xludf.DUMMYFUNCTION("""COMPUTED_VALUE"""),22842.7)</f>
        <v>22842.7</v>
      </c>
      <c r="D14" s="3">
        <f ca="1">IFERROR(__xludf.DUMMYFUNCTION("""COMPUTED_VALUE"""),22448.3)</f>
        <v>22448.3</v>
      </c>
      <c r="E14" s="3">
        <f ca="1">IFERROR(__xludf.DUMMYFUNCTION("""COMPUTED_VALUE"""),21257.6)</f>
        <v>21257.599999999999</v>
      </c>
      <c r="F14" s="3">
        <f ca="1">IFERROR(__xludf.DUMMYFUNCTION("""COMPUTED_VALUE"""),23117.6)</f>
        <v>23117.599999999999</v>
      </c>
      <c r="G14" s="2"/>
    </row>
    <row r="15" spans="1:7" x14ac:dyDescent="0.2">
      <c r="A15" s="2" t="str">
        <f ca="1">IFERROR(__xludf.DUMMYFUNCTION("""COMPUTED_VALUE"""),"Goodwill, Net")</f>
        <v>Goodwill, Net</v>
      </c>
      <c r="B15" s="3">
        <f ca="1">IFERROR(__xludf.DUMMYFUNCTION("""COMPUTED_VALUE"""),2677.4)</f>
        <v>2677.4</v>
      </c>
      <c r="C15" s="3">
        <f ca="1">IFERROR(__xludf.DUMMYFUNCTION("""COMPUTED_VALUE"""),2331.5)</f>
        <v>2331.5</v>
      </c>
      <c r="D15" s="3">
        <f ca="1">IFERROR(__xludf.DUMMYFUNCTION("""COMPUTED_VALUE"""),2379.7)</f>
        <v>2379.6999999999998</v>
      </c>
      <c r="E15" s="3">
        <f ca="1">IFERROR(__xludf.DUMMYFUNCTION("""COMPUTED_VALUE"""),2336.5)</f>
        <v>2336.5</v>
      </c>
      <c r="F15" s="3">
        <f ca="1">IFERROR(__xludf.DUMMYFUNCTION("""COMPUTED_VALUE"""),2516.3)</f>
        <v>2516.3000000000002</v>
      </c>
      <c r="G15" s="2"/>
    </row>
    <row r="16" spans="1:7" x14ac:dyDescent="0.2">
      <c r="A16" s="2" t="str">
        <f ca="1">IFERROR(__xludf.DUMMYFUNCTION("""COMPUTED_VALUE"""),"Long Term Investments")</f>
        <v>Long Term Investments</v>
      </c>
      <c r="B16" s="3">
        <f ca="1">IFERROR(__xludf.DUMMYFUNCTION("""COMPUTED_VALUE"""),1270.3)</f>
        <v>1270.3</v>
      </c>
      <c r="C16" s="3">
        <f ca="1">IFERROR(__xludf.DUMMYFUNCTION("""COMPUTED_VALUE"""),1202.8)</f>
        <v>1202.8</v>
      </c>
      <c r="D16" s="3">
        <f ca="1">IFERROR(__xludf.DUMMYFUNCTION("""COMPUTED_VALUE"""),1253)</f>
        <v>1253</v>
      </c>
      <c r="E16" s="2">
        <f ca="1">IFERROR(__xludf.DUMMYFUNCTION("""COMPUTED_VALUE"""),725.9)</f>
        <v>725.9</v>
      </c>
      <c r="F16" s="2">
        <f ca="1">IFERROR(__xludf.DUMMYFUNCTION("""COMPUTED_VALUE"""),792.7)</f>
        <v>792.7</v>
      </c>
      <c r="G16" s="2"/>
    </row>
    <row r="17" spans="1:7" x14ac:dyDescent="0.2">
      <c r="A17" s="2" t="str">
        <f ca="1">IFERROR(__xludf.DUMMYFUNCTION("""COMPUTED_VALUE"""),"Other Long Term Assets, Total")</f>
        <v>Other Long Term Assets, Total</v>
      </c>
      <c r="B17" s="3">
        <f ca="1">IFERROR(__xludf.DUMMYFUNCTION("""COMPUTED_VALUE"""),2584)</f>
        <v>2584</v>
      </c>
      <c r="C17" s="3">
        <f ca="1">IFERROR(__xludf.DUMMYFUNCTION("""COMPUTED_VALUE"""),2381)</f>
        <v>2381</v>
      </c>
      <c r="D17" s="3">
        <f ca="1">IFERROR(__xludf.DUMMYFUNCTION("""COMPUTED_VALUE"""),2395.5)</f>
        <v>2395.5</v>
      </c>
      <c r="E17" s="3">
        <f ca="1">IFERROR(__xludf.DUMMYFUNCTION("""COMPUTED_VALUE"""),1855.3)</f>
        <v>1855.3</v>
      </c>
      <c r="F17" s="3">
        <f ca="1">IFERROR(__xludf.DUMMYFUNCTION("""COMPUTED_VALUE"""),1869.1)</f>
        <v>1869.1</v>
      </c>
      <c r="G17" s="2"/>
    </row>
    <row r="18" spans="1:7" x14ac:dyDescent="0.2">
      <c r="A18" s="2" t="str">
        <f ca="1">IFERROR(__xludf.DUMMYFUNCTION("""COMPUTED_VALUE"""),"Total Assets")</f>
        <v>Total Assets</v>
      </c>
      <c r="B18" s="3">
        <f ca="1">IFERROR(__xludf.DUMMYFUNCTION("""COMPUTED_VALUE"""),47510.8)</f>
        <v>47510.8</v>
      </c>
      <c r="C18" s="3">
        <f ca="1">IFERROR(__xludf.DUMMYFUNCTION("""COMPUTED_VALUE"""),32811.2)</f>
        <v>32811.199999999997</v>
      </c>
      <c r="D18" s="3">
        <f ca="1">IFERROR(__xludf.DUMMYFUNCTION("""COMPUTED_VALUE"""),33803.7)</f>
        <v>33803.699999999997</v>
      </c>
      <c r="E18" s="3">
        <f ca="1">IFERROR(__xludf.DUMMYFUNCTION("""COMPUTED_VALUE"""),31023.9)</f>
        <v>31023.9</v>
      </c>
      <c r="F18" s="3">
        <f ca="1">IFERROR(__xludf.DUMMYFUNCTION("""COMPUTED_VALUE"""),37938.7)</f>
        <v>37938.699999999997</v>
      </c>
      <c r="G18" s="2"/>
    </row>
    <row r="19" spans="1:7" x14ac:dyDescent="0.2">
      <c r="A19" s="2" t="str">
        <f ca="1">IFERROR(__xludf.DUMMYFUNCTION("""COMPUTED_VALUE"""),"Accounts Payable")</f>
        <v>Accounts Payable</v>
      </c>
      <c r="B19" s="2">
        <f ca="1">IFERROR(__xludf.DUMMYFUNCTION("""COMPUTED_VALUE"""),988.2)</f>
        <v>988.2</v>
      </c>
      <c r="C19" s="3">
        <f ca="1">IFERROR(__xludf.DUMMYFUNCTION("""COMPUTED_VALUE"""),1207.9)</f>
        <v>1207.9000000000001</v>
      </c>
      <c r="D19" s="2">
        <f ca="1">IFERROR(__xludf.DUMMYFUNCTION("""COMPUTED_VALUE"""),924.8)</f>
        <v>924.8</v>
      </c>
      <c r="E19" s="2">
        <f ca="1">IFERROR(__xludf.DUMMYFUNCTION("""COMPUTED_VALUE"""),756)</f>
        <v>756</v>
      </c>
      <c r="F19" s="2">
        <f ca="1">IFERROR(__xludf.DUMMYFUNCTION("""COMPUTED_VALUE"""),874.7)</f>
        <v>874.7</v>
      </c>
      <c r="G19" s="2"/>
    </row>
    <row r="20" spans="1:7" x14ac:dyDescent="0.2">
      <c r="A20" s="2" t="str">
        <f ca="1">IFERROR(__xludf.DUMMYFUNCTION("""COMPUTED_VALUE"""),"Accrued Expenses")</f>
        <v>Accrued Expenses</v>
      </c>
      <c r="B20" s="3">
        <f ca="1">IFERROR(__xludf.DUMMYFUNCTION("""COMPUTED_VALUE"""),2231.9)</f>
        <v>2231.9</v>
      </c>
      <c r="C20" s="3">
        <f ca="1">IFERROR(__xludf.DUMMYFUNCTION("""COMPUTED_VALUE"""),1533.8)</f>
        <v>1533.8</v>
      </c>
      <c r="D20" s="3">
        <f ca="1">IFERROR(__xludf.DUMMYFUNCTION("""COMPUTED_VALUE"""),1662.2)</f>
        <v>1662.2</v>
      </c>
      <c r="E20" s="3">
        <f ca="1">IFERROR(__xludf.DUMMYFUNCTION("""COMPUTED_VALUE"""),1669.2)</f>
        <v>1669.2</v>
      </c>
      <c r="F20" s="3">
        <f ca="1">IFERROR(__xludf.DUMMYFUNCTION("""COMPUTED_VALUE"""),1892.9)</f>
        <v>1892.9</v>
      </c>
      <c r="G20" s="2"/>
    </row>
    <row r="21" spans="1:7" x14ac:dyDescent="0.2">
      <c r="A21" s="2" t="str">
        <f ca="1">IFERROR(__xludf.DUMMYFUNCTION("""COMPUTED_VALUE"""),"Notes Payable/Short Term Debt")</f>
        <v>Notes Payable/Short Term Debt</v>
      </c>
      <c r="B21" s="2">
        <f ca="1">IFERROR(__xludf.DUMMYFUNCTION("""COMPUTED_VALUE"""),0)</f>
        <v>0</v>
      </c>
      <c r="C21" s="2">
        <f ca="1">IFERROR(__xludf.DUMMYFUNCTION("""COMPUTED_VALUE"""),0)</f>
        <v>0</v>
      </c>
      <c r="D21" s="2">
        <f ca="1">IFERROR(__xludf.DUMMYFUNCTION("""COMPUTED_VALUE"""),0)</f>
        <v>0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/>
    </row>
    <row r="22" spans="1:7" x14ac:dyDescent="0.2">
      <c r="A22" s="2" t="str">
        <f ca="1">IFERROR(__xludf.DUMMYFUNCTION("""COMPUTED_VALUE"""),"Current Port. of LT Debt/Capital Leases")</f>
        <v>Current Port. of LT Debt/Capital Leases</v>
      </c>
      <c r="B22" s="2">
        <f ca="1">IFERROR(__xludf.DUMMYFUNCTION("""COMPUTED_VALUE"""),59.1)</f>
        <v>59.1</v>
      </c>
      <c r="C22" s="2">
        <f ca="1">IFERROR(__xludf.DUMMYFUNCTION("""COMPUTED_VALUE"""),0)</f>
        <v>0</v>
      </c>
      <c r="D22" s="2">
        <f ca="1">IFERROR(__xludf.DUMMYFUNCTION("""COMPUTED_VALUE"""),77.2)</f>
        <v>77.2</v>
      </c>
      <c r="E22" s="2" t="str">
        <f ca="1">IFERROR(__xludf.DUMMYFUNCTION("""COMPUTED_VALUE"""),"--")</f>
        <v>--</v>
      </c>
      <c r="F22" s="2" t="str">
        <f ca="1">IFERROR(__xludf.DUMMYFUNCTION("""COMPUTED_VALUE"""),"--")</f>
        <v>--</v>
      </c>
      <c r="G22" s="2"/>
    </row>
    <row r="23" spans="1:7" x14ac:dyDescent="0.2">
      <c r="A23" s="2" t="str">
        <f ca="1">IFERROR(__xludf.DUMMYFUNCTION("""COMPUTED_VALUE"""),"Other Current liabilities, Total")</f>
        <v>Other Current liabilities, Total</v>
      </c>
      <c r="B23" s="2">
        <f ca="1">IFERROR(__xludf.DUMMYFUNCTION("""COMPUTED_VALUE"""),341.8)</f>
        <v>341.8</v>
      </c>
      <c r="C23" s="2">
        <f ca="1">IFERROR(__xludf.DUMMYFUNCTION("""COMPUTED_VALUE"""),231.8)</f>
        <v>231.8</v>
      </c>
      <c r="D23" s="2">
        <f ca="1">IFERROR(__xludf.DUMMYFUNCTION("""COMPUTED_VALUE"""),303.6)</f>
        <v>303.60000000000002</v>
      </c>
      <c r="E23" s="2">
        <f ca="1">IFERROR(__xludf.DUMMYFUNCTION("""COMPUTED_VALUE"""),965.9)</f>
        <v>965.9</v>
      </c>
      <c r="F23" s="2">
        <f ca="1">IFERROR(__xludf.DUMMYFUNCTION("""COMPUTED_VALUE"""),182.8)</f>
        <v>182.8</v>
      </c>
      <c r="G23" s="2"/>
    </row>
    <row r="24" spans="1:7" x14ac:dyDescent="0.2">
      <c r="A24" s="2" t="str">
        <f ca="1">IFERROR(__xludf.DUMMYFUNCTION("""COMPUTED_VALUE"""),"Total Current Liabilities")</f>
        <v>Total Current Liabilities</v>
      </c>
      <c r="B24" s="3">
        <f ca="1">IFERROR(__xludf.DUMMYFUNCTION("""COMPUTED_VALUE"""),3621)</f>
        <v>3621</v>
      </c>
      <c r="C24" s="3">
        <f ca="1">IFERROR(__xludf.DUMMYFUNCTION("""COMPUTED_VALUE"""),2973.5)</f>
        <v>2973.5</v>
      </c>
      <c r="D24" s="3">
        <f ca="1">IFERROR(__xludf.DUMMYFUNCTION("""COMPUTED_VALUE"""),2890.6)</f>
        <v>2890.6</v>
      </c>
      <c r="E24" s="3">
        <f ca="1">IFERROR(__xludf.DUMMYFUNCTION("""COMPUTED_VALUE"""),3468.3)</f>
        <v>3468.3</v>
      </c>
      <c r="F24" s="3">
        <f ca="1">IFERROR(__xludf.DUMMYFUNCTION("""COMPUTED_VALUE"""),2950.4)</f>
        <v>2950.4</v>
      </c>
      <c r="G24" s="2"/>
    </row>
    <row r="25" spans="1:7" x14ac:dyDescent="0.2">
      <c r="A25" s="2" t="str">
        <f ca="1">IFERROR(__xludf.DUMMYFUNCTION("""COMPUTED_VALUE"""),"Long Term Debt")</f>
        <v>Long Term Debt</v>
      </c>
      <c r="B25" s="3">
        <f ca="1">IFERROR(__xludf.DUMMYFUNCTION("""COMPUTED_VALUE"""),34118.1)</f>
        <v>34118.1</v>
      </c>
      <c r="C25" s="3">
        <f ca="1">IFERROR(__xludf.DUMMYFUNCTION("""COMPUTED_VALUE"""),31075.3)</f>
        <v>31075.3</v>
      </c>
      <c r="D25" s="3">
        <f ca="1">IFERROR(__xludf.DUMMYFUNCTION("""COMPUTED_VALUE"""),29536.4)</f>
        <v>29536.400000000001</v>
      </c>
      <c r="E25" s="3">
        <f ca="1">IFERROR(__xludf.DUMMYFUNCTION("""COMPUTED_VALUE"""),25878.5)</f>
        <v>25878.5</v>
      </c>
      <c r="F25" s="3">
        <f ca="1">IFERROR(__xludf.DUMMYFUNCTION("""COMPUTED_VALUE"""),24122.1)</f>
        <v>24122.1</v>
      </c>
      <c r="G25" s="2"/>
    </row>
    <row r="26" spans="1:7" x14ac:dyDescent="0.2">
      <c r="A26" s="2" t="str">
        <f ca="1">IFERROR(__xludf.DUMMYFUNCTION("""COMPUTED_VALUE"""),"Total Long Term Debt")</f>
        <v>Total Long Term Debt</v>
      </c>
      <c r="B26" s="3">
        <f ca="1">IFERROR(__xludf.DUMMYFUNCTION("""COMPUTED_VALUE"""),34118.1)</f>
        <v>34118.1</v>
      </c>
      <c r="C26" s="3">
        <f ca="1">IFERROR(__xludf.DUMMYFUNCTION("""COMPUTED_VALUE"""),31075.3)</f>
        <v>31075.3</v>
      </c>
      <c r="D26" s="3">
        <f ca="1">IFERROR(__xludf.DUMMYFUNCTION("""COMPUTED_VALUE"""),29536.4)</f>
        <v>29536.400000000001</v>
      </c>
      <c r="E26" s="3">
        <f ca="1">IFERROR(__xludf.DUMMYFUNCTION("""COMPUTED_VALUE"""),25878.5)</f>
        <v>25878.5</v>
      </c>
      <c r="F26" s="3">
        <f ca="1">IFERROR(__xludf.DUMMYFUNCTION("""COMPUTED_VALUE"""),24122.1)</f>
        <v>24122.1</v>
      </c>
      <c r="G26" s="2"/>
    </row>
    <row r="27" spans="1:7" x14ac:dyDescent="0.2">
      <c r="A27" s="2" t="str">
        <f ca="1">IFERROR(__xludf.DUMMYFUNCTION("""COMPUTED_VALUE"""),"Total Debt")</f>
        <v>Total Debt</v>
      </c>
      <c r="B27" s="3">
        <f ca="1">IFERROR(__xludf.DUMMYFUNCTION("""COMPUTED_VALUE"""),34177.2)</f>
        <v>34177.199999999997</v>
      </c>
      <c r="C27" s="3">
        <f ca="1">IFERROR(__xludf.DUMMYFUNCTION("""COMPUTED_VALUE"""),31075.3)</f>
        <v>31075.3</v>
      </c>
      <c r="D27" s="3">
        <f ca="1">IFERROR(__xludf.DUMMYFUNCTION("""COMPUTED_VALUE"""),29536.4)</f>
        <v>29536.400000000001</v>
      </c>
      <c r="E27" s="3">
        <f ca="1">IFERROR(__xludf.DUMMYFUNCTION("""COMPUTED_VALUE"""),25955.7)</f>
        <v>25955.7</v>
      </c>
      <c r="F27" s="3">
        <f ca="1">IFERROR(__xludf.DUMMYFUNCTION("""COMPUTED_VALUE"""),24122.1)</f>
        <v>24122.1</v>
      </c>
      <c r="G27" s="2"/>
    </row>
    <row r="28" spans="1:7" x14ac:dyDescent="0.2">
      <c r="A28" s="2" t="str">
        <f ca="1">IFERROR(__xludf.DUMMYFUNCTION("""COMPUTED_VALUE"""),"Deferred Income Tax")</f>
        <v>Deferred Income Tax</v>
      </c>
      <c r="B28" s="3">
        <f ca="1">IFERROR(__xludf.DUMMYFUNCTION("""COMPUTED_VALUE"""),1318.1)</f>
        <v>1318.1</v>
      </c>
      <c r="C28" s="3">
        <f ca="1">IFERROR(__xludf.DUMMYFUNCTION("""COMPUTED_VALUE"""),1215.5)</f>
        <v>1215.5</v>
      </c>
      <c r="D28" s="3">
        <f ca="1">IFERROR(__xludf.DUMMYFUNCTION("""COMPUTED_VALUE"""),1119.4)</f>
        <v>1119.4000000000001</v>
      </c>
      <c r="E28" s="3">
        <f ca="1">IFERROR(__xludf.DUMMYFUNCTION("""COMPUTED_VALUE"""),1817.1)</f>
        <v>1817.1</v>
      </c>
      <c r="F28" s="3">
        <f ca="1">IFERROR(__xludf.DUMMYFUNCTION("""COMPUTED_VALUE"""),1704.3)</f>
        <v>1704.3</v>
      </c>
      <c r="G28" s="2"/>
    </row>
    <row r="29" spans="1:7" x14ac:dyDescent="0.2">
      <c r="A29" s="2" t="str">
        <f ca="1">IFERROR(__xludf.DUMMYFUNCTION("""COMPUTED_VALUE"""),"Other Liabilities, Total")</f>
        <v>Other Liabilities, Total</v>
      </c>
      <c r="B29" s="3">
        <f ca="1">IFERROR(__xludf.DUMMYFUNCTION("""COMPUTED_VALUE"""),16663.9)</f>
        <v>16663.900000000001</v>
      </c>
      <c r="C29" s="3">
        <f ca="1">IFERROR(__xludf.DUMMYFUNCTION("""COMPUTED_VALUE"""),3805.3)</f>
        <v>3805.3</v>
      </c>
      <c r="D29" s="3">
        <f ca="1">IFERROR(__xludf.DUMMYFUNCTION("""COMPUTED_VALUE"""),3525.3)</f>
        <v>3525.3</v>
      </c>
      <c r="E29" s="3">
        <f ca="1">IFERROR(__xludf.DUMMYFUNCTION("""COMPUTED_VALUE"""),2064.3)</f>
        <v>2064.3000000000002</v>
      </c>
      <c r="F29" s="3">
        <f ca="1">IFERROR(__xludf.DUMMYFUNCTION("""COMPUTED_VALUE"""),2074)</f>
        <v>2074</v>
      </c>
      <c r="G29" s="2"/>
    </row>
    <row r="30" spans="1:7" x14ac:dyDescent="0.2">
      <c r="A30" s="2" t="str">
        <f ca="1">IFERROR(__xludf.DUMMYFUNCTION("""COMPUTED_VALUE"""),"Total Liabilities")</f>
        <v>Total Liabilities</v>
      </c>
      <c r="B30" s="3">
        <f ca="1">IFERROR(__xludf.DUMMYFUNCTION("""COMPUTED_VALUE"""),55721.1)</f>
        <v>55721.1</v>
      </c>
      <c r="C30" s="3">
        <f ca="1">IFERROR(__xludf.DUMMYFUNCTION("""COMPUTED_VALUE"""),39069.6)</f>
        <v>39069.599999999999</v>
      </c>
      <c r="D30" s="3">
        <f ca="1">IFERROR(__xludf.DUMMYFUNCTION("""COMPUTED_VALUE"""),37071.7)</f>
        <v>37071.699999999997</v>
      </c>
      <c r="E30" s="3">
        <f ca="1">IFERROR(__xludf.DUMMYFUNCTION("""COMPUTED_VALUE"""),33228.2)</f>
        <v>33228.199999999997</v>
      </c>
      <c r="F30" s="3">
        <f ca="1">IFERROR(__xludf.DUMMYFUNCTION("""COMPUTED_VALUE"""),30850.8)</f>
        <v>30850.799999999999</v>
      </c>
      <c r="G30" s="2"/>
    </row>
    <row r="31" spans="1:7" x14ac:dyDescent="0.2">
      <c r="A31" s="2" t="str">
        <f ca="1">IFERROR(__xludf.DUMMYFUNCTION("""COMPUTED_VALUE"""),"Preferred Stock - Non Redeemable, Net")</f>
        <v>Preferred Stock - Non Redeemable, Net</v>
      </c>
      <c r="B31" s="2">
        <f ca="1">IFERROR(__xludf.DUMMYFUNCTION("""COMPUTED_VALUE"""),0)</f>
        <v>0</v>
      </c>
      <c r="C31" s="2">
        <f ca="1">IFERROR(__xludf.DUMMYFUNCTION("""COMPUTED_VALUE"""),0)</f>
        <v>0</v>
      </c>
      <c r="D31" s="2">
        <f ca="1">IFERROR(__xludf.DUMMYFUNCTION("""COMPUTED_VALUE"""),0)</f>
        <v>0</v>
      </c>
      <c r="E31" s="2" t="str">
        <f ca="1">IFERROR(__xludf.DUMMYFUNCTION("""COMPUTED_VALUE"""),"--")</f>
        <v>--</v>
      </c>
      <c r="F31" s="2" t="str">
        <f ca="1">IFERROR(__xludf.DUMMYFUNCTION("""COMPUTED_VALUE"""),"--")</f>
        <v>--</v>
      </c>
      <c r="G31" s="2"/>
    </row>
    <row r="32" spans="1:7" x14ac:dyDescent="0.2">
      <c r="A32" s="2" t="str">
        <f ca="1">IFERROR(__xludf.DUMMYFUNCTION("""COMPUTED_VALUE"""),"Common Stock, Total")</f>
        <v>Common Stock, Total</v>
      </c>
      <c r="B32" s="2">
        <f ca="1">IFERROR(__xludf.DUMMYFUNCTION("""COMPUTED_VALUE"""),16.6)</f>
        <v>16.600000000000001</v>
      </c>
      <c r="C32" s="2">
        <f ca="1">IFERROR(__xludf.DUMMYFUNCTION("""COMPUTED_VALUE"""),16.6)</f>
        <v>16.600000000000001</v>
      </c>
      <c r="D32" s="2">
        <f ca="1">IFERROR(__xludf.DUMMYFUNCTION("""COMPUTED_VALUE"""),16.6)</f>
        <v>16.600000000000001</v>
      </c>
      <c r="E32" s="2">
        <f ca="1">IFERROR(__xludf.DUMMYFUNCTION("""COMPUTED_VALUE"""),16.6)</f>
        <v>16.600000000000001</v>
      </c>
      <c r="F32" s="2">
        <f ca="1">IFERROR(__xludf.DUMMYFUNCTION("""COMPUTED_VALUE"""),16.6)</f>
        <v>16.600000000000001</v>
      </c>
      <c r="G32" s="2"/>
    </row>
    <row r="33" spans="1:7" x14ac:dyDescent="0.2">
      <c r="A33" s="2" t="str">
        <f ca="1">IFERROR(__xludf.DUMMYFUNCTION("""COMPUTED_VALUE"""),"Additional Paid-In Capital")</f>
        <v>Additional Paid-In Capital</v>
      </c>
      <c r="B33" s="3">
        <f ca="1">IFERROR(__xludf.DUMMYFUNCTION("""COMPUTED_VALUE"""),7653.9)</f>
        <v>7653.9</v>
      </c>
      <c r="C33" s="3">
        <f ca="1">IFERROR(__xludf.DUMMYFUNCTION("""COMPUTED_VALUE"""),7376)</f>
        <v>7376</v>
      </c>
      <c r="D33" s="3">
        <f ca="1">IFERROR(__xludf.DUMMYFUNCTION("""COMPUTED_VALUE"""),7072.4)</f>
        <v>7072.4</v>
      </c>
      <c r="E33" s="3">
        <f ca="1">IFERROR(__xludf.DUMMYFUNCTION("""COMPUTED_VALUE"""),6757.9)</f>
        <v>6757.9</v>
      </c>
      <c r="F33" s="3">
        <f ca="1">IFERROR(__xludf.DUMMYFUNCTION("""COMPUTED_VALUE"""),6533.4)</f>
        <v>6533.4</v>
      </c>
      <c r="G33" s="2"/>
    </row>
    <row r="34" spans="1:7" x14ac:dyDescent="0.2">
      <c r="A34" s="2" t="str">
        <f ca="1">IFERROR(__xludf.DUMMYFUNCTION("""COMPUTED_VALUE"""),"Retained Earnings (Accumulated Deficit)")</f>
        <v>Retained Earnings (Accumulated Deficit)</v>
      </c>
      <c r="B34" s="3">
        <f ca="1">IFERROR(__xludf.DUMMYFUNCTION("""COMPUTED_VALUE"""),52930.5)</f>
        <v>52930.5</v>
      </c>
      <c r="C34" s="3">
        <f ca="1">IFERROR(__xludf.DUMMYFUNCTION("""COMPUTED_VALUE"""),50487)</f>
        <v>50487</v>
      </c>
      <c r="D34" s="3">
        <f ca="1">IFERROR(__xludf.DUMMYFUNCTION("""COMPUTED_VALUE"""),48325.8)</f>
        <v>48325.8</v>
      </c>
      <c r="E34" s="3">
        <f ca="1">IFERROR(__xludf.DUMMYFUNCTION("""COMPUTED_VALUE"""),46222.7)</f>
        <v>46222.7</v>
      </c>
      <c r="F34" s="3">
        <f ca="1">IFERROR(__xludf.DUMMYFUNCTION("""COMPUTED_VALUE"""),44594.5)</f>
        <v>44594.5</v>
      </c>
      <c r="G34" s="2"/>
    </row>
    <row r="35" spans="1:7" x14ac:dyDescent="0.2">
      <c r="A35" s="2" t="str">
        <f ca="1">IFERROR(__xludf.DUMMYFUNCTION("""COMPUTED_VALUE"""),"Treasury Stock - Common")</f>
        <v>Treasury Stock - Common</v>
      </c>
      <c r="B35" s="3">
        <f ca="1">IFERROR(__xludf.DUMMYFUNCTION("""COMPUTED_VALUE"""),-66328.6)</f>
        <v>-66328.600000000006</v>
      </c>
      <c r="C35" s="3">
        <f ca="1">IFERROR(__xludf.DUMMYFUNCTION("""COMPUTED_VALUE"""),-61528.5)</f>
        <v>-61528.5</v>
      </c>
      <c r="D35" s="3">
        <f ca="1">IFERROR(__xludf.DUMMYFUNCTION("""COMPUTED_VALUE"""),-56504.4)</f>
        <v>-56504.4</v>
      </c>
      <c r="E35" s="3">
        <f ca="1">IFERROR(__xludf.DUMMYFUNCTION("""COMPUTED_VALUE"""),-52108.6)</f>
        <v>-52108.6</v>
      </c>
      <c r="F35" s="3">
        <f ca="1">IFERROR(__xludf.DUMMYFUNCTION("""COMPUTED_VALUE"""),-41176.8)</f>
        <v>-41176.800000000003</v>
      </c>
      <c r="G35" s="2"/>
    </row>
    <row r="36" spans="1:7" x14ac:dyDescent="0.2">
      <c r="A36" s="2" t="str">
        <f ca="1">IFERROR(__xludf.DUMMYFUNCTION("""COMPUTED_VALUE"""),"Other Equity, Total")</f>
        <v>Other Equity, Total</v>
      </c>
      <c r="B36" s="3">
        <f ca="1">IFERROR(__xludf.DUMMYFUNCTION("""COMPUTED_VALUE"""),-2482.7)</f>
        <v>-2482.6999999999998</v>
      </c>
      <c r="C36" s="3">
        <f ca="1">IFERROR(__xludf.DUMMYFUNCTION("""COMPUTED_VALUE"""),-2609.5)</f>
        <v>-2609.5</v>
      </c>
      <c r="D36" s="3">
        <f ca="1">IFERROR(__xludf.DUMMYFUNCTION("""COMPUTED_VALUE"""),-2178.4)</f>
        <v>-2178.4</v>
      </c>
      <c r="E36" s="3">
        <f ca="1">IFERROR(__xludf.DUMMYFUNCTION("""COMPUTED_VALUE"""),-3092.9)</f>
        <v>-3092.9</v>
      </c>
      <c r="F36" s="3">
        <f ca="1">IFERROR(__xludf.DUMMYFUNCTION("""COMPUTED_VALUE"""),-2879.8)</f>
        <v>-2879.8</v>
      </c>
      <c r="G36" s="2"/>
    </row>
    <row r="37" spans="1:7" x14ac:dyDescent="0.2">
      <c r="A37" s="2" t="str">
        <f ca="1">IFERROR(__xludf.DUMMYFUNCTION("""COMPUTED_VALUE"""),"Total Equity")</f>
        <v>Total Equity</v>
      </c>
      <c r="B37" s="3">
        <f ca="1">IFERROR(__xludf.DUMMYFUNCTION("""COMPUTED_VALUE"""),-8210.3)</f>
        <v>-8210.2999999999993</v>
      </c>
      <c r="C37" s="3">
        <f ca="1">IFERROR(__xludf.DUMMYFUNCTION("""COMPUTED_VALUE"""),-6258.4)</f>
        <v>-6258.4</v>
      </c>
      <c r="D37" s="3">
        <f ca="1">IFERROR(__xludf.DUMMYFUNCTION("""COMPUTED_VALUE"""),-3268)</f>
        <v>-3268</v>
      </c>
      <c r="E37" s="3">
        <f ca="1">IFERROR(__xludf.DUMMYFUNCTION("""COMPUTED_VALUE"""),-2204.3)</f>
        <v>-2204.3000000000002</v>
      </c>
      <c r="F37" s="3">
        <f ca="1">IFERROR(__xludf.DUMMYFUNCTION("""COMPUTED_VALUE"""),7087.9)</f>
        <v>7087.9</v>
      </c>
      <c r="G37" s="2"/>
    </row>
    <row r="38" spans="1:7" x14ac:dyDescent="0.2">
      <c r="A38" s="2" t="str">
        <f ca="1">IFERROR(__xludf.DUMMYFUNCTION("""COMPUTED_VALUE"""),"Total Liabilities &amp; Shareholders' Equity")</f>
        <v>Total Liabilities &amp; Shareholders' Equity</v>
      </c>
      <c r="B38" s="3">
        <f ca="1">IFERROR(__xludf.DUMMYFUNCTION("""COMPUTED_VALUE"""),47510.8)</f>
        <v>47510.8</v>
      </c>
      <c r="C38" s="3">
        <f ca="1">IFERROR(__xludf.DUMMYFUNCTION("""COMPUTED_VALUE"""),32811.2)</f>
        <v>32811.199999999997</v>
      </c>
      <c r="D38" s="3">
        <f ca="1">IFERROR(__xludf.DUMMYFUNCTION("""COMPUTED_VALUE"""),33803.7)</f>
        <v>33803.699999999997</v>
      </c>
      <c r="E38" s="3">
        <f ca="1">IFERROR(__xludf.DUMMYFUNCTION("""COMPUTED_VALUE"""),31023.9)</f>
        <v>31023.9</v>
      </c>
      <c r="F38" s="3">
        <f ca="1">IFERROR(__xludf.DUMMYFUNCTION("""COMPUTED_VALUE"""),37938.7)</f>
        <v>37938.699999999997</v>
      </c>
      <c r="G38" s="2"/>
    </row>
    <row r="39" spans="1:7" x14ac:dyDescent="0.2">
      <c r="A39" s="2" t="str">
        <f ca="1">IFERROR(__xludf.DUMMYFUNCTION("""COMPUTED_VALUE"""),"Total Common Shares Outstanding")</f>
        <v>Total Common Shares Outstanding</v>
      </c>
      <c r="B39" s="2">
        <f ca="1">IFERROR(__xludf.DUMMYFUNCTION("""COMPUTED_VALUE"""),746.3)</f>
        <v>746.3</v>
      </c>
      <c r="C39" s="2">
        <f ca="1">IFERROR(__xludf.DUMMYFUNCTION("""COMPUTED_VALUE"""),767.1)</f>
        <v>767.1</v>
      </c>
      <c r="D39" s="2">
        <f ca="1">IFERROR(__xludf.DUMMYFUNCTION("""COMPUTED_VALUE"""),794.1)</f>
        <v>794.1</v>
      </c>
      <c r="E39" s="2">
        <f ca="1">IFERROR(__xludf.DUMMYFUNCTION("""COMPUTED_VALUE"""),819.3)</f>
        <v>819.3</v>
      </c>
      <c r="F39" s="2">
        <f ca="1">IFERROR(__xludf.DUMMYFUNCTION("""COMPUTED_VALUE"""),906.8)</f>
        <v>906.8</v>
      </c>
      <c r="G39" s="2"/>
    </row>
    <row r="40" spans="1:7" x14ac:dyDescent="0.2">
      <c r="A40" s="2" t="str">
        <f ca="1">IFERROR(__xludf.DUMMYFUNCTION("""COMPUTED_VALUE"""),"Tangible Book Value per Share, Common Eq")</f>
        <v>Tangible Book Value per Share, Common Eq</v>
      </c>
      <c r="B40" s="2">
        <f ca="1">IFERROR(__xludf.DUMMYFUNCTION("""COMPUTED_VALUE"""),-14.59)</f>
        <v>-14.59</v>
      </c>
      <c r="C40" s="2">
        <f ca="1">IFERROR(__xludf.DUMMYFUNCTION("""COMPUTED_VALUE"""),-11.2)</f>
        <v>-11.2</v>
      </c>
      <c r="D40" s="2">
        <f ca="1">IFERROR(__xludf.DUMMYFUNCTION("""COMPUTED_VALUE"""),-7.11)</f>
        <v>-7.11</v>
      </c>
      <c r="E40" s="2">
        <f ca="1">IFERROR(__xludf.DUMMYFUNCTION("""COMPUTED_VALUE"""),-5.54)</f>
        <v>-5.54</v>
      </c>
      <c r="F40" s="2">
        <f ca="1">IFERROR(__xludf.DUMMYFUNCTION("""COMPUTED_VALUE"""),5.04)</f>
        <v>5.04</v>
      </c>
      <c r="G40" s="2"/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000"/>
  <sheetViews>
    <sheetView workbookViewId="0"/>
  </sheetViews>
  <sheetFormatPr baseColWidth="10" defaultColWidth="14.5" defaultRowHeight="15.75" customHeight="1" x14ac:dyDescent="0.15"/>
  <cols>
    <col min="1" max="1" width="40.6640625" customWidth="1"/>
    <col min="2" max="6" width="14.5" customWidth="1"/>
  </cols>
  <sheetData>
    <row r="1" spans="1:8" ht="15.75" customHeight="1" x14ac:dyDescent="0.15">
      <c r="A1" s="17" t="s">
        <v>276</v>
      </c>
    </row>
    <row r="2" spans="1:8" ht="15.75" customHeight="1" x14ac:dyDescent="0.15">
      <c r="A2" s="8" t="str">
        <f ca="1">IFERROR(__xludf.DUMMYFUNCTION("IMPORTHTML(A1, ""table"",1)"),"")</f>
        <v/>
      </c>
      <c r="B2" s="8"/>
      <c r="C2" s="8"/>
      <c r="D2" s="8"/>
      <c r="E2" s="8"/>
      <c r="F2" s="8"/>
      <c r="G2" s="8" t="str">
        <f ca="1">IFERROR(__xludf.DUMMYFUNCTION("""COMPUTED_VALUE"""),"Trend")</f>
        <v>Trend</v>
      </c>
    </row>
    <row r="3" spans="1:8" ht="15.75" customHeight="1" x14ac:dyDescent="0.15">
      <c r="A3" s="8" t="str">
        <f ca="1">IFERROR(__xludf.DUMMYFUNCTION("""COMPUTED_VALUE"""),"Revenue")</f>
        <v>Revenue</v>
      </c>
      <c r="B3" s="18">
        <f ca="1">IFERROR(__xludf.DUMMYFUNCTION("""COMPUTED_VALUE"""),3618.77)</f>
        <v>3618.77</v>
      </c>
      <c r="C3" s="18">
        <f ca="1">IFERROR(__xludf.DUMMYFUNCTION("""COMPUTED_VALUE"""),3432.87)</f>
        <v>3432.87</v>
      </c>
      <c r="D3" s="18">
        <f ca="1">IFERROR(__xludf.DUMMYFUNCTION("""COMPUTED_VALUE"""),2787.98)</f>
        <v>2787.98</v>
      </c>
      <c r="E3" s="18">
        <f ca="1">IFERROR(__xludf.DUMMYFUNCTION("""COMPUTED_VALUE"""),2472.63)</f>
        <v>2472.63</v>
      </c>
      <c r="F3" s="18">
        <f ca="1">IFERROR(__xludf.DUMMYFUNCTION("""COMPUTED_VALUE"""),2216.53)</f>
        <v>2216.5300000000002</v>
      </c>
      <c r="G3" s="8"/>
      <c r="H3" s="8" t="str">
        <f ca="1">IFERROR(__xludf.DUMMYFUNCTION("GOOGLETRANSLATE(A3,""EN"",""NL"")"),"Omzet")</f>
        <v>Omzet</v>
      </c>
    </row>
    <row r="4" spans="1:8" ht="15.75" customHeight="1" x14ac:dyDescent="0.15">
      <c r="A4" s="8" t="str">
        <f ca="1">IFERROR(__xludf.DUMMYFUNCTION("""COMPUTED_VALUE"""),"Total Revenue")</f>
        <v>Total Revenue</v>
      </c>
      <c r="B4" s="18">
        <f ca="1">IFERROR(__xludf.DUMMYFUNCTION("""COMPUTED_VALUE"""),3618.77)</f>
        <v>3618.77</v>
      </c>
      <c r="C4" s="18">
        <f ca="1">IFERROR(__xludf.DUMMYFUNCTION("""COMPUTED_VALUE"""),3432.87)</f>
        <v>3432.87</v>
      </c>
      <c r="D4" s="18">
        <f ca="1">IFERROR(__xludf.DUMMYFUNCTION("""COMPUTED_VALUE"""),2787.98)</f>
        <v>2787.98</v>
      </c>
      <c r="E4" s="18">
        <f ca="1">IFERROR(__xludf.DUMMYFUNCTION("""COMPUTED_VALUE"""),2472.63)</f>
        <v>2472.63</v>
      </c>
      <c r="F4" s="18">
        <f ca="1">IFERROR(__xludf.DUMMYFUNCTION("""COMPUTED_VALUE"""),2216.53)</f>
        <v>2216.5300000000002</v>
      </c>
      <c r="G4" s="8"/>
      <c r="H4" s="8" t="str">
        <f ca="1">IFERROR(__xludf.DUMMYFUNCTION("GOOGLETRANSLATE(A4,""EN"",""NL"")"),"De totale omzet")</f>
        <v>De totale omzet</v>
      </c>
    </row>
    <row r="5" spans="1:8" ht="15.75" customHeight="1" x14ac:dyDescent="0.15">
      <c r="A5" s="8" t="str">
        <f ca="1">IFERROR(__xludf.DUMMYFUNCTION("""COMPUTED_VALUE"""),"Cost of Revenue, Total")</f>
        <v>Cost of Revenue, Total</v>
      </c>
      <c r="B5" s="18">
        <f ca="1">IFERROR(__xludf.DUMMYFUNCTION("""COMPUTED_VALUE"""),2216.28)</f>
        <v>2216.2800000000002</v>
      </c>
      <c r="C5" s="18">
        <f ca="1">IFERROR(__xludf.DUMMYFUNCTION("""COMPUTED_VALUE"""),2130.19)</f>
        <v>2130.19</v>
      </c>
      <c r="D5" s="18">
        <f ca="1">IFERROR(__xludf.DUMMYFUNCTION("""COMPUTED_VALUE"""),1921.99)</f>
        <v>1921.99</v>
      </c>
      <c r="E5" s="18">
        <f ca="1">IFERROR(__xludf.DUMMYFUNCTION("""COMPUTED_VALUE"""),1704.94)</f>
        <v>1704.94</v>
      </c>
      <c r="F5" s="18">
        <f ca="1">IFERROR(__xludf.DUMMYFUNCTION("""COMPUTED_VALUE"""),1533.4)</f>
        <v>1533.4</v>
      </c>
      <c r="G5" s="8"/>
      <c r="H5" s="8" t="str">
        <f ca="1">IFERROR(__xludf.DUMMYFUNCTION("GOOGLETRANSLATE(A5,""EN"",""NL"")"),"Kosten van inkomsten, Total")</f>
        <v>Kosten van inkomsten, Total</v>
      </c>
    </row>
    <row r="6" spans="1:8" ht="15.75" customHeight="1" x14ac:dyDescent="0.15">
      <c r="A6" s="8" t="str">
        <f ca="1">IFERROR(__xludf.DUMMYFUNCTION("""COMPUTED_VALUE"""),"Gross Profit")</f>
        <v>Gross Profit</v>
      </c>
      <c r="B6" s="18">
        <f ca="1">IFERROR(__xludf.DUMMYFUNCTION("""COMPUTED_VALUE"""),1402.5)</f>
        <v>1402.5</v>
      </c>
      <c r="C6" s="18">
        <f ca="1">IFERROR(__xludf.DUMMYFUNCTION("""COMPUTED_VALUE"""),1302.68)</f>
        <v>1302.68</v>
      </c>
      <c r="D6" s="8">
        <f ca="1">IFERROR(__xludf.DUMMYFUNCTION("""COMPUTED_VALUE"""),865.99)</f>
        <v>865.99</v>
      </c>
      <c r="E6" s="8">
        <f ca="1">IFERROR(__xludf.DUMMYFUNCTION("""COMPUTED_VALUE"""),767.69)</f>
        <v>767.69</v>
      </c>
      <c r="F6" s="8">
        <f ca="1">IFERROR(__xludf.DUMMYFUNCTION("""COMPUTED_VALUE"""),683.13)</f>
        <v>683.13</v>
      </c>
      <c r="G6" s="8"/>
      <c r="H6" s="8" t="str">
        <f ca="1">IFERROR(__xludf.DUMMYFUNCTION("GOOGLETRANSLATE(A6,""EN"",""NL"")"),"Brutowinst")</f>
        <v>Brutowinst</v>
      </c>
    </row>
    <row r="7" spans="1:8" ht="15.75" customHeight="1" x14ac:dyDescent="0.15">
      <c r="A7" s="8" t="str">
        <f ca="1">IFERROR(__xludf.DUMMYFUNCTION("""COMPUTED_VALUE"""),"Selling/General/Admin. Expenses, Total")</f>
        <v>Selling/General/Admin. Expenses, Total</v>
      </c>
      <c r="B7" s="8">
        <f ca="1">IFERROR(__xludf.DUMMYFUNCTION("""COMPUTED_VALUE"""),773.09)</f>
        <v>773.09</v>
      </c>
      <c r="C7" s="8">
        <f ca="1">IFERROR(__xludf.DUMMYFUNCTION("""COMPUTED_VALUE"""),730.99)</f>
        <v>730.99</v>
      </c>
      <c r="D7" s="8">
        <f ca="1">IFERROR(__xludf.DUMMYFUNCTION("""COMPUTED_VALUE"""),344.76)</f>
        <v>344.76</v>
      </c>
      <c r="E7" s="8">
        <f ca="1">IFERROR(__xludf.DUMMYFUNCTION("""COMPUTED_VALUE"""),313.65)</f>
        <v>313.64999999999998</v>
      </c>
      <c r="F7" s="8">
        <f ca="1">IFERROR(__xludf.DUMMYFUNCTION("""COMPUTED_VALUE"""),277.69)</f>
        <v>277.69</v>
      </c>
      <c r="G7" s="8"/>
      <c r="H7" s="8" t="str">
        <f ca="1">IFERROR(__xludf.DUMMYFUNCTION("GOOGLETRANSLATE(A7,""EN"",""NL"")"),"Selling / Algemeen / Admin. Kosten, Total")</f>
        <v>Selling / Algemeen / Admin. Kosten, Total</v>
      </c>
    </row>
    <row r="8" spans="1:8" ht="15.75" customHeight="1" x14ac:dyDescent="0.15">
      <c r="A8" s="8" t="str">
        <f ca="1">IFERROR(__xludf.DUMMYFUNCTION("""COMPUTED_VALUE"""),"Total Operating Expense")</f>
        <v>Total Operating Expense</v>
      </c>
      <c r="B8" s="18">
        <f ca="1">IFERROR(__xludf.DUMMYFUNCTION("""COMPUTED_VALUE"""),2989.37)</f>
        <v>2989.37</v>
      </c>
      <c r="C8" s="18">
        <f ca="1">IFERROR(__xludf.DUMMYFUNCTION("""COMPUTED_VALUE"""),2861.18)</f>
        <v>2861.18</v>
      </c>
      <c r="D8" s="18">
        <f ca="1">IFERROR(__xludf.DUMMYFUNCTION("""COMPUTED_VALUE"""),2266.75)</f>
        <v>2266.75</v>
      </c>
      <c r="E8" s="18">
        <f ca="1">IFERROR(__xludf.DUMMYFUNCTION("""COMPUTED_VALUE"""),2018.59)</f>
        <v>2018.59</v>
      </c>
      <c r="F8" s="18">
        <f ca="1">IFERROR(__xludf.DUMMYFUNCTION("""COMPUTED_VALUE"""),1811.09)</f>
        <v>1811.09</v>
      </c>
      <c r="G8" s="8"/>
      <c r="H8" s="8" t="str">
        <f ca="1">IFERROR(__xludf.DUMMYFUNCTION("GOOGLETRANSLATE(A8,""EN"",""NL"")"),"Totale operationele kosten")</f>
        <v>Totale operationele kosten</v>
      </c>
    </row>
    <row r="9" spans="1:8" ht="15.75" customHeight="1" x14ac:dyDescent="0.15">
      <c r="A9" s="8" t="str">
        <f ca="1">IFERROR(__xludf.DUMMYFUNCTION("""COMPUTED_VALUE"""),"Operating Income")</f>
        <v>Operating Income</v>
      </c>
      <c r="B9" s="8">
        <f ca="1">IFERROR(__xludf.DUMMYFUNCTION("""COMPUTED_VALUE"""),629.41)</f>
        <v>629.41</v>
      </c>
      <c r="C9" s="8">
        <f ca="1">IFERROR(__xludf.DUMMYFUNCTION("""COMPUTED_VALUE"""),571.69)</f>
        <v>571.69000000000005</v>
      </c>
      <c r="D9" s="8">
        <f ca="1">IFERROR(__xludf.DUMMYFUNCTION("""COMPUTED_VALUE"""),521.23)</f>
        <v>521.23</v>
      </c>
      <c r="E9" s="8">
        <f ca="1">IFERROR(__xludf.DUMMYFUNCTION("""COMPUTED_VALUE"""),454.04)</f>
        <v>454.04</v>
      </c>
      <c r="F9" s="8">
        <f ca="1">IFERROR(__xludf.DUMMYFUNCTION("""COMPUTED_VALUE"""),405.44)</f>
        <v>405.44</v>
      </c>
      <c r="G9" s="8"/>
      <c r="H9" s="8" t="str">
        <f ca="1">IFERROR(__xludf.DUMMYFUNCTION("GOOGLETRANSLATE(A9,""EN"",""NL"")"),"Operationeel inkomen")</f>
        <v>Operationeel inkomen</v>
      </c>
    </row>
    <row r="10" spans="1:8" ht="15.75" customHeight="1" x14ac:dyDescent="0.15">
      <c r="A10" s="8" t="str">
        <f ca="1">IFERROR(__xludf.DUMMYFUNCTION("""COMPUTED_VALUE"""),"Interest Inc.(Exp.),Net-Non-Op., Total")</f>
        <v>Interest Inc.(Exp.),Net-Non-Op., Total</v>
      </c>
      <c r="B10" s="8">
        <f ca="1">IFERROR(__xludf.DUMMYFUNCTION("""COMPUTED_VALUE"""),-146.77)</f>
        <v>-146.77000000000001</v>
      </c>
      <c r="C10" s="8">
        <f ca="1">IFERROR(__xludf.DUMMYFUNCTION("""COMPUTED_VALUE"""),-143.01)</f>
        <v>-143.01</v>
      </c>
      <c r="D10" s="8">
        <f ca="1">IFERROR(__xludf.DUMMYFUNCTION("""COMPUTED_VALUE"""),-121.08)</f>
        <v>-121.08</v>
      </c>
      <c r="E10" s="8">
        <f ca="1">IFERROR(__xludf.DUMMYFUNCTION("""COMPUTED_VALUE"""),-109.38)</f>
        <v>-109.38</v>
      </c>
      <c r="F10" s="8">
        <f ca="1">IFERROR(__xludf.DUMMYFUNCTION("""COMPUTED_VALUE"""),-99.22)</f>
        <v>-99.22</v>
      </c>
      <c r="G10" s="8"/>
      <c r="H10" s="8" t="str">
        <f ca="1">IFERROR(__xludf.DUMMYFUNCTION("GOOGLETRANSLATE(A10,""EN"",""NL"")"),"Interesse Inc. (Exp.), Net-Niet-Op., Total")</f>
        <v>Interesse Inc. (Exp.), Net-Niet-Op., Total</v>
      </c>
    </row>
    <row r="11" spans="1:8" ht="15.75" customHeight="1" x14ac:dyDescent="0.15">
      <c r="A11" s="8" t="str">
        <f ca="1">IFERROR(__xludf.DUMMYFUNCTION("""COMPUTED_VALUE"""),"Net Income Before Taxes")</f>
        <v>Net Income Before Taxes</v>
      </c>
      <c r="B11" s="8">
        <f ca="1">IFERROR(__xludf.DUMMYFUNCTION("""COMPUTED_VALUE"""),482.64)</f>
        <v>482.64</v>
      </c>
      <c r="C11" s="8">
        <f ca="1">IFERROR(__xludf.DUMMYFUNCTION("""COMPUTED_VALUE"""),428.68)</f>
        <v>428.68</v>
      </c>
      <c r="D11" s="8">
        <f ca="1">IFERROR(__xludf.DUMMYFUNCTION("""COMPUTED_VALUE"""),400.15)</f>
        <v>400.15</v>
      </c>
      <c r="E11" s="8">
        <f ca="1">IFERROR(__xludf.DUMMYFUNCTION("""COMPUTED_VALUE"""),344.66)</f>
        <v>344.66</v>
      </c>
      <c r="F11" s="8">
        <f ca="1">IFERROR(__xludf.DUMMYFUNCTION("""COMPUTED_VALUE"""),306.22)</f>
        <v>306.22000000000003</v>
      </c>
      <c r="G11" s="8"/>
      <c r="H11" s="8" t="str">
        <f ca="1">IFERROR(__xludf.DUMMYFUNCTION("GOOGLETRANSLATE(A11,""EN"",""NL"")"),"Netto resultaat voor belastingen")</f>
        <v>Netto resultaat voor belastingen</v>
      </c>
    </row>
    <row r="12" spans="1:8" ht="15.75" customHeight="1" x14ac:dyDescent="0.15">
      <c r="A12" s="8" t="str">
        <f ca="1">IFERROR(__xludf.DUMMYFUNCTION("""COMPUTED_VALUE"""),"Provision for Income Taxes")</f>
        <v>Provision for Income Taxes</v>
      </c>
      <c r="B12" s="8">
        <f ca="1">IFERROR(__xludf.DUMMYFUNCTION("""COMPUTED_VALUE"""),81.93)</f>
        <v>81.93</v>
      </c>
      <c r="C12" s="8">
        <f ca="1">IFERROR(__xludf.DUMMYFUNCTION("""COMPUTED_VALUE"""),66.71)</f>
        <v>66.709999999999994</v>
      </c>
      <c r="D12" s="8">
        <f ca="1">IFERROR(__xludf.DUMMYFUNCTION("""COMPUTED_VALUE"""),122.25)</f>
        <v>122.25</v>
      </c>
      <c r="E12" s="8">
        <f ca="1">IFERROR(__xludf.DUMMYFUNCTION("""COMPUTED_VALUE"""),129.98)</f>
        <v>129.97999999999999</v>
      </c>
      <c r="F12" s="8">
        <f ca="1">IFERROR(__xludf.DUMMYFUNCTION("""COMPUTED_VALUE"""),113.43)</f>
        <v>113.43</v>
      </c>
      <c r="G12" s="8"/>
      <c r="H12" s="8" t="str">
        <f ca="1">IFERROR(__xludf.DUMMYFUNCTION("GOOGLETRANSLATE(A12,""EN"",""NL"")"),"Voorziening voor inkomstenbelasting")</f>
        <v>Voorziening voor inkomstenbelasting</v>
      </c>
    </row>
    <row r="13" spans="1:8" ht="15.75" customHeight="1" x14ac:dyDescent="0.15">
      <c r="A13" s="8" t="str">
        <f ca="1">IFERROR(__xludf.DUMMYFUNCTION("""COMPUTED_VALUE"""),"Net Income After Taxes")</f>
        <v>Net Income After Taxes</v>
      </c>
      <c r="B13" s="8">
        <f ca="1">IFERROR(__xludf.DUMMYFUNCTION("""COMPUTED_VALUE"""),400.71)</f>
        <v>400.71</v>
      </c>
      <c r="C13" s="8">
        <f ca="1">IFERROR(__xludf.DUMMYFUNCTION("""COMPUTED_VALUE"""),361.97)</f>
        <v>361.97</v>
      </c>
      <c r="D13" s="8">
        <f ca="1">IFERROR(__xludf.DUMMYFUNCTION("""COMPUTED_VALUE"""),277.91)</f>
        <v>277.91000000000003</v>
      </c>
      <c r="E13" s="8">
        <f ca="1">IFERROR(__xludf.DUMMYFUNCTION("""COMPUTED_VALUE"""),214.68)</f>
        <v>214.68</v>
      </c>
      <c r="F13" s="8">
        <f ca="1">IFERROR(__xludf.DUMMYFUNCTION("""COMPUTED_VALUE"""),192.79)</f>
        <v>192.79</v>
      </c>
      <c r="G13" s="8"/>
      <c r="H13" s="8" t="str">
        <f ca="1">IFERROR(__xludf.DUMMYFUNCTION("GOOGLETRANSLATE(A13,""EN"",""NL"")"),"Nettoresultaat na belastingen")</f>
        <v>Nettoresultaat na belastingen</v>
      </c>
    </row>
    <row r="14" spans="1:8" ht="15.75" customHeight="1" x14ac:dyDescent="0.15">
      <c r="A14" s="8" t="str">
        <f ca="1">IFERROR(__xludf.DUMMYFUNCTION("""COMPUTED_VALUE"""),"Net Income Before Extra. Items")</f>
        <v>Net Income Before Extra. Items</v>
      </c>
      <c r="B14" s="8">
        <f ca="1">IFERROR(__xludf.DUMMYFUNCTION("""COMPUTED_VALUE"""),400.71)</f>
        <v>400.71</v>
      </c>
      <c r="C14" s="8">
        <f ca="1">IFERROR(__xludf.DUMMYFUNCTION("""COMPUTED_VALUE"""),361.97)</f>
        <v>361.97</v>
      </c>
      <c r="D14" s="8">
        <f ca="1">IFERROR(__xludf.DUMMYFUNCTION("""COMPUTED_VALUE"""),277.91)</f>
        <v>277.91000000000003</v>
      </c>
      <c r="E14" s="8">
        <f ca="1">IFERROR(__xludf.DUMMYFUNCTION("""COMPUTED_VALUE"""),214.68)</f>
        <v>214.68</v>
      </c>
      <c r="F14" s="8">
        <f ca="1">IFERROR(__xludf.DUMMYFUNCTION("""COMPUTED_VALUE"""),192.79)</f>
        <v>192.79</v>
      </c>
      <c r="G14" s="8"/>
      <c r="H14" s="8" t="str">
        <f ca="1">IFERROR(__xludf.DUMMYFUNCTION("GOOGLETRANSLATE(A14,""EN"",""NL"")"),"Nettowinst vóór Extra. items")</f>
        <v>Nettowinst vóór Extra. items</v>
      </c>
    </row>
    <row r="15" spans="1:8" ht="15.75" customHeight="1" x14ac:dyDescent="0.15">
      <c r="A15" s="8" t="str">
        <f ca="1">IFERROR(__xludf.DUMMYFUNCTION("""COMPUTED_VALUE"""),"Net Income")</f>
        <v>Net Income</v>
      </c>
      <c r="B15" s="8">
        <f ca="1">IFERROR(__xludf.DUMMYFUNCTION("""COMPUTED_VALUE"""),400.71)</f>
        <v>400.71</v>
      </c>
      <c r="C15" s="8">
        <f ca="1">IFERROR(__xludf.DUMMYFUNCTION("""COMPUTED_VALUE"""),361.97)</f>
        <v>361.97</v>
      </c>
      <c r="D15" s="8">
        <f ca="1">IFERROR(__xludf.DUMMYFUNCTION("""COMPUTED_VALUE"""),277.91)</f>
        <v>277.91000000000003</v>
      </c>
      <c r="E15" s="8">
        <f ca="1">IFERROR(__xludf.DUMMYFUNCTION("""COMPUTED_VALUE"""),214.68)</f>
        <v>214.68</v>
      </c>
      <c r="F15" s="8">
        <f ca="1">IFERROR(__xludf.DUMMYFUNCTION("""COMPUTED_VALUE"""),192.79)</f>
        <v>192.79</v>
      </c>
      <c r="G15" s="8"/>
      <c r="H15" s="8" t="str">
        <f ca="1">IFERROR(__xludf.DUMMYFUNCTION("GOOGLETRANSLATE(A15,""EN"",""NL"")"),"Netto inkomen")</f>
        <v>Netto inkomen</v>
      </c>
    </row>
    <row r="16" spans="1:8" ht="15.75" customHeight="1" x14ac:dyDescent="0.15">
      <c r="A16" s="8" t="str">
        <f ca="1">IFERROR(__xludf.DUMMYFUNCTION("""COMPUTED_VALUE"""),"Income Available to Com Excl ExtraOrd")</f>
        <v>Income Available to Com Excl ExtraOrd</v>
      </c>
      <c r="B16" s="8">
        <f ca="1">IFERROR(__xludf.DUMMYFUNCTION("""COMPUTED_VALUE"""),400.71)</f>
        <v>400.71</v>
      </c>
      <c r="C16" s="8">
        <f ca="1">IFERROR(__xludf.DUMMYFUNCTION("""COMPUTED_VALUE"""),361.97)</f>
        <v>361.97</v>
      </c>
      <c r="D16" s="8">
        <f ca="1">IFERROR(__xludf.DUMMYFUNCTION("""COMPUTED_VALUE"""),277.91)</f>
        <v>277.91000000000003</v>
      </c>
      <c r="E16" s="8">
        <f ca="1">IFERROR(__xludf.DUMMYFUNCTION("""COMPUTED_VALUE"""),214.68)</f>
        <v>214.68</v>
      </c>
      <c r="F16" s="8">
        <f ca="1">IFERROR(__xludf.DUMMYFUNCTION("""COMPUTED_VALUE"""),192.79)</f>
        <v>192.79</v>
      </c>
      <c r="G16" s="8"/>
      <c r="H16" s="8" t="str">
        <f ca="1">IFERROR(__xludf.DUMMYFUNCTION("GOOGLETRANSLATE(A16,""EN"",""NL"")"),"Inkomen Beschikbaar voor Com Excl EXTRAORD")</f>
        <v>Inkomen Beschikbaar voor Com Excl EXTRAORD</v>
      </c>
    </row>
    <row r="17" spans="1:8" ht="15.75" customHeight="1" x14ac:dyDescent="0.15">
      <c r="A17" s="8" t="str">
        <f ca="1">IFERROR(__xludf.DUMMYFUNCTION("""COMPUTED_VALUE"""),"Income Available to Com Incl ExtraOrd")</f>
        <v>Income Available to Com Incl ExtraOrd</v>
      </c>
      <c r="B17" s="8">
        <f ca="1">IFERROR(__xludf.DUMMYFUNCTION("""COMPUTED_VALUE"""),400.71)</f>
        <v>400.71</v>
      </c>
      <c r="C17" s="8">
        <f ca="1">IFERROR(__xludf.DUMMYFUNCTION("""COMPUTED_VALUE"""),361.97)</f>
        <v>361.97</v>
      </c>
      <c r="D17" s="8">
        <f ca="1">IFERROR(__xludf.DUMMYFUNCTION("""COMPUTED_VALUE"""),277.91)</f>
        <v>277.91000000000003</v>
      </c>
      <c r="E17" s="8">
        <f ca="1">IFERROR(__xludf.DUMMYFUNCTION("""COMPUTED_VALUE"""),214.68)</f>
        <v>214.68</v>
      </c>
      <c r="F17" s="8">
        <f ca="1">IFERROR(__xludf.DUMMYFUNCTION("""COMPUTED_VALUE"""),192.79)</f>
        <v>192.79</v>
      </c>
      <c r="G17" s="8"/>
      <c r="H17" s="8" t="str">
        <f ca="1">IFERROR(__xludf.DUMMYFUNCTION("GOOGLETRANSLATE(A17,""EN"",""NL"")"),"Inkomen Beschikbaar voor Com Incl EXTRAORD")</f>
        <v>Inkomen Beschikbaar voor Com Incl EXTRAORD</v>
      </c>
    </row>
    <row r="18" spans="1:8" ht="15.75" customHeight="1" x14ac:dyDescent="0.15">
      <c r="A18" s="8" t="str">
        <f ca="1">IFERROR(__xludf.DUMMYFUNCTION("""COMPUTED_VALUE"""),"Diluted Net Income")</f>
        <v>Diluted Net Income</v>
      </c>
      <c r="B18" s="8">
        <f ca="1">IFERROR(__xludf.DUMMYFUNCTION("""COMPUTED_VALUE"""),400.71)</f>
        <v>400.71</v>
      </c>
      <c r="C18" s="8">
        <f ca="1">IFERROR(__xludf.DUMMYFUNCTION("""COMPUTED_VALUE"""),361.97)</f>
        <v>361.97</v>
      </c>
      <c r="D18" s="8">
        <f ca="1">IFERROR(__xludf.DUMMYFUNCTION("""COMPUTED_VALUE"""),277.91)</f>
        <v>277.91000000000003</v>
      </c>
      <c r="E18" s="8">
        <f ca="1">IFERROR(__xludf.DUMMYFUNCTION("""COMPUTED_VALUE"""),214.68)</f>
        <v>214.68</v>
      </c>
      <c r="F18" s="8">
        <f ca="1">IFERROR(__xludf.DUMMYFUNCTION("""COMPUTED_VALUE"""),192.79)</f>
        <v>192.79</v>
      </c>
      <c r="G18" s="8"/>
      <c r="H18" s="8" t="str">
        <f ca="1">IFERROR(__xludf.DUMMYFUNCTION("GOOGLETRANSLATE(A18,""EN"",""NL"")"),"Verwateringseffect Nettowinst")</f>
        <v>Verwateringseffect Nettowinst</v>
      </c>
    </row>
    <row r="19" spans="1:8" ht="15.75" customHeight="1" x14ac:dyDescent="0.15">
      <c r="A19" s="8" t="str">
        <f ca="1">IFERROR(__xludf.DUMMYFUNCTION("""COMPUTED_VALUE"""),"Diluted Weighted Average Shares")</f>
        <v>Diluted Weighted Average Shares</v>
      </c>
      <c r="B19" s="8">
        <f ca="1">IFERROR(__xludf.DUMMYFUNCTION("""COMPUTED_VALUE"""),41.92)</f>
        <v>41.92</v>
      </c>
      <c r="C19" s="8">
        <f ca="1">IFERROR(__xludf.DUMMYFUNCTION("""COMPUTED_VALUE"""),43.33)</f>
        <v>43.33</v>
      </c>
      <c r="D19" s="8">
        <f ca="1">IFERROR(__xludf.DUMMYFUNCTION("""COMPUTED_VALUE"""),47.68)</f>
        <v>47.68</v>
      </c>
      <c r="E19" s="8">
        <f ca="1">IFERROR(__xludf.DUMMYFUNCTION("""COMPUTED_VALUE"""),49.92)</f>
        <v>49.92</v>
      </c>
      <c r="F19" s="8">
        <f ca="1">IFERROR(__xludf.DUMMYFUNCTION("""COMPUTED_VALUE"""),55.53)</f>
        <v>55.53</v>
      </c>
      <c r="G19" s="8"/>
      <c r="H19" s="8" t="str">
        <f ca="1">IFERROR(__xludf.DUMMYFUNCTION("GOOGLETRANSLATE(A19,""EN"",""NL"")"),"Gewogen gemiddelde verwaterde aandelen")</f>
        <v>Gewogen gemiddelde verwaterde aandelen</v>
      </c>
    </row>
    <row r="20" spans="1:8" ht="15.75" customHeight="1" x14ac:dyDescent="0.15">
      <c r="A20" s="8" t="str">
        <f ca="1">IFERROR(__xludf.DUMMYFUNCTION("""COMPUTED_VALUE"""),"Diluted EPS Excluding ExtraOrd Items")</f>
        <v>Diluted EPS Excluding ExtraOrd Items</v>
      </c>
      <c r="B20" s="8">
        <f ca="1">IFERROR(__xludf.DUMMYFUNCTION("""COMPUTED_VALUE"""),9.56)</f>
        <v>9.56</v>
      </c>
      <c r="C20" s="8">
        <f ca="1">IFERROR(__xludf.DUMMYFUNCTION("""COMPUTED_VALUE"""),8.35)</f>
        <v>8.35</v>
      </c>
      <c r="D20" s="8">
        <f ca="1">IFERROR(__xludf.DUMMYFUNCTION("""COMPUTED_VALUE"""),5.83)</f>
        <v>5.83</v>
      </c>
      <c r="E20" s="8">
        <f ca="1">IFERROR(__xludf.DUMMYFUNCTION("""COMPUTED_VALUE"""),4.3)</f>
        <v>4.3</v>
      </c>
      <c r="F20" s="8">
        <f ca="1">IFERROR(__xludf.DUMMYFUNCTION("""COMPUTED_VALUE"""),3.47)</f>
        <v>3.47</v>
      </c>
      <c r="G20" s="8"/>
      <c r="H20" s="8" t="str">
        <f ca="1">IFERROR(__xludf.DUMMYFUNCTION("GOOGLETRANSLATE(A20,""EN"",""NL"")"),"Verwaterde winst per aandeel Exclusief EXTRAORD Items")</f>
        <v>Verwaterde winst per aandeel Exclusief EXTRAORD Items</v>
      </c>
    </row>
    <row r="21" spans="1:8" ht="15.75" customHeight="1" x14ac:dyDescent="0.15">
      <c r="A21" s="8" t="str">
        <f ca="1">IFERROR(__xludf.DUMMYFUNCTION("""COMPUTED_VALUE"""),"DPS - Common Stock Primary Issue")</f>
        <v>DPS - Common Stock Primary Issue</v>
      </c>
      <c r="B21" s="8">
        <f ca="1">IFERROR(__xludf.DUMMYFUNCTION("""COMPUTED_VALUE"""),2.6)</f>
        <v>2.6</v>
      </c>
      <c r="C21" s="8">
        <f ca="1">IFERROR(__xludf.DUMMYFUNCTION("""COMPUTED_VALUE"""),2.2)</f>
        <v>2.2000000000000002</v>
      </c>
      <c r="D21" s="8">
        <f ca="1">IFERROR(__xludf.DUMMYFUNCTION("""COMPUTED_VALUE"""),1.84)</f>
        <v>1.84</v>
      </c>
      <c r="E21" s="8">
        <f ca="1">IFERROR(__xludf.DUMMYFUNCTION("""COMPUTED_VALUE"""),1.52)</f>
        <v>1.52</v>
      </c>
      <c r="F21" s="8">
        <f ca="1">IFERROR(__xludf.DUMMYFUNCTION("""COMPUTED_VALUE"""),1.24)</f>
        <v>1.24</v>
      </c>
      <c r="G21" s="8"/>
      <c r="H21" s="8" t="str">
        <f ca="1">IFERROR(__xludf.DUMMYFUNCTION("GOOGLETRANSLATE(A21,""EN"",""NL"")"),"DPS - Common Stock voornaamste kwestie")</f>
        <v>DPS - Common Stock voornaamste kwestie</v>
      </c>
    </row>
    <row r="22" spans="1:8" ht="15.75" customHeight="1" x14ac:dyDescent="0.15">
      <c r="A22" s="8" t="str">
        <f ca="1">IFERROR(__xludf.DUMMYFUNCTION("""COMPUTED_VALUE"""),"Diluted Normalized EPS")</f>
        <v>Diluted Normalized EPS</v>
      </c>
      <c r="B22" s="8">
        <f ca="1">IFERROR(__xludf.DUMMYFUNCTION("""COMPUTED_VALUE"""),9.61)</f>
        <v>9.61</v>
      </c>
      <c r="C22" s="8">
        <f ca="1">IFERROR(__xludf.DUMMYFUNCTION("""COMPUTED_VALUE"""),8.27)</f>
        <v>8.27</v>
      </c>
      <c r="D22" s="8">
        <f ca="1">IFERROR(__xludf.DUMMYFUNCTION("""COMPUTED_VALUE"""),5.88)</f>
        <v>5.88</v>
      </c>
      <c r="E22" s="8">
        <f ca="1">IFERROR(__xludf.DUMMYFUNCTION("""COMPUTED_VALUE"""),4.31)</f>
        <v>4.3099999999999996</v>
      </c>
      <c r="F22" s="8">
        <f ca="1">IFERROR(__xludf.DUMMYFUNCTION("""COMPUTED_VALUE"""),3.48)</f>
        <v>3.48</v>
      </c>
      <c r="G22" s="8"/>
      <c r="H22" s="8" t="str">
        <f ca="1">IFERROR(__xludf.DUMMYFUNCTION("GOOGLETRANSLATE(A22,""EN"",""NL"")"),"Genormaliseerde verdunde EPS")</f>
        <v>Genormaliseerde verdunde EPS</v>
      </c>
    </row>
    <row r="23" spans="1:8" ht="13" x14ac:dyDescent="0.15"/>
    <row r="24" spans="1:8" ht="13" x14ac:dyDescent="0.15"/>
    <row r="25" spans="1:8" ht="13" x14ac:dyDescent="0.15"/>
    <row r="26" spans="1:8" ht="13" x14ac:dyDescent="0.15"/>
    <row r="27" spans="1:8" ht="13" x14ac:dyDescent="0.15"/>
    <row r="28" spans="1:8" ht="13" x14ac:dyDescent="0.15"/>
    <row r="29" spans="1:8" ht="13" x14ac:dyDescent="0.15"/>
    <row r="30" spans="1:8" ht="13" x14ac:dyDescent="0.15"/>
    <row r="31" spans="1:8" ht="13" x14ac:dyDescent="0.15"/>
    <row r="32" spans="1:8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hyperlinks>
    <hyperlink ref="A1" r:id="rId1" xr:uid="{00000000-0004-0000-0900-000000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1000"/>
  <sheetViews>
    <sheetView workbookViewId="0"/>
  </sheetViews>
  <sheetFormatPr baseColWidth="10" defaultColWidth="14.5" defaultRowHeight="15.75" customHeight="1" x14ac:dyDescent="0.15"/>
  <cols>
    <col min="1" max="1" width="31.6640625" customWidth="1"/>
    <col min="2" max="6" width="14.5" customWidth="1"/>
  </cols>
  <sheetData>
    <row r="1" spans="1:8" ht="15.75" customHeight="1" x14ac:dyDescent="0.15">
      <c r="A1" s="19" t="s">
        <v>277</v>
      </c>
    </row>
    <row r="2" spans="1:8" ht="15.75" customHeight="1" x14ac:dyDescent="0.15">
      <c r="A2" s="8" t="str">
        <f ca="1">IFERROR(__xludf.DUMMYFUNCTION("IMPORTHTML(A1,""table"",1)"),"")</f>
        <v/>
      </c>
      <c r="B2" s="8"/>
      <c r="C2" s="8"/>
      <c r="D2" s="8"/>
      <c r="E2" s="8"/>
      <c r="F2" s="8"/>
      <c r="G2" s="8" t="str">
        <f ca="1">IFERROR(__xludf.DUMMYFUNCTION("""COMPUTED_VALUE"""),"Trend")</f>
        <v>Trend</v>
      </c>
    </row>
    <row r="3" spans="1:8" ht="15.75" customHeight="1" x14ac:dyDescent="0.15">
      <c r="A3" s="8" t="str">
        <f ca="1">IFERROR(__xludf.DUMMYFUNCTION("""COMPUTED_VALUE"""),"Cash &amp; Equivalents")</f>
        <v>Cash &amp; Equivalents</v>
      </c>
      <c r="B3" s="8">
        <f ca="1">IFERROR(__xludf.DUMMYFUNCTION("""COMPUTED_VALUE"""),190.62)</f>
        <v>190.62</v>
      </c>
      <c r="C3" s="8">
        <f ca="1">IFERROR(__xludf.DUMMYFUNCTION("""COMPUTED_VALUE"""),25.44)</f>
        <v>25.44</v>
      </c>
      <c r="D3" s="8">
        <f ca="1">IFERROR(__xludf.DUMMYFUNCTION("""COMPUTED_VALUE"""),35.77)</f>
        <v>35.770000000000003</v>
      </c>
      <c r="E3" s="8">
        <f ca="1">IFERROR(__xludf.DUMMYFUNCTION("""COMPUTED_VALUE"""),42.82)</f>
        <v>42.82</v>
      </c>
      <c r="F3" s="8">
        <f ca="1">IFERROR(__xludf.DUMMYFUNCTION("""COMPUTED_VALUE"""),133.45)</f>
        <v>133.44999999999999</v>
      </c>
      <c r="G3" s="8"/>
      <c r="H3" s="8" t="str">
        <f ca="1">IFERROR(__xludf.DUMMYFUNCTION("GOOGLETRANSLATE(A3,""EN"",""NL"")"),"Cash &amp; Equivalenten")</f>
        <v>Cash &amp; Equivalenten</v>
      </c>
    </row>
    <row r="4" spans="1:8" ht="15.75" customHeight="1" x14ac:dyDescent="0.15">
      <c r="A4" s="8" t="str">
        <f ca="1">IFERROR(__xludf.DUMMYFUNCTION("""COMPUTED_VALUE"""),"Cash and Short Term Investments")</f>
        <v>Cash and Short Term Investments</v>
      </c>
      <c r="B4" s="8">
        <f ca="1">IFERROR(__xludf.DUMMYFUNCTION("""COMPUTED_VALUE"""),190.62)</f>
        <v>190.62</v>
      </c>
      <c r="C4" s="8">
        <f ca="1">IFERROR(__xludf.DUMMYFUNCTION("""COMPUTED_VALUE"""),25.44)</f>
        <v>25.44</v>
      </c>
      <c r="D4" s="8">
        <f ca="1">IFERROR(__xludf.DUMMYFUNCTION("""COMPUTED_VALUE"""),35.77)</f>
        <v>35.770000000000003</v>
      </c>
      <c r="E4" s="8">
        <f ca="1">IFERROR(__xludf.DUMMYFUNCTION("""COMPUTED_VALUE"""),42.82)</f>
        <v>42.82</v>
      </c>
      <c r="F4" s="8">
        <f ca="1">IFERROR(__xludf.DUMMYFUNCTION("""COMPUTED_VALUE"""),133.45)</f>
        <v>133.44999999999999</v>
      </c>
      <c r="G4" s="8"/>
      <c r="H4" s="8" t="str">
        <f ca="1">IFERROR(__xludf.DUMMYFUNCTION("GOOGLETRANSLATE(A4,""EN"",""NL"")"),"Liquide middelen en kortetermijnbeleggingen")</f>
        <v>Liquide middelen en kortetermijnbeleggingen</v>
      </c>
    </row>
    <row r="5" spans="1:8" ht="15.75" customHeight="1" x14ac:dyDescent="0.15">
      <c r="A5" s="8" t="str">
        <f ca="1">IFERROR(__xludf.DUMMYFUNCTION("""COMPUTED_VALUE"""),"Accounts Receivable - Trade, Net")</f>
        <v>Accounts Receivable - Trade, Net</v>
      </c>
      <c r="B5" s="8">
        <f ca="1">IFERROR(__xludf.DUMMYFUNCTION("""COMPUTED_VALUE"""),210.26)</f>
        <v>210.26</v>
      </c>
      <c r="C5" s="8">
        <f ca="1">IFERROR(__xludf.DUMMYFUNCTION("""COMPUTED_VALUE"""),190.09)</f>
        <v>190.09</v>
      </c>
      <c r="D5" s="8">
        <f ca="1">IFERROR(__xludf.DUMMYFUNCTION("""COMPUTED_VALUE"""),173.68)</f>
        <v>173.68</v>
      </c>
      <c r="E5" s="8">
        <f ca="1">IFERROR(__xludf.DUMMYFUNCTION("""COMPUTED_VALUE"""),150.37)</f>
        <v>150.37</v>
      </c>
      <c r="F5" s="8">
        <f ca="1">IFERROR(__xludf.DUMMYFUNCTION("""COMPUTED_VALUE"""),131.58)</f>
        <v>131.58000000000001</v>
      </c>
      <c r="G5" s="8"/>
      <c r="H5" s="8" t="str">
        <f ca="1">IFERROR(__xludf.DUMMYFUNCTION("GOOGLETRANSLATE(A5,""EN"",""NL"")"),"Debiteuren - Handel, Netto")</f>
        <v>Debiteuren - Handel, Netto</v>
      </c>
    </row>
    <row r="6" spans="1:8" ht="15.75" customHeight="1" x14ac:dyDescent="0.15">
      <c r="A6" s="8" t="str">
        <f ca="1">IFERROR(__xludf.DUMMYFUNCTION("""COMPUTED_VALUE"""),"Total Receivables, Net")</f>
        <v>Total Receivables, Net</v>
      </c>
      <c r="B6" s="8">
        <f ca="1">IFERROR(__xludf.DUMMYFUNCTION("""COMPUTED_VALUE"""),210.26)</f>
        <v>210.26</v>
      </c>
      <c r="C6" s="8">
        <f ca="1">IFERROR(__xludf.DUMMYFUNCTION("""COMPUTED_VALUE"""),190.09)</f>
        <v>190.09</v>
      </c>
      <c r="D6" s="8">
        <f ca="1">IFERROR(__xludf.DUMMYFUNCTION("""COMPUTED_VALUE"""),173.68)</f>
        <v>173.68</v>
      </c>
      <c r="E6" s="8">
        <f ca="1">IFERROR(__xludf.DUMMYFUNCTION("""COMPUTED_VALUE"""),150.37)</f>
        <v>150.37</v>
      </c>
      <c r="F6" s="8">
        <f ca="1">IFERROR(__xludf.DUMMYFUNCTION("""COMPUTED_VALUE"""),131.58)</f>
        <v>131.58000000000001</v>
      </c>
      <c r="G6" s="8"/>
      <c r="H6" s="8" t="str">
        <f ca="1">IFERROR(__xludf.DUMMYFUNCTION("GOOGLETRANSLATE(A6,""EN"",""NL"")"),"Totaal vorderingen, netto")</f>
        <v>Totaal vorderingen, netto</v>
      </c>
    </row>
    <row r="7" spans="1:8" ht="15.75" customHeight="1" x14ac:dyDescent="0.15">
      <c r="A7" s="8" t="str">
        <f ca="1">IFERROR(__xludf.DUMMYFUNCTION("""COMPUTED_VALUE"""),"Total Inventory")</f>
        <v>Total Inventory</v>
      </c>
      <c r="B7" s="8">
        <f ca="1">IFERROR(__xludf.DUMMYFUNCTION("""COMPUTED_VALUE"""),52.96)</f>
        <v>52.96</v>
      </c>
      <c r="C7" s="8">
        <f ca="1">IFERROR(__xludf.DUMMYFUNCTION("""COMPUTED_VALUE"""),45.98)</f>
        <v>45.98</v>
      </c>
      <c r="D7" s="8">
        <f ca="1">IFERROR(__xludf.DUMMYFUNCTION("""COMPUTED_VALUE"""),39.96)</f>
        <v>39.96</v>
      </c>
      <c r="E7" s="8">
        <f ca="1">IFERROR(__xludf.DUMMYFUNCTION("""COMPUTED_VALUE"""),40.18)</f>
        <v>40.18</v>
      </c>
      <c r="F7" s="8">
        <f ca="1">IFERROR(__xludf.DUMMYFUNCTION("""COMPUTED_VALUE"""),36.86)</f>
        <v>36.86</v>
      </c>
      <c r="G7" s="8"/>
      <c r="H7" s="8" t="str">
        <f ca="1">IFERROR(__xludf.DUMMYFUNCTION("GOOGLETRANSLATE(A7,""EN"",""NL"")"),"Totaal Inventory")</f>
        <v>Totaal Inventory</v>
      </c>
    </row>
    <row r="8" spans="1:8" ht="15.75" customHeight="1" x14ac:dyDescent="0.15">
      <c r="A8" s="8" t="str">
        <f ca="1">IFERROR(__xludf.DUMMYFUNCTION("""COMPUTED_VALUE"""),"Prepaid Expenses")</f>
        <v>Prepaid Expenses</v>
      </c>
      <c r="B8" s="8">
        <f ca="1">IFERROR(__xludf.DUMMYFUNCTION("""COMPUTED_VALUE"""),19.13)</f>
        <v>19.13</v>
      </c>
      <c r="C8" s="8">
        <f ca="1">IFERROR(__xludf.DUMMYFUNCTION("""COMPUTED_VALUE"""),25.71)</f>
        <v>25.71</v>
      </c>
      <c r="D8" s="8">
        <f ca="1">IFERROR(__xludf.DUMMYFUNCTION("""COMPUTED_VALUE"""),18.39)</f>
        <v>18.39</v>
      </c>
      <c r="E8" s="8">
        <f ca="1">IFERROR(__xludf.DUMMYFUNCTION("""COMPUTED_VALUE"""),17.64)</f>
        <v>17.64</v>
      </c>
      <c r="F8" s="8">
        <f ca="1">IFERROR(__xludf.DUMMYFUNCTION("""COMPUTED_VALUE"""),20.65)</f>
        <v>20.65</v>
      </c>
      <c r="G8" s="8"/>
      <c r="H8" s="8" t="str">
        <f ca="1">IFERROR(__xludf.DUMMYFUNCTION("GOOGLETRANSLATE(A8,""EN"",""NL"")"),"vooruitbetaalde kosten")</f>
        <v>vooruitbetaalde kosten</v>
      </c>
    </row>
    <row r="9" spans="1:8" ht="15.75" customHeight="1" x14ac:dyDescent="0.15">
      <c r="A9" s="8" t="str">
        <f ca="1">IFERROR(__xludf.DUMMYFUNCTION("""COMPUTED_VALUE"""),"Other Current Assets, Total")</f>
        <v>Other Current Assets, Total</v>
      </c>
      <c r="B9" s="8">
        <f ca="1">IFERROR(__xludf.DUMMYFUNCTION("""COMPUTED_VALUE"""),314.66)</f>
        <v>314.66000000000003</v>
      </c>
      <c r="C9" s="8">
        <f ca="1">IFERROR(__xludf.DUMMYFUNCTION("""COMPUTED_VALUE"""),279.74)</f>
        <v>279.74</v>
      </c>
      <c r="D9" s="8">
        <f ca="1">IFERROR(__xludf.DUMMYFUNCTION("""COMPUTED_VALUE"""),311.99)</f>
        <v>311.99</v>
      </c>
      <c r="E9" s="8">
        <f ca="1">IFERROR(__xludf.DUMMYFUNCTION("""COMPUTED_VALUE"""),244.87)</f>
        <v>244.87</v>
      </c>
      <c r="F9" s="8">
        <f ca="1">IFERROR(__xludf.DUMMYFUNCTION("""COMPUTED_VALUE"""),280.1)</f>
        <v>280.10000000000002</v>
      </c>
      <c r="G9" s="8"/>
      <c r="H9" s="8" t="str">
        <f ca="1">IFERROR(__xludf.DUMMYFUNCTION("GOOGLETRANSLATE(A9,""EN"",""NL"")"),"Overige vlottende activa, Total")</f>
        <v>Overige vlottende activa, Total</v>
      </c>
    </row>
    <row r="10" spans="1:8" ht="15.75" customHeight="1" x14ac:dyDescent="0.15">
      <c r="A10" s="8" t="str">
        <f ca="1">IFERROR(__xludf.DUMMYFUNCTION("""COMPUTED_VALUE"""),"Total Current Assets")</f>
        <v>Total Current Assets</v>
      </c>
      <c r="B10" s="8">
        <f ca="1">IFERROR(__xludf.DUMMYFUNCTION("""COMPUTED_VALUE"""),787.62)</f>
        <v>787.62</v>
      </c>
      <c r="C10" s="8">
        <f ca="1">IFERROR(__xludf.DUMMYFUNCTION("""COMPUTED_VALUE"""),566.95)</f>
        <v>566.95000000000005</v>
      </c>
      <c r="D10" s="8">
        <f ca="1">IFERROR(__xludf.DUMMYFUNCTION("""COMPUTED_VALUE"""),579.78)</f>
        <v>579.78</v>
      </c>
      <c r="E10" s="8">
        <f ca="1">IFERROR(__xludf.DUMMYFUNCTION("""COMPUTED_VALUE"""),495.87)</f>
        <v>495.87</v>
      </c>
      <c r="F10" s="8">
        <f ca="1">IFERROR(__xludf.DUMMYFUNCTION("""COMPUTED_VALUE"""),602.64)</f>
        <v>602.64</v>
      </c>
      <c r="G10" s="8"/>
      <c r="H10" s="8" t="str">
        <f ca="1">IFERROR(__xludf.DUMMYFUNCTION("GOOGLETRANSLATE(A10,""EN"",""NL"")"),"Totaal vlottende activa")</f>
        <v>Totaal vlottende activa</v>
      </c>
    </row>
    <row r="11" spans="1:8" ht="15.75" customHeight="1" x14ac:dyDescent="0.15">
      <c r="A11" s="8" t="str">
        <f ca="1">IFERROR(__xludf.DUMMYFUNCTION("""COMPUTED_VALUE"""),"Property/Plant/Equipment, Total - Gross")</f>
        <v>Property/Plant/Equipment, Total - Gross</v>
      </c>
      <c r="B11" s="8">
        <f ca="1">IFERROR(__xludf.DUMMYFUNCTION("""COMPUTED_VALUE"""),724.11)</f>
        <v>724.11</v>
      </c>
      <c r="C11" s="8">
        <f ca="1">IFERROR(__xludf.DUMMYFUNCTION("""COMPUTED_VALUE"""),487.12)</f>
        <v>487.12</v>
      </c>
      <c r="D11" s="8">
        <f ca="1">IFERROR(__xludf.DUMMYFUNCTION("""COMPUTED_VALUE"""),406.87)</f>
        <v>406.87</v>
      </c>
      <c r="E11" s="8">
        <f ca="1">IFERROR(__xludf.DUMMYFUNCTION("""COMPUTED_VALUE"""),359.5)</f>
        <v>359.5</v>
      </c>
      <c r="F11" s="8">
        <f ca="1">IFERROR(__xludf.DUMMYFUNCTION("""COMPUTED_VALUE"""),336.17)</f>
        <v>336.17</v>
      </c>
      <c r="G11" s="8"/>
      <c r="H11" s="8" t="str">
        <f ca="1">IFERROR(__xludf.DUMMYFUNCTION("GOOGLETRANSLATE(A11,""EN"",""NL"")"),"Eigendom / Plant / Equipment, Total - Bruto")</f>
        <v>Eigendom / Plant / Equipment, Total - Bruto</v>
      </c>
    </row>
    <row r="12" spans="1:8" ht="15.75" customHeight="1" x14ac:dyDescent="0.15">
      <c r="A12" s="8" t="str">
        <f ca="1">IFERROR(__xludf.DUMMYFUNCTION("""COMPUTED_VALUE"""),"Accumulated Depreciation, Total")</f>
        <v>Accumulated Depreciation, Total</v>
      </c>
      <c r="B12" s="8">
        <f ca="1">IFERROR(__xludf.DUMMYFUNCTION("""COMPUTED_VALUE"""),-252.45)</f>
        <v>-252.45</v>
      </c>
      <c r="C12" s="8">
        <f ca="1">IFERROR(__xludf.DUMMYFUNCTION("""COMPUTED_VALUE"""),-252.18)</f>
        <v>-252.18</v>
      </c>
      <c r="D12" s="8">
        <f ca="1">IFERROR(__xludf.DUMMYFUNCTION("""COMPUTED_VALUE"""),-237.28)</f>
        <v>-237.28</v>
      </c>
      <c r="E12" s="8">
        <f ca="1">IFERROR(__xludf.DUMMYFUNCTION("""COMPUTED_VALUE"""),-220.96)</f>
        <v>-220.96</v>
      </c>
      <c r="F12" s="8">
        <f ca="1">IFERROR(__xludf.DUMMYFUNCTION("""COMPUTED_VALUE"""),-204.28)</f>
        <v>-204.28</v>
      </c>
      <c r="G12" s="8"/>
      <c r="H12" s="8" t="str">
        <f ca="1">IFERROR(__xludf.DUMMYFUNCTION("GOOGLETRANSLATE(A12,""EN"",""NL"")"),"Cumulatieve afschrijvingen, Total")</f>
        <v>Cumulatieve afschrijvingen, Total</v>
      </c>
    </row>
    <row r="13" spans="1:8" ht="15.75" customHeight="1" x14ac:dyDescent="0.15">
      <c r="A13" s="8" t="str">
        <f ca="1">IFERROR(__xludf.DUMMYFUNCTION("""COMPUTED_VALUE"""),"Property/Plant/Equipment, Total - Net")</f>
        <v>Property/Plant/Equipment, Total - Net</v>
      </c>
      <c r="B13" s="8">
        <f ca="1">IFERROR(__xludf.DUMMYFUNCTION("""COMPUTED_VALUE"""),471.67)</f>
        <v>471.67</v>
      </c>
      <c r="C13" s="8">
        <f ca="1">IFERROR(__xludf.DUMMYFUNCTION("""COMPUTED_VALUE"""),234.94)</f>
        <v>234.94</v>
      </c>
      <c r="D13" s="8">
        <f ca="1">IFERROR(__xludf.DUMMYFUNCTION("""COMPUTED_VALUE"""),169.59)</f>
        <v>169.59</v>
      </c>
      <c r="E13" s="8">
        <f ca="1">IFERROR(__xludf.DUMMYFUNCTION("""COMPUTED_VALUE"""),138.53)</f>
        <v>138.53</v>
      </c>
      <c r="F13" s="8">
        <f ca="1">IFERROR(__xludf.DUMMYFUNCTION("""COMPUTED_VALUE"""),131.89)</f>
        <v>131.88999999999999</v>
      </c>
      <c r="G13" s="8"/>
      <c r="H13" s="8" t="str">
        <f ca="1">IFERROR(__xludf.DUMMYFUNCTION("GOOGLETRANSLATE(A13,""EN"",""NL"")"),"Eigendom / Plant / Equipment, Totaal - Netto")</f>
        <v>Eigendom / Plant / Equipment, Totaal - Netto</v>
      </c>
    </row>
    <row r="14" spans="1:8" ht="15.75" customHeight="1" x14ac:dyDescent="0.15">
      <c r="A14" s="8" t="str">
        <f ca="1">IFERROR(__xludf.DUMMYFUNCTION("""COMPUTED_VALUE"""),"Goodwill, Net")</f>
        <v>Goodwill, Net</v>
      </c>
      <c r="B14" s="8">
        <f ca="1">IFERROR(__xludf.DUMMYFUNCTION("""COMPUTED_VALUE"""),15.09)</f>
        <v>15.09</v>
      </c>
      <c r="C14" s="8">
        <f ca="1">IFERROR(__xludf.DUMMYFUNCTION("""COMPUTED_VALUE"""),14.92)</f>
        <v>14.92</v>
      </c>
      <c r="D14" s="8">
        <f ca="1">IFERROR(__xludf.DUMMYFUNCTION("""COMPUTED_VALUE"""),15.42)</f>
        <v>15.42</v>
      </c>
      <c r="E14" s="8">
        <f ca="1">IFERROR(__xludf.DUMMYFUNCTION("""COMPUTED_VALUE"""),16.06)</f>
        <v>16.059999999999999</v>
      </c>
      <c r="F14" s="8">
        <f ca="1">IFERROR(__xludf.DUMMYFUNCTION("""COMPUTED_VALUE"""),16.1)</f>
        <v>16.100000000000001</v>
      </c>
      <c r="G14" s="8"/>
      <c r="H14" s="8" t="str">
        <f ca="1">IFERROR(__xludf.DUMMYFUNCTION("GOOGLETRANSLATE(A14,""EN"",""NL"")"),"Goodwill, Netto")</f>
        <v>Goodwill, Netto</v>
      </c>
    </row>
    <row r="15" spans="1:8" ht="15.75" customHeight="1" x14ac:dyDescent="0.15">
      <c r="A15" s="8" t="str">
        <f ca="1">IFERROR(__xludf.DUMMYFUNCTION("""COMPUTED_VALUE"""),"Intangibles, Net")</f>
        <v>Intangibles, Net</v>
      </c>
      <c r="B15" s="8">
        <f ca="1">IFERROR(__xludf.DUMMYFUNCTION("""COMPUTED_VALUE"""),73.14)</f>
        <v>73.14</v>
      </c>
      <c r="C15" s="8">
        <f ca="1">IFERROR(__xludf.DUMMYFUNCTION("""COMPUTED_VALUE"""),63.81)</f>
        <v>63.81</v>
      </c>
      <c r="D15" s="8">
        <f ca="1">IFERROR(__xludf.DUMMYFUNCTION("""COMPUTED_VALUE"""),52.82)</f>
        <v>52.82</v>
      </c>
      <c r="E15" s="8">
        <f ca="1">IFERROR(__xludf.DUMMYFUNCTION("""COMPUTED_VALUE"""),40.26)</f>
        <v>40.26</v>
      </c>
      <c r="F15" s="8">
        <f ca="1">IFERROR(__xludf.DUMMYFUNCTION("""COMPUTED_VALUE"""),28.51)</f>
        <v>28.51</v>
      </c>
      <c r="G15" s="8"/>
      <c r="H15" s="8" t="str">
        <f ca="1">IFERROR(__xludf.DUMMYFUNCTION("GOOGLETRANSLATE(A15,""EN"",""NL"")"),"Immateriële activa, netto")</f>
        <v>Immateriële activa, netto</v>
      </c>
    </row>
    <row r="16" spans="1:8" ht="15.75" customHeight="1" x14ac:dyDescent="0.15">
      <c r="A16" s="8" t="str">
        <f ca="1">IFERROR(__xludf.DUMMYFUNCTION("""COMPUTED_VALUE"""),"Long Term Investments")</f>
        <v>Long Term Investments</v>
      </c>
      <c r="B16" s="8">
        <f ca="1">IFERROR(__xludf.DUMMYFUNCTION("""COMPUTED_VALUE"""),11.98)</f>
        <v>11.98</v>
      </c>
      <c r="C16" s="8">
        <f ca="1">IFERROR(__xludf.DUMMYFUNCTION("""COMPUTED_VALUE"""),8.72)</f>
        <v>8.7200000000000006</v>
      </c>
      <c r="D16" s="8">
        <f ca="1">IFERROR(__xludf.DUMMYFUNCTION("""COMPUTED_VALUE"""),8.12)</f>
        <v>8.1199999999999992</v>
      </c>
      <c r="E16" s="8">
        <f ca="1">IFERROR(__xludf.DUMMYFUNCTION("""COMPUTED_VALUE"""),7.26)</f>
        <v>7.26</v>
      </c>
      <c r="F16" s="8">
        <f ca="1">IFERROR(__xludf.DUMMYFUNCTION("""COMPUTED_VALUE"""),6.05)</f>
        <v>6.05</v>
      </c>
      <c r="G16" s="8"/>
      <c r="H16" s="8" t="str">
        <f ca="1">IFERROR(__xludf.DUMMYFUNCTION("GOOGLETRANSLATE(A16,""EN"",""NL"")"),"Long Term Investments")</f>
        <v>Long Term Investments</v>
      </c>
    </row>
    <row r="17" spans="1:8" ht="15.75" customHeight="1" x14ac:dyDescent="0.15">
      <c r="A17" s="8" t="str">
        <f ca="1">IFERROR(__xludf.DUMMYFUNCTION("""COMPUTED_VALUE"""),"Other Long Term Assets, Total")</f>
        <v>Other Long Term Assets, Total</v>
      </c>
      <c r="B17" s="8">
        <f ca="1">IFERROR(__xludf.DUMMYFUNCTION("""COMPUTED_VALUE"""),22.59)</f>
        <v>22.59</v>
      </c>
      <c r="C17" s="8">
        <f ca="1">IFERROR(__xludf.DUMMYFUNCTION("""COMPUTED_VALUE"""),18.05)</f>
        <v>18.05</v>
      </c>
      <c r="D17" s="8">
        <f ca="1">IFERROR(__xludf.DUMMYFUNCTION("""COMPUTED_VALUE"""),11.02)</f>
        <v>11.02</v>
      </c>
      <c r="E17" s="8">
        <f ca="1">IFERROR(__xludf.DUMMYFUNCTION("""COMPUTED_VALUE"""),18.31)</f>
        <v>18.309999999999999</v>
      </c>
      <c r="F17" s="8">
        <f ca="1">IFERROR(__xludf.DUMMYFUNCTION("""COMPUTED_VALUE"""),14.66)</f>
        <v>14.66</v>
      </c>
      <c r="G17" s="8"/>
      <c r="H17" s="8" t="str">
        <f ca="1">IFERROR(__xludf.DUMMYFUNCTION("GOOGLETRANSLATE(A17,""EN"",""NL"")"),"Andere langlopende activa, Total")</f>
        <v>Andere langlopende activa, Total</v>
      </c>
    </row>
    <row r="18" spans="1:8" ht="15.75" customHeight="1" x14ac:dyDescent="0.15">
      <c r="A18" s="8" t="str">
        <f ca="1">IFERROR(__xludf.DUMMYFUNCTION("""COMPUTED_VALUE"""),"Total Assets")</f>
        <v>Total Assets</v>
      </c>
      <c r="B18" s="18">
        <f ca="1">IFERROR(__xludf.DUMMYFUNCTION("""COMPUTED_VALUE"""),1382.09)</f>
        <v>1382.09</v>
      </c>
      <c r="C18" s="8">
        <f ca="1">IFERROR(__xludf.DUMMYFUNCTION("""COMPUTED_VALUE"""),907.39)</f>
        <v>907.39</v>
      </c>
      <c r="D18" s="8">
        <f ca="1">IFERROR(__xludf.DUMMYFUNCTION("""COMPUTED_VALUE"""),836.75)</f>
        <v>836.75</v>
      </c>
      <c r="E18" s="8">
        <f ca="1">IFERROR(__xludf.DUMMYFUNCTION("""COMPUTED_VALUE"""),716.3)</f>
        <v>716.3</v>
      </c>
      <c r="F18" s="8">
        <f ca="1">IFERROR(__xludf.DUMMYFUNCTION("""COMPUTED_VALUE"""),799.85)</f>
        <v>799.85</v>
      </c>
      <c r="G18" s="8"/>
      <c r="H18" s="8" t="str">
        <f ca="1">IFERROR(__xludf.DUMMYFUNCTION("GOOGLETRANSLATE(A18,""EN"",""NL"")"),"Totale activa")</f>
        <v>Totale activa</v>
      </c>
    </row>
    <row r="19" spans="1:8" ht="15.75" customHeight="1" x14ac:dyDescent="0.15">
      <c r="A19" s="8" t="str">
        <f ca="1">IFERROR(__xludf.DUMMYFUNCTION("""COMPUTED_VALUE"""),"Accounts Payable")</f>
        <v>Accounts Payable</v>
      </c>
      <c r="B19" s="8">
        <f ca="1">IFERROR(__xludf.DUMMYFUNCTION("""COMPUTED_VALUE"""),111.1)</f>
        <v>111.1</v>
      </c>
      <c r="C19" s="8">
        <f ca="1">IFERROR(__xludf.DUMMYFUNCTION("""COMPUTED_VALUE"""),92.55)</f>
        <v>92.55</v>
      </c>
      <c r="D19" s="8">
        <f ca="1">IFERROR(__xludf.DUMMYFUNCTION("""COMPUTED_VALUE"""),106.89)</f>
        <v>106.89</v>
      </c>
      <c r="E19" s="8">
        <f ca="1">IFERROR(__xludf.DUMMYFUNCTION("""COMPUTED_VALUE"""),111.51)</f>
        <v>111.51</v>
      </c>
      <c r="F19" s="8">
        <f ca="1">IFERROR(__xludf.DUMMYFUNCTION("""COMPUTED_VALUE"""),106.93)</f>
        <v>106.93</v>
      </c>
      <c r="G19" s="8"/>
      <c r="H19" s="8" t="str">
        <f ca="1">IFERROR(__xludf.DUMMYFUNCTION("GOOGLETRANSLATE(A19,""EN"",""NL"")"),"accounts Payable")</f>
        <v>accounts Payable</v>
      </c>
    </row>
    <row r="20" spans="1:8" ht="15.75" customHeight="1" x14ac:dyDescent="0.15">
      <c r="A20" s="8" t="str">
        <f ca="1">IFERROR(__xludf.DUMMYFUNCTION("""COMPUTED_VALUE"""),"Accrued Expenses")</f>
        <v>Accrued Expenses</v>
      </c>
      <c r="B20" s="8">
        <f ca="1">IFERROR(__xludf.DUMMYFUNCTION("""COMPUTED_VALUE"""),169.48)</f>
        <v>169.48</v>
      </c>
      <c r="C20" s="8">
        <f ca="1">IFERROR(__xludf.DUMMYFUNCTION("""COMPUTED_VALUE"""),117.94)</f>
        <v>117.94</v>
      </c>
      <c r="D20" s="8">
        <f ca="1">IFERROR(__xludf.DUMMYFUNCTION("""COMPUTED_VALUE"""),118.09)</f>
        <v>118.09</v>
      </c>
      <c r="E20" s="8">
        <f ca="1">IFERROR(__xludf.DUMMYFUNCTION("""COMPUTED_VALUE"""),118.18)</f>
        <v>118.18</v>
      </c>
      <c r="F20" s="8">
        <f ca="1">IFERROR(__xludf.DUMMYFUNCTION("""COMPUTED_VALUE"""),92.41)</f>
        <v>92.41</v>
      </c>
      <c r="G20" s="8"/>
      <c r="H20" s="8" t="str">
        <f ca="1">IFERROR(__xludf.DUMMYFUNCTION("GOOGLETRANSLATE(A20,""EN"",""NL"")"),"Toe te rekenen kosten")</f>
        <v>Toe te rekenen kosten</v>
      </c>
    </row>
    <row r="21" spans="1:8" ht="15.75" customHeight="1" x14ac:dyDescent="0.15">
      <c r="A21" s="8" t="str">
        <f ca="1">IFERROR(__xludf.DUMMYFUNCTION("""COMPUTED_VALUE"""),"Notes Payable/Short Term Debt")</f>
        <v>Notes Payable/Short Term Debt</v>
      </c>
      <c r="B21" s="8">
        <f ca="1">IFERROR(__xludf.DUMMYFUNCTION("""COMPUTED_VALUE"""),0)</f>
        <v>0</v>
      </c>
      <c r="C21" s="8">
        <f ca="1">IFERROR(__xludf.DUMMYFUNCTION("""COMPUTED_VALUE"""),0)</f>
        <v>0</v>
      </c>
      <c r="D21" s="8">
        <f ca="1">IFERROR(__xludf.DUMMYFUNCTION("""COMPUTED_VALUE"""),0)</f>
        <v>0</v>
      </c>
      <c r="E21" s="8">
        <f ca="1">IFERROR(__xludf.DUMMYFUNCTION("""COMPUTED_VALUE"""),0)</f>
        <v>0</v>
      </c>
      <c r="F21" s="8">
        <f ca="1">IFERROR(__xludf.DUMMYFUNCTION("""COMPUTED_VALUE"""),0)</f>
        <v>0</v>
      </c>
      <c r="G21" s="8"/>
      <c r="H21" s="8" t="str">
        <f ca="1">IFERROR(__xludf.DUMMYFUNCTION("GOOGLETRANSLATE(A21,""EN"",""NL"")"),"Te betalen / schulden op korte termijn")</f>
        <v>Te betalen / schulden op korte termijn</v>
      </c>
    </row>
    <row r="22" spans="1:8" ht="15.75" customHeight="1" x14ac:dyDescent="0.15">
      <c r="A22" s="8" t="str">
        <f ca="1">IFERROR(__xludf.DUMMYFUNCTION("""COMPUTED_VALUE"""),"Current Port. of LT Debt/Capital Leases")</f>
        <v>Current Port. of LT Debt/Capital Leases</v>
      </c>
      <c r="B22" s="8">
        <f ca="1">IFERROR(__xludf.DUMMYFUNCTION("""COMPUTED_VALUE"""),43.39)</f>
        <v>43.39</v>
      </c>
      <c r="C22" s="8">
        <f ca="1">IFERROR(__xludf.DUMMYFUNCTION("""COMPUTED_VALUE"""),35.89)</f>
        <v>35.89</v>
      </c>
      <c r="D22" s="8">
        <f ca="1">IFERROR(__xludf.DUMMYFUNCTION("""COMPUTED_VALUE"""),32.32)</f>
        <v>32.32</v>
      </c>
      <c r="E22" s="8">
        <f ca="1">IFERROR(__xludf.DUMMYFUNCTION("""COMPUTED_VALUE"""),38.89)</f>
        <v>38.89</v>
      </c>
      <c r="F22" s="8">
        <f ca="1">IFERROR(__xludf.DUMMYFUNCTION("""COMPUTED_VALUE"""),59.33)</f>
        <v>59.33</v>
      </c>
      <c r="G22" s="8"/>
      <c r="H22" s="8" t="str">
        <f ca="1">IFERROR(__xludf.DUMMYFUNCTION("GOOGLETRANSLATE(A22,""EN"",""NL"")"),"Huidige Haven. van LT Debt / financiële leasing")</f>
        <v>Huidige Haven. van LT Debt / financiële leasing</v>
      </c>
    </row>
    <row r="23" spans="1:8" ht="15.75" customHeight="1" x14ac:dyDescent="0.15">
      <c r="A23" s="8" t="str">
        <f ca="1">IFERROR(__xludf.DUMMYFUNCTION("""COMPUTED_VALUE"""),"Other Current liabilities, Total")</f>
        <v>Other Current liabilities, Total</v>
      </c>
      <c r="B23" s="8">
        <f ca="1">IFERROR(__xludf.DUMMYFUNCTION("""COMPUTED_VALUE"""),129.86)</f>
        <v>129.86000000000001</v>
      </c>
      <c r="C23" s="8">
        <f ca="1">IFERROR(__xludf.DUMMYFUNCTION("""COMPUTED_VALUE"""),133.36)</f>
        <v>133.36000000000001</v>
      </c>
      <c r="D23" s="8">
        <f ca="1">IFERROR(__xludf.DUMMYFUNCTION("""COMPUTED_VALUE"""),140.98)</f>
        <v>140.97999999999999</v>
      </c>
      <c r="E23" s="8">
        <f ca="1">IFERROR(__xludf.DUMMYFUNCTION("""COMPUTED_VALUE"""),135.12)</f>
        <v>135.12</v>
      </c>
      <c r="F23" s="8">
        <f ca="1">IFERROR(__xludf.DUMMYFUNCTION("""COMPUTED_VALUE"""),117.31)</f>
        <v>117.31</v>
      </c>
      <c r="G23" s="8"/>
      <c r="H23" s="8" t="str">
        <f ca="1">IFERROR(__xludf.DUMMYFUNCTION("GOOGLETRANSLATE(A23,""EN"",""NL"")"),"Overige schulden Totaal")</f>
        <v>Overige schulden Totaal</v>
      </c>
    </row>
    <row r="24" spans="1:8" ht="15.75" customHeight="1" x14ac:dyDescent="0.15">
      <c r="A24" s="8" t="str">
        <f ca="1">IFERROR(__xludf.DUMMYFUNCTION("""COMPUTED_VALUE"""),"Total Current Liabilities")</f>
        <v>Total Current Liabilities</v>
      </c>
      <c r="B24" s="8">
        <f ca="1">IFERROR(__xludf.DUMMYFUNCTION("""COMPUTED_VALUE"""),453.83)</f>
        <v>453.83</v>
      </c>
      <c r="C24" s="8">
        <f ca="1">IFERROR(__xludf.DUMMYFUNCTION("""COMPUTED_VALUE"""),379.74)</f>
        <v>379.74</v>
      </c>
      <c r="D24" s="8">
        <f ca="1">IFERROR(__xludf.DUMMYFUNCTION("""COMPUTED_VALUE"""),398.29)</f>
        <v>398.29</v>
      </c>
      <c r="E24" s="8">
        <f ca="1">IFERROR(__xludf.DUMMYFUNCTION("""COMPUTED_VALUE"""),403.7)</f>
        <v>403.7</v>
      </c>
      <c r="F24" s="8">
        <f ca="1">IFERROR(__xludf.DUMMYFUNCTION("""COMPUTED_VALUE"""),375.98)</f>
        <v>375.98</v>
      </c>
      <c r="G24" s="8"/>
      <c r="H24" s="8" t="str">
        <f ca="1">IFERROR(__xludf.DUMMYFUNCTION("GOOGLETRANSLATE(A24,""EN"",""NL"")"),"Totaal kortlopende schulden")</f>
        <v>Totaal kortlopende schulden</v>
      </c>
    </row>
    <row r="25" spans="1:8" ht="15.75" customHeight="1" x14ac:dyDescent="0.15">
      <c r="A25" s="8" t="str">
        <f ca="1">IFERROR(__xludf.DUMMYFUNCTION("""COMPUTED_VALUE"""),"Long Term Debt")</f>
        <v>Long Term Debt</v>
      </c>
      <c r="B25" s="18">
        <f ca="1">IFERROR(__xludf.DUMMYFUNCTION("""COMPUTED_VALUE"""),4052.79)</f>
        <v>4052.79</v>
      </c>
      <c r="C25" s="18">
        <f ca="1">IFERROR(__xludf.DUMMYFUNCTION("""COMPUTED_VALUE"""),3495.69)</f>
        <v>3495.69</v>
      </c>
      <c r="D25" s="18">
        <f ca="1">IFERROR(__xludf.DUMMYFUNCTION("""COMPUTED_VALUE"""),3121.49)</f>
        <v>3121.49</v>
      </c>
      <c r="E25" s="18">
        <f ca="1">IFERROR(__xludf.DUMMYFUNCTION("""COMPUTED_VALUE"""),2148.99)</f>
        <v>2148.9899999999998</v>
      </c>
      <c r="F25" s="18">
        <f ca="1">IFERROR(__xludf.DUMMYFUNCTION("""COMPUTED_VALUE"""),2181.46)</f>
        <v>2181.46</v>
      </c>
      <c r="G25" s="8"/>
      <c r="H25" s="8" t="str">
        <f ca="1">IFERROR(__xludf.DUMMYFUNCTION("GOOGLETRANSLATE(A25,""EN"",""NL"")"),"Lange-termijnschuld")</f>
        <v>Lange-termijnschuld</v>
      </c>
    </row>
    <row r="26" spans="1:8" ht="15.75" customHeight="1" x14ac:dyDescent="0.15">
      <c r="A26" s="8" t="str">
        <f ca="1">IFERROR(__xludf.DUMMYFUNCTION("""COMPUTED_VALUE"""),"Capital Lease Obligations")</f>
        <v>Capital Lease Obligations</v>
      </c>
      <c r="B26" s="8">
        <f ca="1">IFERROR(__xludf.DUMMYFUNCTION("""COMPUTED_VALUE"""),18.26)</f>
        <v>18.260000000000002</v>
      </c>
      <c r="C26" s="8" t="str">
        <f ca="1">IFERROR(__xludf.DUMMYFUNCTION("""COMPUTED_VALUE"""),"--")</f>
        <v>--</v>
      </c>
      <c r="D26" s="8" t="str">
        <f ca="1">IFERROR(__xludf.DUMMYFUNCTION("""COMPUTED_VALUE"""),"--")</f>
        <v>--</v>
      </c>
      <c r="E26" s="8" t="str">
        <f ca="1">IFERROR(__xludf.DUMMYFUNCTION("""COMPUTED_VALUE"""),"--")</f>
        <v>--</v>
      </c>
      <c r="F26" s="8" t="str">
        <f ca="1">IFERROR(__xludf.DUMMYFUNCTION("""COMPUTED_VALUE"""),"--")</f>
        <v>--</v>
      </c>
      <c r="G26" s="8"/>
      <c r="H26" s="8" t="str">
        <f ca="1">IFERROR(__xludf.DUMMYFUNCTION("GOOGLETRANSLATE(A26,""EN"",""NL"")"),"Kapitaal leaseverplichtingen")</f>
        <v>Kapitaal leaseverplichtingen</v>
      </c>
    </row>
    <row r="27" spans="1:8" ht="15.75" customHeight="1" x14ac:dyDescent="0.15">
      <c r="A27" s="8" t="str">
        <f ca="1">IFERROR(__xludf.DUMMYFUNCTION("""COMPUTED_VALUE"""),"Total Long Term Debt")</f>
        <v>Total Long Term Debt</v>
      </c>
      <c r="B27" s="18">
        <f ca="1">IFERROR(__xludf.DUMMYFUNCTION("""COMPUTED_VALUE"""),4071.06)</f>
        <v>4071.06</v>
      </c>
      <c r="C27" s="18">
        <f ca="1">IFERROR(__xludf.DUMMYFUNCTION("""COMPUTED_VALUE"""),3495.69)</f>
        <v>3495.69</v>
      </c>
      <c r="D27" s="18">
        <f ca="1">IFERROR(__xludf.DUMMYFUNCTION("""COMPUTED_VALUE"""),3121.49)</f>
        <v>3121.49</v>
      </c>
      <c r="E27" s="18">
        <f ca="1">IFERROR(__xludf.DUMMYFUNCTION("""COMPUTED_VALUE"""),2148.99)</f>
        <v>2148.9899999999998</v>
      </c>
      <c r="F27" s="18">
        <f ca="1">IFERROR(__xludf.DUMMYFUNCTION("""COMPUTED_VALUE"""),2181.46)</f>
        <v>2181.46</v>
      </c>
      <c r="G27" s="8"/>
      <c r="H27" s="8" t="str">
        <f ca="1">IFERROR(__xludf.DUMMYFUNCTION("GOOGLETRANSLATE(A27,""EN"",""NL"")"),"Totaal Long Term Debt")</f>
        <v>Totaal Long Term Debt</v>
      </c>
    </row>
    <row r="28" spans="1:8" ht="15.75" customHeight="1" x14ac:dyDescent="0.15">
      <c r="A28" s="8" t="str">
        <f ca="1">IFERROR(__xludf.DUMMYFUNCTION("""COMPUTED_VALUE"""),"Total Debt")</f>
        <v>Total Debt</v>
      </c>
      <c r="B28" s="18">
        <f ca="1">IFERROR(__xludf.DUMMYFUNCTION("""COMPUTED_VALUE"""),4114.45)</f>
        <v>4114.45</v>
      </c>
      <c r="C28" s="18">
        <f ca="1">IFERROR(__xludf.DUMMYFUNCTION("""COMPUTED_VALUE"""),3531.58)</f>
        <v>3531.58</v>
      </c>
      <c r="D28" s="18">
        <f ca="1">IFERROR(__xludf.DUMMYFUNCTION("""COMPUTED_VALUE"""),3153.81)</f>
        <v>3153.81</v>
      </c>
      <c r="E28" s="18">
        <f ca="1">IFERROR(__xludf.DUMMYFUNCTION("""COMPUTED_VALUE"""),2187.88)</f>
        <v>2187.88</v>
      </c>
      <c r="F28" s="18">
        <f ca="1">IFERROR(__xludf.DUMMYFUNCTION("""COMPUTED_VALUE"""),2240.79)</f>
        <v>2240.79</v>
      </c>
      <c r="G28" s="8"/>
      <c r="H28" s="8" t="str">
        <f ca="1">IFERROR(__xludf.DUMMYFUNCTION("GOOGLETRANSLATE(A28,""EN"",""NL"")"),"Totale schuld")</f>
        <v>Totale schuld</v>
      </c>
    </row>
    <row r="29" spans="1:8" ht="15.75" customHeight="1" x14ac:dyDescent="0.15">
      <c r="A29" s="8" t="str">
        <f ca="1">IFERROR(__xludf.DUMMYFUNCTION("""COMPUTED_VALUE"""),"Other Liabilities, Total")</f>
        <v>Other Liabilities, Total</v>
      </c>
      <c r="B29" s="8">
        <f ca="1">IFERROR(__xludf.DUMMYFUNCTION("""COMPUTED_VALUE"""),272.97)</f>
        <v>272.97000000000003</v>
      </c>
      <c r="C29" s="8">
        <f ca="1">IFERROR(__xludf.DUMMYFUNCTION("""COMPUTED_VALUE"""),71.87)</f>
        <v>71.87</v>
      </c>
      <c r="D29" s="8">
        <f ca="1">IFERROR(__xludf.DUMMYFUNCTION("""COMPUTED_VALUE"""),52.36)</f>
        <v>52.36</v>
      </c>
      <c r="E29" s="8">
        <f ca="1">IFERROR(__xludf.DUMMYFUNCTION("""COMPUTED_VALUE"""),46.75)</f>
        <v>46.75</v>
      </c>
      <c r="F29" s="8">
        <f ca="1">IFERROR(__xludf.DUMMYFUNCTION("""COMPUTED_VALUE"""),42.65)</f>
        <v>42.65</v>
      </c>
      <c r="G29" s="8"/>
      <c r="H29" s="8" t="str">
        <f ca="1">IFERROR(__xludf.DUMMYFUNCTION("GOOGLETRANSLATE(A29,""EN"",""NL"")"),"Overige schulden, Total")</f>
        <v>Overige schulden, Total</v>
      </c>
    </row>
    <row r="30" spans="1:8" ht="15.75" customHeight="1" x14ac:dyDescent="0.15">
      <c r="A30" s="8" t="str">
        <f ca="1">IFERROR(__xludf.DUMMYFUNCTION("""COMPUTED_VALUE"""),"Total Liabilities")</f>
        <v>Total Liabilities</v>
      </c>
      <c r="B30" s="18">
        <f ca="1">IFERROR(__xludf.DUMMYFUNCTION("""COMPUTED_VALUE"""),4797.85)</f>
        <v>4797.8500000000004</v>
      </c>
      <c r="C30" s="18">
        <f ca="1">IFERROR(__xludf.DUMMYFUNCTION("""COMPUTED_VALUE"""),3947.31)</f>
        <v>3947.31</v>
      </c>
      <c r="D30" s="18">
        <f ca="1">IFERROR(__xludf.DUMMYFUNCTION("""COMPUTED_VALUE"""),3572.14)</f>
        <v>3572.14</v>
      </c>
      <c r="E30" s="18">
        <f ca="1">IFERROR(__xludf.DUMMYFUNCTION("""COMPUTED_VALUE"""),2599.44)</f>
        <v>2599.44</v>
      </c>
      <c r="F30" s="18">
        <f ca="1">IFERROR(__xludf.DUMMYFUNCTION("""COMPUTED_VALUE"""),2600.1)</f>
        <v>2600.1</v>
      </c>
      <c r="G30" s="8"/>
      <c r="H30" s="8" t="str">
        <f ca="1">IFERROR(__xludf.DUMMYFUNCTION("GOOGLETRANSLATE(A30,""EN"",""NL"")"),"Totaal Passiva")</f>
        <v>Totaal Passiva</v>
      </c>
    </row>
    <row r="31" spans="1:8" ht="15.75" customHeight="1" x14ac:dyDescent="0.15">
      <c r="A31" s="8" t="str">
        <f ca="1">IFERROR(__xludf.DUMMYFUNCTION("""COMPUTED_VALUE"""),"Preferred Stock - Non Redeemable, Net")</f>
        <v>Preferred Stock - Non Redeemable, Net</v>
      </c>
      <c r="B31" s="8">
        <f ca="1">IFERROR(__xludf.DUMMYFUNCTION("""COMPUTED_VALUE"""),0)</f>
        <v>0</v>
      </c>
      <c r="C31" s="8">
        <f ca="1">IFERROR(__xludf.DUMMYFUNCTION("""COMPUTED_VALUE"""),0)</f>
        <v>0</v>
      </c>
      <c r="D31" s="8">
        <f ca="1">IFERROR(__xludf.DUMMYFUNCTION("""COMPUTED_VALUE"""),0)</f>
        <v>0</v>
      </c>
      <c r="E31" s="8" t="str">
        <f ca="1">IFERROR(__xludf.DUMMYFUNCTION("""COMPUTED_VALUE"""),"--")</f>
        <v>--</v>
      </c>
      <c r="F31" s="8" t="str">
        <f ca="1">IFERROR(__xludf.DUMMYFUNCTION("""COMPUTED_VALUE"""),"--")</f>
        <v>--</v>
      </c>
      <c r="G31" s="8"/>
      <c r="H31" s="8" t="str">
        <f ca="1">IFERROR(__xludf.DUMMYFUNCTION("GOOGLETRANSLATE(A31,""EN"",""NL"")"),"Preferente aandelen - niet-aflosbare, Netto")</f>
        <v>Preferente aandelen - niet-aflosbare, Netto</v>
      </c>
    </row>
    <row r="32" spans="1:8" ht="15.75" customHeight="1" x14ac:dyDescent="0.15">
      <c r="A32" s="8" t="str">
        <f ca="1">IFERROR(__xludf.DUMMYFUNCTION("""COMPUTED_VALUE"""),"Common Stock, Total")</f>
        <v>Common Stock, Total</v>
      </c>
      <c r="B32" s="8">
        <f ca="1">IFERROR(__xludf.DUMMYFUNCTION("""COMPUTED_VALUE"""),0.39)</f>
        <v>0.39</v>
      </c>
      <c r="C32" s="8">
        <f ca="1">IFERROR(__xludf.DUMMYFUNCTION("""COMPUTED_VALUE"""),0.41)</f>
        <v>0.41</v>
      </c>
      <c r="D32" s="8">
        <f ca="1">IFERROR(__xludf.DUMMYFUNCTION("""COMPUTED_VALUE"""),0.43)</f>
        <v>0.43</v>
      </c>
      <c r="E32" s="8">
        <f ca="1">IFERROR(__xludf.DUMMYFUNCTION("""COMPUTED_VALUE"""),0.48)</f>
        <v>0.48</v>
      </c>
      <c r="F32" s="8">
        <f ca="1">IFERROR(__xludf.DUMMYFUNCTION("""COMPUTED_VALUE"""),0.5)</f>
        <v>0.5</v>
      </c>
      <c r="G32" s="8"/>
      <c r="H32" s="8" t="str">
        <f ca="1">IFERROR(__xludf.DUMMYFUNCTION("GOOGLETRANSLATE(A32,""EN"",""NL"")"),"Gewone Aandelen, Total")</f>
        <v>Gewone Aandelen, Total</v>
      </c>
    </row>
    <row r="33" spans="1:8" ht="15.75" customHeight="1" x14ac:dyDescent="0.15">
      <c r="A33" s="8" t="str">
        <f ca="1">IFERROR(__xludf.DUMMYFUNCTION("""COMPUTED_VALUE"""),"Additional Paid-In Capital")</f>
        <v>Additional Paid-In Capital</v>
      </c>
      <c r="B33" s="8">
        <f ca="1">IFERROR(__xludf.DUMMYFUNCTION("""COMPUTED_VALUE"""),0.24)</f>
        <v>0.24</v>
      </c>
      <c r="C33" s="8">
        <f ca="1">IFERROR(__xludf.DUMMYFUNCTION("""COMPUTED_VALUE"""),0.57)</f>
        <v>0.56999999999999995</v>
      </c>
      <c r="D33" s="8">
        <f ca="1">IFERROR(__xludf.DUMMYFUNCTION("""COMPUTED_VALUE"""),5.65)</f>
        <v>5.65</v>
      </c>
      <c r="E33" s="8">
        <f ca="1">IFERROR(__xludf.DUMMYFUNCTION("""COMPUTED_VALUE"""),1.01)</f>
        <v>1.01</v>
      </c>
      <c r="F33" s="8">
        <f ca="1">IFERROR(__xludf.DUMMYFUNCTION("""COMPUTED_VALUE"""),6.94)</f>
        <v>6.94</v>
      </c>
      <c r="G33" s="8"/>
      <c r="H33" s="8" t="str">
        <f ca="1">IFERROR(__xludf.DUMMYFUNCTION("GOOGLETRANSLATE(A33,""EN"",""NL"")"),"Extra gestort kapitaal")</f>
        <v>Extra gestort kapitaal</v>
      </c>
    </row>
    <row r="34" spans="1:8" ht="15.75" customHeight="1" x14ac:dyDescent="0.15">
      <c r="A34" s="8" t="str">
        <f ca="1">IFERROR(__xludf.DUMMYFUNCTION("""COMPUTED_VALUE"""),"Retained Earnings (Accumulated Deficit)")</f>
        <v>Retained Earnings (Accumulated Deficit)</v>
      </c>
      <c r="B34" s="18">
        <f ca="1">IFERROR(__xludf.DUMMYFUNCTION("""COMPUTED_VALUE"""),-3412.65)</f>
        <v>-3412.65</v>
      </c>
      <c r="C34" s="18">
        <f ca="1">IFERROR(__xludf.DUMMYFUNCTION("""COMPUTED_VALUE"""),-3036.47)</f>
        <v>-3036.47</v>
      </c>
      <c r="D34" s="18">
        <f ca="1">IFERROR(__xludf.DUMMYFUNCTION("""COMPUTED_VALUE"""),-2739.44)</f>
        <v>-2739.44</v>
      </c>
      <c r="E34" s="18">
        <f ca="1">IFERROR(__xludf.DUMMYFUNCTION("""COMPUTED_VALUE"""),-1881.52)</f>
        <v>-1881.52</v>
      </c>
      <c r="F34" s="18">
        <f ca="1">IFERROR(__xludf.DUMMYFUNCTION("""COMPUTED_VALUE"""),-1804.14)</f>
        <v>-1804.14</v>
      </c>
      <c r="G34" s="8"/>
      <c r="H34" s="8" t="str">
        <f ca="1">IFERROR(__xludf.DUMMYFUNCTION("GOOGLETRANSLATE(A34,""EN"",""NL"")"),"Ingehouden winsten (Geaccumuleerde tekort)")</f>
        <v>Ingehouden winsten (Geaccumuleerde tekort)</v>
      </c>
    </row>
    <row r="35" spans="1:8" ht="15.75" customHeight="1" x14ac:dyDescent="0.15">
      <c r="A35" s="8" t="str">
        <f ca="1">IFERROR(__xludf.DUMMYFUNCTION("""COMPUTED_VALUE"""),"Other Equity, Total")</f>
        <v>Other Equity, Total</v>
      </c>
      <c r="B35" s="8">
        <f ca="1">IFERROR(__xludf.DUMMYFUNCTION("""COMPUTED_VALUE"""),-3.74)</f>
        <v>-3.74</v>
      </c>
      <c r="C35" s="8">
        <f ca="1">IFERROR(__xludf.DUMMYFUNCTION("""COMPUTED_VALUE"""),-4.43)</f>
        <v>-4.43</v>
      </c>
      <c r="D35" s="8">
        <f ca="1">IFERROR(__xludf.DUMMYFUNCTION("""COMPUTED_VALUE"""),-2.03)</f>
        <v>-2.0299999999999998</v>
      </c>
      <c r="E35" s="8">
        <f ca="1">IFERROR(__xludf.DUMMYFUNCTION("""COMPUTED_VALUE"""),-3.11)</f>
        <v>-3.11</v>
      </c>
      <c r="F35" s="8">
        <f ca="1">IFERROR(__xludf.DUMMYFUNCTION("""COMPUTED_VALUE"""),-3.55)</f>
        <v>-3.55</v>
      </c>
      <c r="G35" s="8"/>
      <c r="H35" s="8" t="str">
        <f ca="1">IFERROR(__xludf.DUMMYFUNCTION("GOOGLETRANSLATE(A35,""EN"",""NL"")"),"Andere Equity, Total")</f>
        <v>Andere Equity, Total</v>
      </c>
    </row>
    <row r="36" spans="1:8" ht="15.75" customHeight="1" x14ac:dyDescent="0.15">
      <c r="A36" s="8" t="str">
        <f ca="1">IFERROR(__xludf.DUMMYFUNCTION("""COMPUTED_VALUE"""),"Total Equity")</f>
        <v>Total Equity</v>
      </c>
      <c r="B36" s="18">
        <f ca="1">IFERROR(__xludf.DUMMYFUNCTION("""COMPUTED_VALUE"""),-3415.76)</f>
        <v>-3415.76</v>
      </c>
      <c r="C36" s="18">
        <f ca="1">IFERROR(__xludf.DUMMYFUNCTION("""COMPUTED_VALUE"""),-3039.92)</f>
        <v>-3039.92</v>
      </c>
      <c r="D36" s="18">
        <f ca="1">IFERROR(__xludf.DUMMYFUNCTION("""COMPUTED_VALUE"""),-2735.38)</f>
        <v>-2735.38</v>
      </c>
      <c r="E36" s="18">
        <f ca="1">IFERROR(__xludf.DUMMYFUNCTION("""COMPUTED_VALUE"""),-1883.14)</f>
        <v>-1883.14</v>
      </c>
      <c r="F36" s="18">
        <f ca="1">IFERROR(__xludf.DUMMYFUNCTION("""COMPUTED_VALUE"""),-1800.25)</f>
        <v>-1800.25</v>
      </c>
      <c r="G36" s="8"/>
      <c r="H36" s="8" t="str">
        <f ca="1">IFERROR(__xludf.DUMMYFUNCTION("GOOGLETRANSLATE(A36,""EN"",""NL"")"),"Het totale eigen vermogen")</f>
        <v>Het totale eigen vermogen</v>
      </c>
    </row>
    <row r="37" spans="1:8" ht="15.75" customHeight="1" x14ac:dyDescent="0.15">
      <c r="A37" s="8" t="str">
        <f ca="1">IFERROR(__xludf.DUMMYFUNCTION("""COMPUTED_VALUE"""),"Total Liabilities &amp; Shareholders' Equity")</f>
        <v>Total Liabilities &amp; Shareholders' Equity</v>
      </c>
      <c r="B37" s="18">
        <f ca="1">IFERROR(__xludf.DUMMYFUNCTION("""COMPUTED_VALUE"""),1382.09)</f>
        <v>1382.09</v>
      </c>
      <c r="C37" s="8">
        <f ca="1">IFERROR(__xludf.DUMMYFUNCTION("""COMPUTED_VALUE"""),907.39)</f>
        <v>907.39</v>
      </c>
      <c r="D37" s="8">
        <f ca="1">IFERROR(__xludf.DUMMYFUNCTION("""COMPUTED_VALUE"""),836.75)</f>
        <v>836.75</v>
      </c>
      <c r="E37" s="8">
        <f ca="1">IFERROR(__xludf.DUMMYFUNCTION("""COMPUTED_VALUE"""),716.3)</f>
        <v>716.3</v>
      </c>
      <c r="F37" s="8">
        <f ca="1">IFERROR(__xludf.DUMMYFUNCTION("""COMPUTED_VALUE"""),799.85)</f>
        <v>799.85</v>
      </c>
      <c r="G37" s="8"/>
      <c r="H37" s="8" t="str">
        <f ca="1">IFERROR(__xludf.DUMMYFUNCTION("GOOGLETRANSLATE(A37,""EN"",""NL"")"),"Totaal passiva en eigen vermogen")</f>
        <v>Totaal passiva en eigen vermogen</v>
      </c>
    </row>
    <row r="38" spans="1:8" ht="15.75" customHeight="1" x14ac:dyDescent="0.15">
      <c r="A38" s="8" t="str">
        <f ca="1">IFERROR(__xludf.DUMMYFUNCTION("""COMPUTED_VALUE"""),"Total Common Shares Outstanding")</f>
        <v>Total Common Shares Outstanding</v>
      </c>
      <c r="B38" s="8">
        <f ca="1">IFERROR(__xludf.DUMMYFUNCTION("""COMPUTED_VALUE"""),38.93)</f>
        <v>38.93</v>
      </c>
      <c r="C38" s="8">
        <f ca="1">IFERROR(__xludf.DUMMYFUNCTION("""COMPUTED_VALUE"""),40.98)</f>
        <v>40.98</v>
      </c>
      <c r="D38" s="8">
        <f ca="1">IFERROR(__xludf.DUMMYFUNCTION("""COMPUTED_VALUE"""),42.9)</f>
        <v>42.9</v>
      </c>
      <c r="E38" s="8">
        <f ca="1">IFERROR(__xludf.DUMMYFUNCTION("""COMPUTED_VALUE"""),48.1)</f>
        <v>48.1</v>
      </c>
      <c r="F38" s="8">
        <f ca="1">IFERROR(__xludf.DUMMYFUNCTION("""COMPUTED_VALUE"""),49.84)</f>
        <v>49.84</v>
      </c>
      <c r="G38" s="8"/>
      <c r="H38" s="8" t="str">
        <f ca="1">IFERROR(__xludf.DUMMYFUNCTION("GOOGLETRANSLATE(A38,""EN"",""NL"")"),"De totale uitstaande gewone aandelen")</f>
        <v>De totale uitstaande gewone aandelen</v>
      </c>
    </row>
    <row r="39" spans="1:8" ht="15.75" customHeight="1" x14ac:dyDescent="0.15">
      <c r="A39" s="8" t="str">
        <f ca="1">IFERROR(__xludf.DUMMYFUNCTION("""COMPUTED_VALUE"""),"Tangible Book Value per Share, Common Eq")</f>
        <v>Tangible Book Value per Share, Common Eq</v>
      </c>
      <c r="B39" s="8">
        <f ca="1">IFERROR(__xludf.DUMMYFUNCTION("""COMPUTED_VALUE"""),-90)</f>
        <v>-90</v>
      </c>
      <c r="C39" s="8">
        <f ca="1">IFERROR(__xludf.DUMMYFUNCTION("""COMPUTED_VALUE"""),-76.11)</f>
        <v>-76.11</v>
      </c>
      <c r="D39" s="8">
        <f ca="1">IFERROR(__xludf.DUMMYFUNCTION("""COMPUTED_VALUE"""),-65.36)</f>
        <v>-65.36</v>
      </c>
      <c r="E39" s="8">
        <f ca="1">IFERROR(__xludf.DUMMYFUNCTION("""COMPUTED_VALUE"""),-40.32)</f>
        <v>-40.32</v>
      </c>
      <c r="F39" s="8">
        <f ca="1">IFERROR(__xludf.DUMMYFUNCTION("""COMPUTED_VALUE"""),-37.02)</f>
        <v>-37.020000000000003</v>
      </c>
      <c r="G39" s="8"/>
      <c r="H39" s="8" t="str">
        <f ca="1">IFERROR(__xludf.DUMMYFUNCTION("GOOGLETRANSLATE(A39,""EN"",""NL"")"),"Tastbare boekwaarde per aandeel, gemeenschappelijke Eq")</f>
        <v>Tastbare boekwaarde per aandeel, gemeenschappelijke Eq</v>
      </c>
    </row>
    <row r="40" spans="1:8" ht="15.75" customHeight="1" x14ac:dyDescent="0.15">
      <c r="A40" s="8" t="str">
        <f ca="1">IFERROR(__xludf.DUMMYFUNCTION("""COMPUTED_VALUE"""),"Deferred Income Tax")</f>
        <v>Deferred Income Tax</v>
      </c>
      <c r="B40" s="8">
        <f ca="1">IFERROR(__xludf.DUMMYFUNCTION("""COMPUTED_VALUE"""),0)</f>
        <v>0</v>
      </c>
      <c r="C40" s="8">
        <f ca="1">IFERROR(__xludf.DUMMYFUNCTION("""COMPUTED_VALUE"""),5.59)</f>
        <v>5.59</v>
      </c>
      <c r="D40" s="8" t="str">
        <f ca="1">IFERROR(__xludf.DUMMYFUNCTION("""COMPUTED_VALUE"""),"--")</f>
        <v>--</v>
      </c>
      <c r="E40" s="8" t="str">
        <f ca="1">IFERROR(__xludf.DUMMYFUNCTION("""COMPUTED_VALUE"""),"--")</f>
        <v>--</v>
      </c>
      <c r="F40" s="8" t="str">
        <f ca="1">IFERROR(__xludf.DUMMYFUNCTION("""COMPUTED_VALUE"""),"--")</f>
        <v>--</v>
      </c>
      <c r="G40" s="8"/>
      <c r="H40" s="8" t="str">
        <f ca="1">IFERROR(__xludf.DUMMYFUNCTION("GOOGLETRANSLATE(A40,""EN"",""NL"")"),"Uitgestelde inkomstenbelasting")</f>
        <v>Uitgestelde inkomstenbelasting</v>
      </c>
    </row>
    <row r="41" spans="1:8" ht="13" x14ac:dyDescent="0.15"/>
    <row r="42" spans="1:8" ht="13" x14ac:dyDescent="0.15"/>
    <row r="43" spans="1:8" ht="13" x14ac:dyDescent="0.15"/>
    <row r="44" spans="1:8" ht="13" x14ac:dyDescent="0.15"/>
    <row r="45" spans="1:8" ht="13" x14ac:dyDescent="0.15"/>
    <row r="46" spans="1:8" ht="13" x14ac:dyDescent="0.15"/>
    <row r="47" spans="1:8" ht="13" x14ac:dyDescent="0.15"/>
    <row r="48" spans="1: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hyperlinks>
    <hyperlink ref="A1" r:id="rId1" xr:uid="{00000000-0004-0000-0A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000"/>
  <sheetViews>
    <sheetView workbookViewId="0"/>
  </sheetViews>
  <sheetFormatPr baseColWidth="10" defaultColWidth="14.5" defaultRowHeight="15.75" customHeight="1" x14ac:dyDescent="0.15"/>
  <cols>
    <col min="1" max="1" width="35.33203125" customWidth="1"/>
    <col min="2" max="6" width="14.5" customWidth="1"/>
  </cols>
  <sheetData>
    <row r="1" spans="1:8" ht="15.75" customHeight="1" x14ac:dyDescent="0.15">
      <c r="A1" s="17" t="s">
        <v>278</v>
      </c>
    </row>
    <row r="2" spans="1:8" ht="15.75" customHeight="1" x14ac:dyDescent="0.15">
      <c r="A2" s="8" t="str">
        <f ca="1">IFERROR(__xludf.DUMMYFUNCTION("IMPORTHTML(A1,""table"",1)"),"")</f>
        <v/>
      </c>
      <c r="B2" s="8"/>
      <c r="C2" s="8"/>
      <c r="D2" s="8"/>
      <c r="E2" s="8"/>
      <c r="F2" s="8"/>
      <c r="G2" s="8" t="str">
        <f ca="1">IFERROR(__xludf.DUMMYFUNCTION("""COMPUTED_VALUE"""),"Trend")</f>
        <v>Trend</v>
      </c>
    </row>
    <row r="3" spans="1:8" ht="15.75" customHeight="1" x14ac:dyDescent="0.15">
      <c r="A3" s="8" t="str">
        <f ca="1">IFERROR(__xludf.DUMMYFUNCTION("""COMPUTED_VALUE"""),"Net Income/Starting Line")</f>
        <v>Net Income/Starting Line</v>
      </c>
      <c r="B3" s="8">
        <f ca="1">IFERROR(__xludf.DUMMYFUNCTION("""COMPUTED_VALUE"""),400.71)</f>
        <v>400.71</v>
      </c>
      <c r="C3" s="8">
        <f ca="1">IFERROR(__xludf.DUMMYFUNCTION("""COMPUTED_VALUE"""),361.97)</f>
        <v>361.97</v>
      </c>
      <c r="D3" s="8">
        <f ca="1">IFERROR(__xludf.DUMMYFUNCTION("""COMPUTED_VALUE"""),277.91)</f>
        <v>277.91000000000003</v>
      </c>
      <c r="E3" s="8">
        <f ca="1">IFERROR(__xludf.DUMMYFUNCTION("""COMPUTED_VALUE"""),214.68)</f>
        <v>214.68</v>
      </c>
      <c r="F3" s="8">
        <f ca="1">IFERROR(__xludf.DUMMYFUNCTION("""COMPUTED_VALUE"""),192.79)</f>
        <v>192.79</v>
      </c>
      <c r="G3" s="8"/>
      <c r="H3" s="8" t="str">
        <f ca="1">IFERROR(__xludf.DUMMYFUNCTION("GOOGLETRANSLATE(A3,""EN"",""NL"")"),"Netto Inkomen / Beginnende Lijn")</f>
        <v>Netto Inkomen / Beginnende Lijn</v>
      </c>
    </row>
    <row r="4" spans="1:8" ht="15.75" customHeight="1" x14ac:dyDescent="0.15">
      <c r="A4" s="8" t="str">
        <f ca="1">IFERROR(__xludf.DUMMYFUNCTION("""COMPUTED_VALUE"""),"Depreciation/Depletion")</f>
        <v>Depreciation/Depletion</v>
      </c>
      <c r="B4" s="8">
        <f ca="1">IFERROR(__xludf.DUMMYFUNCTION("""COMPUTED_VALUE"""),59.93)</f>
        <v>59.93</v>
      </c>
      <c r="C4" s="8">
        <f ca="1">IFERROR(__xludf.DUMMYFUNCTION("""COMPUTED_VALUE"""),53.67)</f>
        <v>53.67</v>
      </c>
      <c r="D4" s="8">
        <f ca="1">IFERROR(__xludf.DUMMYFUNCTION("""COMPUTED_VALUE"""),44.37)</f>
        <v>44.37</v>
      </c>
      <c r="E4" s="8">
        <f ca="1">IFERROR(__xludf.DUMMYFUNCTION("""COMPUTED_VALUE"""),38.14)</f>
        <v>38.14</v>
      </c>
      <c r="F4" s="8">
        <f ca="1">IFERROR(__xludf.DUMMYFUNCTION("""COMPUTED_VALUE"""),32.43)</f>
        <v>32.43</v>
      </c>
      <c r="G4" s="8"/>
      <c r="H4" s="8" t="str">
        <f ca="1">IFERROR(__xludf.DUMMYFUNCTION("GOOGLETRANSLATE(A4,""EN"",""NL"")"),"Afschrijvingen / Uitputting")</f>
        <v>Afschrijvingen / Uitputting</v>
      </c>
    </row>
    <row r="5" spans="1:8" ht="15.75" customHeight="1" x14ac:dyDescent="0.15">
      <c r="A5" s="8" t="str">
        <f ca="1">IFERROR(__xludf.DUMMYFUNCTION("""COMPUTED_VALUE"""),"Deferred Taxes")</f>
        <v>Deferred Taxes</v>
      </c>
      <c r="B5" s="8">
        <f ca="1">IFERROR(__xludf.DUMMYFUNCTION("""COMPUTED_VALUE"""),-3.3)</f>
        <v>-3.3</v>
      </c>
      <c r="C5" s="8">
        <f ca="1">IFERROR(__xludf.DUMMYFUNCTION("""COMPUTED_VALUE"""),-0.87)</f>
        <v>-0.87</v>
      </c>
      <c r="D5" s="8">
        <f ca="1">IFERROR(__xludf.DUMMYFUNCTION("""COMPUTED_VALUE"""),6.16)</f>
        <v>6.16</v>
      </c>
      <c r="E5" s="8">
        <f ca="1">IFERROR(__xludf.DUMMYFUNCTION("""COMPUTED_VALUE"""),-3.06)</f>
        <v>-3.06</v>
      </c>
      <c r="F5" s="8">
        <f ca="1">IFERROR(__xludf.DUMMYFUNCTION("""COMPUTED_VALUE"""),1.71)</f>
        <v>1.71</v>
      </c>
      <c r="G5" s="8"/>
      <c r="H5" s="8" t="str">
        <f ca="1">IFERROR(__xludf.DUMMYFUNCTION("GOOGLETRANSLATE(A5,""EN"",""NL"")"),"Uitgestelde belastingen")</f>
        <v>Uitgestelde belastingen</v>
      </c>
    </row>
    <row r="6" spans="1:8" ht="15.75" customHeight="1" x14ac:dyDescent="0.15">
      <c r="A6" s="8" t="str">
        <f ca="1">IFERROR(__xludf.DUMMYFUNCTION("""COMPUTED_VALUE"""),"Non-Cash Items")</f>
        <v>Non-Cash Items</v>
      </c>
      <c r="B6" s="8">
        <f ca="1">IFERROR(__xludf.DUMMYFUNCTION("""COMPUTED_VALUE"""),2.5)</f>
        <v>2.5</v>
      </c>
      <c r="C6" s="8">
        <f ca="1">IFERROR(__xludf.DUMMYFUNCTION("""COMPUTED_VALUE"""),3.2)</f>
        <v>3.2</v>
      </c>
      <c r="D6" s="8">
        <f ca="1">IFERROR(__xludf.DUMMYFUNCTION("""COMPUTED_VALUE"""),1.04)</f>
        <v>1.04</v>
      </c>
      <c r="E6" s="8">
        <f ca="1">IFERROR(__xludf.DUMMYFUNCTION("""COMPUTED_VALUE"""),-22.51)</f>
        <v>-22.51</v>
      </c>
      <c r="F6" s="8">
        <f ca="1">IFERROR(__xludf.DUMMYFUNCTION("""COMPUTED_VALUE"""),11.47)</f>
        <v>11.47</v>
      </c>
      <c r="G6" s="8"/>
      <c r="H6" s="8" t="str">
        <f ca="1">IFERROR(__xludf.DUMMYFUNCTION("GOOGLETRANSLATE(A6,""EN"",""NL"")"),"Niet-kaskosten")</f>
        <v>Niet-kaskosten</v>
      </c>
    </row>
    <row r="7" spans="1:8" ht="15.75" customHeight="1" x14ac:dyDescent="0.15">
      <c r="A7" s="8" t="str">
        <f ca="1">IFERROR(__xludf.DUMMYFUNCTION("""COMPUTED_VALUE"""),"Cash Taxes Paid")</f>
        <v>Cash Taxes Paid</v>
      </c>
      <c r="B7" s="8">
        <f ca="1">IFERROR(__xludf.DUMMYFUNCTION("""COMPUTED_VALUE"""),80.3)</f>
        <v>80.3</v>
      </c>
      <c r="C7" s="8">
        <f ca="1">IFERROR(__xludf.DUMMYFUNCTION("""COMPUTED_VALUE"""),71.7)</f>
        <v>71.7</v>
      </c>
      <c r="D7" s="8">
        <f ca="1">IFERROR(__xludf.DUMMYFUNCTION("""COMPUTED_VALUE"""),122.6)</f>
        <v>122.6</v>
      </c>
      <c r="E7" s="8">
        <f ca="1">IFERROR(__xludf.DUMMYFUNCTION("""COMPUTED_VALUE"""),74.3)</f>
        <v>74.3</v>
      </c>
      <c r="F7" s="8">
        <f ca="1">IFERROR(__xludf.DUMMYFUNCTION("""COMPUTED_VALUE"""),76.5)</f>
        <v>76.5</v>
      </c>
      <c r="G7" s="8"/>
      <c r="H7" s="8" t="str">
        <f ca="1">IFERROR(__xludf.DUMMYFUNCTION("GOOGLETRANSLATE(A7,""EN"",""NL"")"),"Cash betaalde belastingen")</f>
        <v>Cash betaalde belastingen</v>
      </c>
    </row>
    <row r="8" spans="1:8" ht="15.75" customHeight="1" x14ac:dyDescent="0.15">
      <c r="A8" s="8" t="str">
        <f ca="1">IFERROR(__xludf.DUMMYFUNCTION("""COMPUTED_VALUE"""),"Cash Interest Paid")</f>
        <v>Cash Interest Paid</v>
      </c>
      <c r="B8" s="8">
        <f ca="1">IFERROR(__xludf.DUMMYFUNCTION("""COMPUTED_VALUE"""),142.3)</f>
        <v>142.30000000000001</v>
      </c>
      <c r="C8" s="8">
        <f ca="1">IFERROR(__xludf.DUMMYFUNCTION("""COMPUTED_VALUE"""),132.8)</f>
        <v>132.80000000000001</v>
      </c>
      <c r="D8" s="8">
        <f ca="1">IFERROR(__xludf.DUMMYFUNCTION("""COMPUTED_VALUE"""),107.4)</f>
        <v>107.4</v>
      </c>
      <c r="E8" s="8">
        <f ca="1">IFERROR(__xludf.DUMMYFUNCTION("""COMPUTED_VALUE"""),104.6)</f>
        <v>104.6</v>
      </c>
      <c r="F8" s="8">
        <f ca="1">IFERROR(__xludf.DUMMYFUNCTION("""COMPUTED_VALUE"""),80.8)</f>
        <v>80.8</v>
      </c>
      <c r="G8" s="8"/>
      <c r="H8" s="8" t="str">
        <f ca="1">IFERROR(__xludf.DUMMYFUNCTION("GOOGLETRANSLATE(A8,""EN"",""NL"")"),"Cash Betaalde rente")</f>
        <v>Cash Betaalde rente</v>
      </c>
    </row>
    <row r="9" spans="1:8" ht="15.75" customHeight="1" x14ac:dyDescent="0.15">
      <c r="A9" s="8" t="str">
        <f ca="1">IFERROR(__xludf.DUMMYFUNCTION("""COMPUTED_VALUE"""),"Changes in Working Capital")</f>
        <v>Changes in Working Capital</v>
      </c>
      <c r="B9" s="8">
        <f ca="1">IFERROR(__xludf.DUMMYFUNCTION("""COMPUTED_VALUE"""),37.11)</f>
        <v>37.11</v>
      </c>
      <c r="C9" s="8">
        <f ca="1">IFERROR(__xludf.DUMMYFUNCTION("""COMPUTED_VALUE"""),-23.8)</f>
        <v>-23.8</v>
      </c>
      <c r="D9" s="8">
        <f ca="1">IFERROR(__xludf.DUMMYFUNCTION("""COMPUTED_VALUE"""),11.79)</f>
        <v>11.79</v>
      </c>
      <c r="E9" s="8">
        <f ca="1">IFERROR(__xludf.DUMMYFUNCTION("""COMPUTED_VALUE"""),65.21)</f>
        <v>65.209999999999994</v>
      </c>
      <c r="F9" s="8">
        <f ca="1">IFERROR(__xludf.DUMMYFUNCTION("""COMPUTED_VALUE"""),53.38)</f>
        <v>53.38</v>
      </c>
      <c r="G9" s="8"/>
      <c r="H9" s="8" t="str">
        <f ca="1">IFERROR(__xludf.DUMMYFUNCTION("GOOGLETRANSLATE(A9,""EN"",""NL"")"),"Mutaties in het werkkapitaal")</f>
        <v>Mutaties in het werkkapitaal</v>
      </c>
    </row>
    <row r="10" spans="1:8" ht="15.75" customHeight="1" x14ac:dyDescent="0.15">
      <c r="A10" s="8" t="str">
        <f ca="1">IFERROR(__xludf.DUMMYFUNCTION("""COMPUTED_VALUE"""),"Cash from Operating Activities")</f>
        <v>Cash from Operating Activities</v>
      </c>
      <c r="B10" s="8">
        <f ca="1">IFERROR(__xludf.DUMMYFUNCTION("""COMPUTED_VALUE"""),496.95)</f>
        <v>496.95</v>
      </c>
      <c r="C10" s="8">
        <f ca="1">IFERROR(__xludf.DUMMYFUNCTION("""COMPUTED_VALUE"""),394.17)</f>
        <v>394.17</v>
      </c>
      <c r="D10" s="8">
        <f ca="1">IFERROR(__xludf.DUMMYFUNCTION("""COMPUTED_VALUE"""),341.26)</f>
        <v>341.26</v>
      </c>
      <c r="E10" s="8">
        <f ca="1">IFERROR(__xludf.DUMMYFUNCTION("""COMPUTED_VALUE"""),292.46)</f>
        <v>292.45999999999998</v>
      </c>
      <c r="F10" s="8">
        <f ca="1">IFERROR(__xludf.DUMMYFUNCTION("""COMPUTED_VALUE"""),291.79)</f>
        <v>291.79000000000002</v>
      </c>
      <c r="G10" s="8"/>
      <c r="H10" s="8" t="str">
        <f ca="1">IFERROR(__xludf.DUMMYFUNCTION("GOOGLETRANSLATE(A10,""EN"",""NL"")"),"De kasstroom uit operationele activiteiten")</f>
        <v>De kasstroom uit operationele activiteiten</v>
      </c>
    </row>
    <row r="11" spans="1:8" ht="15.75" customHeight="1" x14ac:dyDescent="0.15">
      <c r="A11" s="8" t="str">
        <f ca="1">IFERROR(__xludf.DUMMYFUNCTION("""COMPUTED_VALUE"""),"Capital Expenditures")</f>
        <v>Capital Expenditures</v>
      </c>
      <c r="B11" s="8">
        <f ca="1">IFERROR(__xludf.DUMMYFUNCTION("""COMPUTED_VALUE"""),-85.57)</f>
        <v>-85.57</v>
      </c>
      <c r="C11" s="8">
        <f ca="1">IFERROR(__xludf.DUMMYFUNCTION("""COMPUTED_VALUE"""),-119.89)</f>
        <v>-119.89</v>
      </c>
      <c r="D11" s="8">
        <f ca="1">IFERROR(__xludf.DUMMYFUNCTION("""COMPUTED_VALUE"""),-90.01)</f>
        <v>-90.01</v>
      </c>
      <c r="E11" s="8">
        <f ca="1">IFERROR(__xludf.DUMMYFUNCTION("""COMPUTED_VALUE"""),-58.56)</f>
        <v>-58.56</v>
      </c>
      <c r="F11" s="8">
        <f ca="1">IFERROR(__xludf.DUMMYFUNCTION("""COMPUTED_VALUE"""),-63.28)</f>
        <v>-63.28</v>
      </c>
      <c r="G11" s="8"/>
      <c r="H11" s="8" t="str">
        <f ca="1">IFERROR(__xludf.DUMMYFUNCTION("GOOGLETRANSLATE(A11,""EN"",""NL"")"),"kapitaaluitgaven")</f>
        <v>kapitaaluitgaven</v>
      </c>
    </row>
    <row r="12" spans="1:8" ht="15.75" customHeight="1" x14ac:dyDescent="0.15">
      <c r="A12" s="8" t="str">
        <f ca="1">IFERROR(__xludf.DUMMYFUNCTION("""COMPUTED_VALUE"""),"Other Investing Cash Flow Items, Total")</f>
        <v>Other Investing Cash Flow Items, Total</v>
      </c>
      <c r="B12" s="8">
        <f ca="1">IFERROR(__xludf.DUMMYFUNCTION("""COMPUTED_VALUE"""),57.71)</f>
        <v>57.71</v>
      </c>
      <c r="C12" s="8">
        <f ca="1">IFERROR(__xludf.DUMMYFUNCTION("""COMPUTED_VALUE"""),31.63)</f>
        <v>31.63</v>
      </c>
      <c r="D12" s="8">
        <f ca="1">IFERROR(__xludf.DUMMYFUNCTION("""COMPUTED_VALUE"""),6.27)</f>
        <v>6.27</v>
      </c>
      <c r="E12" s="8">
        <f ca="1">IFERROR(__xludf.DUMMYFUNCTION("""COMPUTED_VALUE"""),3.28)</f>
        <v>3.28</v>
      </c>
      <c r="F12" s="8">
        <f ca="1">IFERROR(__xludf.DUMMYFUNCTION("""COMPUTED_VALUE"""),-46.01)</f>
        <v>-46.01</v>
      </c>
      <c r="G12" s="8"/>
      <c r="H12" s="8" t="str">
        <f ca="1">IFERROR(__xludf.DUMMYFUNCTION("GOOGLETRANSLATE(A12,""EN"",""NL"")"),"Andere investeren Cash Flow Items, Total")</f>
        <v>Andere investeren Cash Flow Items, Total</v>
      </c>
    </row>
    <row r="13" spans="1:8" ht="15.75" customHeight="1" x14ac:dyDescent="0.15">
      <c r="A13" s="8" t="str">
        <f ca="1">IFERROR(__xludf.DUMMYFUNCTION("""COMPUTED_VALUE"""),"Cash from Investing Activities")</f>
        <v>Cash from Investing Activities</v>
      </c>
      <c r="B13" s="8">
        <f ca="1">IFERROR(__xludf.DUMMYFUNCTION("""COMPUTED_VALUE"""),-27.85)</f>
        <v>-27.85</v>
      </c>
      <c r="C13" s="8">
        <f ca="1">IFERROR(__xludf.DUMMYFUNCTION("""COMPUTED_VALUE"""),-88.26)</f>
        <v>-88.26</v>
      </c>
      <c r="D13" s="8">
        <f ca="1">IFERROR(__xludf.DUMMYFUNCTION("""COMPUTED_VALUE"""),-83.74)</f>
        <v>-83.74</v>
      </c>
      <c r="E13" s="8">
        <f ca="1">IFERROR(__xludf.DUMMYFUNCTION("""COMPUTED_VALUE"""),-55.28)</f>
        <v>-55.28</v>
      </c>
      <c r="F13" s="8">
        <f ca="1">IFERROR(__xludf.DUMMYFUNCTION("""COMPUTED_VALUE"""),-109.29)</f>
        <v>-109.29</v>
      </c>
      <c r="G13" s="8"/>
      <c r="H13" s="8" t="str">
        <f ca="1">IFERROR(__xludf.DUMMYFUNCTION("GOOGLETRANSLATE(A13,""EN"",""NL"")"),"De kasstroom uit investeringsactiviteiten")</f>
        <v>De kasstroom uit investeringsactiviteiten</v>
      </c>
    </row>
    <row r="14" spans="1:8" ht="15.75" customHeight="1" x14ac:dyDescent="0.15">
      <c r="A14" s="8" t="str">
        <f ca="1">IFERROR(__xludf.DUMMYFUNCTION("""COMPUTED_VALUE"""),"Financing Cash Flow Items")</f>
        <v>Financing Cash Flow Items</v>
      </c>
      <c r="B14" s="8">
        <f ca="1">IFERROR(__xludf.DUMMYFUNCTION("""COMPUTED_VALUE"""),-14.05)</f>
        <v>-14.05</v>
      </c>
      <c r="C14" s="8">
        <f ca="1">IFERROR(__xludf.DUMMYFUNCTION("""COMPUTED_VALUE"""),-15.17)</f>
        <v>-15.17</v>
      </c>
      <c r="D14" s="8">
        <f ca="1">IFERROR(__xludf.DUMMYFUNCTION("""COMPUTED_VALUE"""),-26.5)</f>
        <v>-26.5</v>
      </c>
      <c r="E14" s="8">
        <f ca="1">IFERROR(__xludf.DUMMYFUNCTION("""COMPUTED_VALUE"""),42.48)</f>
        <v>42.48</v>
      </c>
      <c r="F14" s="8">
        <f ca="1">IFERROR(__xludf.DUMMYFUNCTION("""COMPUTED_VALUE"""),-7.46)</f>
        <v>-7.46</v>
      </c>
      <c r="G14" s="8"/>
      <c r="H14" s="8" t="str">
        <f ca="1">IFERROR(__xludf.DUMMYFUNCTION("GOOGLETRANSLATE(A14,""EN"",""NL"")"),"Financiering Cash Flow Items")</f>
        <v>Financiering Cash Flow Items</v>
      </c>
    </row>
    <row r="15" spans="1:8" ht="15.75" customHeight="1" x14ac:dyDescent="0.15">
      <c r="A15" s="8" t="str">
        <f ca="1">IFERROR(__xludf.DUMMYFUNCTION("""COMPUTED_VALUE"""),"Total Cash Dividends Paid")</f>
        <v>Total Cash Dividends Paid</v>
      </c>
      <c r="B15" s="8">
        <f ca="1">IFERROR(__xludf.DUMMYFUNCTION("""COMPUTED_VALUE"""),-105.72)</f>
        <v>-105.72</v>
      </c>
      <c r="C15" s="8">
        <f ca="1">IFERROR(__xludf.DUMMYFUNCTION("""COMPUTED_VALUE"""),-92.17)</f>
        <v>-92.17</v>
      </c>
      <c r="D15" s="8">
        <f ca="1">IFERROR(__xludf.DUMMYFUNCTION("""COMPUTED_VALUE"""),-84.3)</f>
        <v>-84.3</v>
      </c>
      <c r="E15" s="8">
        <f ca="1">IFERROR(__xludf.DUMMYFUNCTION("""COMPUTED_VALUE"""),-73.93)</f>
        <v>-73.930000000000007</v>
      </c>
      <c r="F15" s="8">
        <f ca="1">IFERROR(__xludf.DUMMYFUNCTION("""COMPUTED_VALUE"""),-80.33)</f>
        <v>-80.33</v>
      </c>
      <c r="G15" s="8"/>
      <c r="H15" s="8" t="str">
        <f ca="1">IFERROR(__xludf.DUMMYFUNCTION("GOOGLETRANSLATE(A15,""EN"",""NL"")"),"De totale contant dividend uitgekeerd")</f>
        <v>De totale contant dividend uitgekeerd</v>
      </c>
    </row>
    <row r="16" spans="1:8" ht="15.75" customHeight="1" x14ac:dyDescent="0.15">
      <c r="A16" s="8" t="str">
        <f ca="1">IFERROR(__xludf.DUMMYFUNCTION("""COMPUTED_VALUE"""),"Issuance (Retirement) of Stock, Net")</f>
        <v>Issuance (Retirement) of Stock, Net</v>
      </c>
      <c r="B16" s="8">
        <f ca="1">IFERROR(__xludf.DUMMYFUNCTION("""COMPUTED_VALUE"""),-685.94)</f>
        <v>-685.94</v>
      </c>
      <c r="C16" s="8">
        <f ca="1">IFERROR(__xludf.DUMMYFUNCTION("""COMPUTED_VALUE"""),-581.38)</f>
        <v>-581.38</v>
      </c>
      <c r="D16" s="18">
        <f ca="1">IFERROR(__xludf.DUMMYFUNCTION("""COMPUTED_VALUE"""),-1058.15)</f>
        <v>-1058.1500000000001</v>
      </c>
      <c r="E16" s="8">
        <f ca="1">IFERROR(__xludf.DUMMYFUNCTION("""COMPUTED_VALUE"""),-285.02)</f>
        <v>-285.02</v>
      </c>
      <c r="F16" s="8">
        <f ca="1">IFERROR(__xludf.DUMMYFUNCTION("""COMPUTED_VALUE"""),-733.74)</f>
        <v>-733.74</v>
      </c>
      <c r="G16" s="8"/>
      <c r="H16" s="8" t="str">
        <f ca="1">IFERROR(__xludf.DUMMYFUNCTION("GOOGLETRANSLATE(A16,""EN"",""NL"")"),"Uitgifte (pensionering) op voorraad, Netto")</f>
        <v>Uitgifte (pensionering) op voorraad, Netto</v>
      </c>
    </row>
    <row r="17" spans="1:8" ht="15.75" customHeight="1" x14ac:dyDescent="0.15">
      <c r="A17" s="8" t="str">
        <f ca="1">IFERROR(__xludf.DUMMYFUNCTION("""COMPUTED_VALUE"""),"Issuance (Retirement) of Debt, Net")</f>
        <v>Issuance (Retirement) of Debt, Net</v>
      </c>
      <c r="B17" s="8">
        <f ca="1">IFERROR(__xludf.DUMMYFUNCTION("""COMPUTED_VALUE"""),582.92)</f>
        <v>582.91999999999996</v>
      </c>
      <c r="C17" s="8">
        <f ca="1">IFERROR(__xludf.DUMMYFUNCTION("""COMPUTED_VALUE"""),365.91)</f>
        <v>365.91</v>
      </c>
      <c r="D17" s="8">
        <f ca="1">IFERROR(__xludf.DUMMYFUNCTION("""COMPUTED_VALUE"""),971.81)</f>
        <v>971.81</v>
      </c>
      <c r="E17" s="8">
        <f ca="1">IFERROR(__xludf.DUMMYFUNCTION("""COMPUTED_VALUE"""),-59.33)</f>
        <v>-59.33</v>
      </c>
      <c r="F17" s="8">
        <f ca="1">IFERROR(__xludf.DUMMYFUNCTION("""COMPUTED_VALUE"""),740.6)</f>
        <v>740.6</v>
      </c>
      <c r="G17" s="8"/>
      <c r="H17" s="8" t="str">
        <f ca="1">IFERROR(__xludf.DUMMYFUNCTION("GOOGLETRANSLATE(A17,""EN"",""NL"")"),"Uitgifte (pensionering) van de schuld, Net")</f>
        <v>Uitgifte (pensionering) van de schuld, Net</v>
      </c>
    </row>
    <row r="18" spans="1:8" ht="15.75" customHeight="1" x14ac:dyDescent="0.15">
      <c r="A18" s="8" t="str">
        <f ca="1">IFERROR(__xludf.DUMMYFUNCTION("""COMPUTED_VALUE"""),"Cash from Financing Activities")</f>
        <v>Cash from Financing Activities</v>
      </c>
      <c r="B18" s="8">
        <f ca="1">IFERROR(__xludf.DUMMYFUNCTION("""COMPUTED_VALUE"""),-222.79)</f>
        <v>-222.79</v>
      </c>
      <c r="C18" s="8">
        <f ca="1">IFERROR(__xludf.DUMMYFUNCTION("""COMPUTED_VALUE"""),-322.8)</f>
        <v>-322.8</v>
      </c>
      <c r="D18" s="8">
        <f ca="1">IFERROR(__xludf.DUMMYFUNCTION("""COMPUTED_VALUE"""),-197.15)</f>
        <v>-197.15</v>
      </c>
      <c r="E18" s="8">
        <f ca="1">IFERROR(__xludf.DUMMYFUNCTION("""COMPUTED_VALUE"""),-375.79)</f>
        <v>-375.79</v>
      </c>
      <c r="F18" s="8">
        <f ca="1">IFERROR(__xludf.DUMMYFUNCTION("""COMPUTED_VALUE"""),-80.94)</f>
        <v>-80.94</v>
      </c>
      <c r="G18" s="8"/>
      <c r="H18" s="8" t="str">
        <f ca="1">IFERROR(__xludf.DUMMYFUNCTION("GOOGLETRANSLATE(A18,""EN"",""NL"")"),"De kasstroom uit financieringsactiviteiten")</f>
        <v>De kasstroom uit financieringsactiviteiten</v>
      </c>
    </row>
    <row r="19" spans="1:8" ht="15.75" customHeight="1" x14ac:dyDescent="0.15">
      <c r="A19" s="8" t="str">
        <f ca="1">IFERROR(__xludf.DUMMYFUNCTION("""COMPUTED_VALUE"""),"Foreign Exchange Effects")</f>
        <v>Foreign Exchange Effects</v>
      </c>
      <c r="B19" s="8">
        <f ca="1">IFERROR(__xludf.DUMMYFUNCTION("""COMPUTED_VALUE"""),0.2)</f>
        <v>0.2</v>
      </c>
      <c r="C19" s="8">
        <f ca="1">IFERROR(__xludf.DUMMYFUNCTION("""COMPUTED_VALUE"""),-0.54)</f>
        <v>-0.54</v>
      </c>
      <c r="D19" s="8">
        <f ca="1">IFERROR(__xludf.DUMMYFUNCTION("""COMPUTED_VALUE"""),0.07)</f>
        <v>7.0000000000000007E-2</v>
      </c>
      <c r="E19" s="8">
        <f ca="1">IFERROR(__xludf.DUMMYFUNCTION("""COMPUTED_VALUE"""),-1.28)</f>
        <v>-1.28</v>
      </c>
      <c r="F19" s="8">
        <f ca="1">IFERROR(__xludf.DUMMYFUNCTION("""COMPUTED_VALUE"""),1.04)</f>
        <v>1.04</v>
      </c>
      <c r="G19" s="8"/>
      <c r="H19" s="8" t="str">
        <f ca="1">IFERROR(__xludf.DUMMYFUNCTION("GOOGLETRANSLATE(A19,""EN"",""NL"")"),"Foreign Exchange Effecten")</f>
        <v>Foreign Exchange Effecten</v>
      </c>
    </row>
    <row r="20" spans="1:8" ht="15.75" customHeight="1" x14ac:dyDescent="0.15">
      <c r="A20" s="8" t="str">
        <f ca="1">IFERROR(__xludf.DUMMYFUNCTION("""COMPUTED_VALUE"""),"Net Change in Cash")</f>
        <v>Net Change in Cash</v>
      </c>
      <c r="B20" s="8">
        <f ca="1">IFERROR(__xludf.DUMMYFUNCTION("""COMPUTED_VALUE"""),246.51)</f>
        <v>246.51</v>
      </c>
      <c r="C20" s="8">
        <f ca="1">IFERROR(__xludf.DUMMYFUNCTION("""COMPUTED_VALUE"""),-17.43)</f>
        <v>-17.43</v>
      </c>
      <c r="D20" s="8">
        <f ca="1">IFERROR(__xludf.DUMMYFUNCTION("""COMPUTED_VALUE"""),60.44)</f>
        <v>60.44</v>
      </c>
      <c r="E20" s="8">
        <f ca="1">IFERROR(__xludf.DUMMYFUNCTION("""COMPUTED_VALUE"""),-139.89)</f>
        <v>-139.88999999999999</v>
      </c>
      <c r="F20" s="8">
        <f ca="1">IFERROR(__xludf.DUMMYFUNCTION("""COMPUTED_VALUE"""),102.59)</f>
        <v>102.59</v>
      </c>
      <c r="G20" s="8"/>
      <c r="H20" s="8" t="str">
        <f ca="1">IFERROR(__xludf.DUMMYFUNCTION("GOOGLETRANSLATE(A20,""EN"",""NL"")"),"Netto wijziging in Cash")</f>
        <v>Netto wijziging in Cash</v>
      </c>
    </row>
    <row r="21" spans="1:8" ht="13" x14ac:dyDescent="0.15"/>
    <row r="22" spans="1:8" ht="13" x14ac:dyDescent="0.15"/>
    <row r="23" spans="1:8" ht="13" x14ac:dyDescent="0.15"/>
    <row r="24" spans="1:8" ht="13" x14ac:dyDescent="0.15"/>
    <row r="25" spans="1:8" ht="13" x14ac:dyDescent="0.15"/>
    <row r="26" spans="1:8" ht="13" x14ac:dyDescent="0.15"/>
    <row r="27" spans="1:8" ht="13" x14ac:dyDescent="0.15"/>
    <row r="28" spans="1:8" ht="13" x14ac:dyDescent="0.15"/>
    <row r="29" spans="1:8" ht="13" x14ac:dyDescent="0.15"/>
    <row r="30" spans="1:8" ht="13" x14ac:dyDescent="0.15"/>
    <row r="31" spans="1:8" ht="13" x14ac:dyDescent="0.15"/>
    <row r="32" spans="1:8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hyperlinks>
    <hyperlink ref="A1" r:id="rId1" xr:uid="{00000000-0004-0000-0B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tabSelected="1" workbookViewId="0"/>
  </sheetViews>
  <sheetFormatPr baseColWidth="10" defaultColWidth="14.5" defaultRowHeight="15.75" customHeight="1" x14ac:dyDescent="0.15"/>
  <cols>
    <col min="1" max="1" width="20.5" customWidth="1"/>
    <col min="2" max="2" width="8.6640625" customWidth="1"/>
    <col min="3" max="3" width="18.5" customWidth="1"/>
    <col min="4" max="5" width="17.83203125" customWidth="1"/>
    <col min="6" max="26" width="8.6640625" customWidth="1"/>
  </cols>
  <sheetData>
    <row r="1" spans="1:5" ht="14.25" customHeight="1" x14ac:dyDescent="0.2">
      <c r="C1" s="20" t="s">
        <v>279</v>
      </c>
      <c r="D1" s="21" t="s">
        <v>280</v>
      </c>
      <c r="E1" s="21" t="s">
        <v>281</v>
      </c>
    </row>
    <row r="2" spans="1:5" ht="14.25" customHeight="1" x14ac:dyDescent="0.2">
      <c r="A2" s="2" t="s">
        <v>24</v>
      </c>
      <c r="C2" s="22">
        <v>0.54181999999999997</v>
      </c>
      <c r="D2" s="22">
        <v>-0.1241</v>
      </c>
      <c r="E2" s="22">
        <v>-0.83940000000000003</v>
      </c>
    </row>
    <row r="3" spans="1:5" ht="14.25" customHeight="1" x14ac:dyDescent="0.2">
      <c r="A3" s="2" t="s">
        <v>2</v>
      </c>
      <c r="C3" s="23">
        <v>0.54329099999999997</v>
      </c>
      <c r="D3" s="24">
        <v>2.9769770000000002</v>
      </c>
      <c r="E3" s="23">
        <v>0.719356</v>
      </c>
    </row>
    <row r="4" spans="1:5" ht="14.25" customHeight="1" x14ac:dyDescent="0.2">
      <c r="A4" s="2" t="s">
        <v>3</v>
      </c>
      <c r="C4" s="23">
        <v>1.20963</v>
      </c>
      <c r="D4" s="24">
        <v>1.576648</v>
      </c>
      <c r="E4" s="23">
        <v>0.86901399999999995</v>
      </c>
    </row>
    <row r="5" spans="1:5" ht="14.25" customHeight="1" x14ac:dyDescent="0.2">
      <c r="A5" s="2" t="s">
        <v>282</v>
      </c>
      <c r="C5" s="23">
        <v>0.26366400000000001</v>
      </c>
      <c r="D5" s="24">
        <v>3.161216</v>
      </c>
      <c r="E5" s="23">
        <v>0.52480000000000004</v>
      </c>
    </row>
    <row r="6" spans="1:5" ht="14.25" customHeight="1" x14ac:dyDescent="0.15"/>
    <row r="7" spans="1:5" ht="14.25" customHeight="1" x14ac:dyDescent="0.15">
      <c r="D7" s="25"/>
    </row>
    <row r="8" spans="1:5" ht="14.25" customHeight="1" x14ac:dyDescent="0.15"/>
    <row r="9" spans="1:5" ht="14.25" customHeight="1" x14ac:dyDescent="0.15"/>
    <row r="10" spans="1:5" ht="14.25" customHeight="1" x14ac:dyDescent="0.15"/>
    <row r="11" spans="1:5" ht="14.25" customHeight="1" x14ac:dyDescent="0.15"/>
    <row r="12" spans="1:5" ht="14.25" customHeight="1" x14ac:dyDescent="0.15"/>
    <row r="13" spans="1:5" ht="14.25" customHeight="1" x14ac:dyDescent="0.15"/>
    <row r="14" spans="1:5" ht="14.25" customHeight="1" x14ac:dyDescent="0.15"/>
    <row r="15" spans="1:5" ht="14.25" customHeight="1" x14ac:dyDescent="0.15"/>
    <row r="16" spans="1:5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/>
  </sheetViews>
  <sheetFormatPr baseColWidth="10" defaultColWidth="14.5" defaultRowHeight="15.75" customHeight="1" x14ac:dyDescent="0.15"/>
  <cols>
    <col min="1" max="1" width="17.6640625" customWidth="1"/>
    <col min="2" max="3" width="8.6640625" customWidth="1"/>
    <col min="4" max="4" width="24.33203125" customWidth="1"/>
    <col min="5" max="26" width="8.6640625" customWidth="1"/>
  </cols>
  <sheetData>
    <row r="1" spans="1:20" ht="14.25" customHeight="1" x14ac:dyDescent="0.15"/>
    <row r="2" spans="1:20" ht="14.25" customHeight="1" x14ac:dyDescent="0.2">
      <c r="A2" s="2" t="s">
        <v>1</v>
      </c>
      <c r="D2" s="4">
        <f>'income statement (1) BK'!B16/(('Balance sheet BK'!B35+'Balance sheet BK'!C35)/2)</f>
        <v>0.54181906851987316</v>
      </c>
      <c r="F2" s="2">
        <v>0.54181906851987316</v>
      </c>
    </row>
    <row r="3" spans="1:20" ht="14.25" customHeight="1" x14ac:dyDescent="0.2">
      <c r="A3" s="2" t="s">
        <v>2</v>
      </c>
      <c r="D3" s="2">
        <v>0.5432915921288014</v>
      </c>
      <c r="F3" s="2">
        <v>0.5432915921288014</v>
      </c>
    </row>
    <row r="4" spans="1:20" ht="14.25" customHeight="1" x14ac:dyDescent="0.2">
      <c r="A4" s="2" t="s">
        <v>3</v>
      </c>
      <c r="D4" s="2">
        <f>('Balance sheet BK'!B9-'Balance sheet BK'!B6-'Balance sheet BK'!B7)/'Balance sheet BK'!B23</f>
        <v>1.2096300645918967</v>
      </c>
      <c r="F4" s="2">
        <v>1.2096300645918967</v>
      </c>
    </row>
    <row r="5" spans="1:20" ht="14.25" customHeight="1" x14ac:dyDescent="0.2">
      <c r="A5" s="2" t="s">
        <v>4</v>
      </c>
      <c r="D5" s="2">
        <f>'income statement (1) BK'!B3/(('Balance sheet BK'!B17+'Balance sheet BK'!C17)/2)</f>
        <v>0.26366438436742667</v>
      </c>
      <c r="F5" s="2">
        <v>0.26366438436742667</v>
      </c>
    </row>
    <row r="6" spans="1:20" ht="14.25" customHeight="1" x14ac:dyDescent="0.15"/>
    <row r="7" spans="1:20" ht="14.25" customHeight="1" x14ac:dyDescent="0.15"/>
    <row r="8" spans="1:20" ht="14.25" customHeight="1" x14ac:dyDescent="0.15"/>
    <row r="9" spans="1:20" ht="14.25" customHeight="1" x14ac:dyDescent="0.2">
      <c r="G9" s="2" t="s">
        <v>5</v>
      </c>
      <c r="I9" s="5" t="s">
        <v>6</v>
      </c>
      <c r="K9" s="6">
        <v>2490</v>
      </c>
      <c r="L9" s="6">
        <v>1611</v>
      </c>
      <c r="N9" s="2" t="s">
        <v>7</v>
      </c>
      <c r="S9" s="2" t="s">
        <v>8</v>
      </c>
    </row>
    <row r="10" spans="1:20" ht="14.25" customHeight="1" x14ac:dyDescent="0.2">
      <c r="B10" s="6">
        <v>12148</v>
      </c>
      <c r="C10" s="6">
        <v>22360</v>
      </c>
      <c r="E10" s="2" t="s">
        <v>9</v>
      </c>
      <c r="H10" s="2" t="s">
        <v>10</v>
      </c>
      <c r="N10" s="2" t="s">
        <v>11</v>
      </c>
      <c r="R10" s="2">
        <f>'Balance sheet BK'!B27/'Balance sheet BK'!B17</f>
        <v>0.5432915921288014</v>
      </c>
      <c r="T10" s="2" t="s">
        <v>12</v>
      </c>
    </row>
    <row r="11" spans="1:20" ht="14.25" customHeight="1" x14ac:dyDescent="0.2">
      <c r="B11" s="2" t="s">
        <v>13</v>
      </c>
      <c r="F11" s="6">
        <v>2196</v>
      </c>
      <c r="G11" s="2" t="s">
        <v>14</v>
      </c>
      <c r="I11" s="5">
        <v>84</v>
      </c>
      <c r="J11" s="2" t="s">
        <v>15</v>
      </c>
      <c r="K11" s="6">
        <v>52</v>
      </c>
      <c r="L11" s="2" t="s">
        <v>16</v>
      </c>
      <c r="N11" s="6">
        <v>1703</v>
      </c>
      <c r="O11" s="2" t="s">
        <v>17</v>
      </c>
      <c r="R11" s="2" t="s">
        <v>18</v>
      </c>
    </row>
    <row r="12" spans="1:20" ht="14.25" customHeight="1" x14ac:dyDescent="0.2">
      <c r="B12" s="2">
        <f>J12/H12</f>
        <v>0.26366438436742667</v>
      </c>
      <c r="C12" s="2" t="s">
        <v>19</v>
      </c>
      <c r="F12" s="6" t="s">
        <v>20</v>
      </c>
      <c r="H12" s="7">
        <v>21250.5</v>
      </c>
      <c r="J12" s="5">
        <v>5603</v>
      </c>
      <c r="K12" s="2" t="s">
        <v>21</v>
      </c>
    </row>
    <row r="13" spans="1:20" ht="14.25" customHeight="1" x14ac:dyDescent="0.15"/>
    <row r="14" spans="1:20" ht="14.25" customHeight="1" x14ac:dyDescent="0.15"/>
    <row r="15" spans="1:20" ht="14.25" customHeight="1" x14ac:dyDescent="0.15"/>
    <row r="16" spans="1:2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0"/>
  <sheetViews>
    <sheetView workbookViewId="0"/>
  </sheetViews>
  <sheetFormatPr baseColWidth="10" defaultColWidth="14.5" defaultRowHeight="15.75" customHeight="1" x14ac:dyDescent="0.15"/>
  <cols>
    <col min="1" max="1" width="36.6640625" customWidth="1"/>
  </cols>
  <sheetData>
    <row r="1" spans="1:7" ht="15.75" customHeight="1" x14ac:dyDescent="0.15">
      <c r="A1" s="1" t="s">
        <v>22</v>
      </c>
    </row>
    <row r="2" spans="1:7" x14ac:dyDescent="0.2">
      <c r="A2" s="2" t="str">
        <f ca="1">IFERROR(__xludf.DUMMYFUNCTION("IMPORTHTML(A1,""table"",1)"),"")</f>
        <v/>
      </c>
      <c r="B2" s="2"/>
      <c r="C2" s="2"/>
      <c r="D2" s="2"/>
      <c r="E2" s="2"/>
      <c r="F2" s="2"/>
      <c r="G2" s="2" t="str">
        <f ca="1">IFERROR(__xludf.DUMMYFUNCTION("""COMPUTED_VALUE"""),"Trend")</f>
        <v>Trend</v>
      </c>
    </row>
    <row r="3" spans="1:7" x14ac:dyDescent="0.2">
      <c r="A3" s="2" t="str">
        <f ca="1">IFERROR(__xludf.DUMMYFUNCTION("""COMPUTED_VALUE"""),"Net Income/Starting Line")</f>
        <v>Net Income/Starting Line</v>
      </c>
      <c r="B3" s="3">
        <f ca="1">IFERROR(__xludf.DUMMYFUNCTION("""COMPUTED_VALUE"""),6025.4)</f>
        <v>6025.4</v>
      </c>
      <c r="C3" s="3">
        <f ca="1">IFERROR(__xludf.DUMMYFUNCTION("""COMPUTED_VALUE"""),5924.3)</f>
        <v>5924.3</v>
      </c>
      <c r="D3" s="3">
        <f ca="1">IFERROR(__xludf.DUMMYFUNCTION("""COMPUTED_VALUE"""),5192.3)</f>
        <v>5192.3</v>
      </c>
      <c r="E3" s="3">
        <f ca="1">IFERROR(__xludf.DUMMYFUNCTION("""COMPUTED_VALUE"""),4686.5)</f>
        <v>4686.5</v>
      </c>
      <c r="F3" s="3">
        <f ca="1">IFERROR(__xludf.DUMMYFUNCTION("""COMPUTED_VALUE"""),4529.3)</f>
        <v>4529.3</v>
      </c>
      <c r="G3" s="2"/>
    </row>
    <row r="4" spans="1:7" x14ac:dyDescent="0.2">
      <c r="A4" s="2" t="str">
        <f ca="1">IFERROR(__xludf.DUMMYFUNCTION("""COMPUTED_VALUE"""),"Depreciation/Depletion")</f>
        <v>Depreciation/Depletion</v>
      </c>
      <c r="B4" s="3">
        <f ca="1">IFERROR(__xludf.DUMMYFUNCTION("""COMPUTED_VALUE"""),1617.9)</f>
        <v>1617.9</v>
      </c>
      <c r="C4" s="3">
        <f ca="1">IFERROR(__xludf.DUMMYFUNCTION("""COMPUTED_VALUE"""),1482)</f>
        <v>1482</v>
      </c>
      <c r="D4" s="3">
        <f ca="1">IFERROR(__xludf.DUMMYFUNCTION("""COMPUTED_VALUE"""),1363.4)</f>
        <v>1363.4</v>
      </c>
      <c r="E4" s="3">
        <f ca="1">IFERROR(__xludf.DUMMYFUNCTION("""COMPUTED_VALUE"""),1516.5)</f>
        <v>1516.5</v>
      </c>
      <c r="F4" s="3">
        <f ca="1">IFERROR(__xludf.DUMMYFUNCTION("""COMPUTED_VALUE"""),1555.7)</f>
        <v>1555.7</v>
      </c>
      <c r="G4" s="2"/>
    </row>
    <row r="5" spans="1:7" x14ac:dyDescent="0.2">
      <c r="A5" s="2" t="str">
        <f ca="1">IFERROR(__xludf.DUMMYFUNCTION("""COMPUTED_VALUE"""),"Deferred Taxes")</f>
        <v>Deferred Taxes</v>
      </c>
      <c r="B5" s="2">
        <f ca="1">IFERROR(__xludf.DUMMYFUNCTION("""COMPUTED_VALUE"""),149.7)</f>
        <v>149.69999999999999</v>
      </c>
      <c r="C5" s="2">
        <f ca="1">IFERROR(__xludf.DUMMYFUNCTION("""COMPUTED_VALUE"""),102.6)</f>
        <v>102.6</v>
      </c>
      <c r="D5" s="2">
        <f ca="1">IFERROR(__xludf.DUMMYFUNCTION("""COMPUTED_VALUE"""),-36.4)</f>
        <v>-36.4</v>
      </c>
      <c r="E5" s="2">
        <f ca="1">IFERROR(__xludf.DUMMYFUNCTION("""COMPUTED_VALUE"""),-538.6)</f>
        <v>-538.6</v>
      </c>
      <c r="F5" s="2">
        <f ca="1">IFERROR(__xludf.DUMMYFUNCTION("""COMPUTED_VALUE"""),-1.4)</f>
        <v>-1.4</v>
      </c>
      <c r="G5" s="2"/>
    </row>
    <row r="6" spans="1:7" x14ac:dyDescent="0.2">
      <c r="A6" s="2" t="str">
        <f ca="1">IFERROR(__xludf.DUMMYFUNCTION("""COMPUTED_VALUE"""),"Non-Cash Items")</f>
        <v>Non-Cash Items</v>
      </c>
      <c r="B6" s="2">
        <f ca="1">IFERROR(__xludf.DUMMYFUNCTION("""COMPUTED_VALUE"""),30.6)</f>
        <v>30.6</v>
      </c>
      <c r="C6" s="2">
        <f ca="1">IFERROR(__xludf.DUMMYFUNCTION("""COMPUTED_VALUE"""),-69.5)</f>
        <v>-69.5</v>
      </c>
      <c r="D6" s="2">
        <f ca="1">IFERROR(__xludf.DUMMYFUNCTION("""COMPUTED_VALUE"""),12.4)</f>
        <v>12.4</v>
      </c>
      <c r="E6" s="2">
        <f ca="1">IFERROR(__xludf.DUMMYFUNCTION("""COMPUTED_VALUE"""),228.2)</f>
        <v>228.2</v>
      </c>
      <c r="F6" s="2">
        <f ca="1">IFERROR(__xludf.DUMMYFUNCTION("""COMPUTED_VALUE"""),287.6)</f>
        <v>287.60000000000002</v>
      </c>
      <c r="G6" s="2"/>
    </row>
    <row r="7" spans="1:7" x14ac:dyDescent="0.2">
      <c r="A7" s="2" t="str">
        <f ca="1">IFERROR(__xludf.DUMMYFUNCTION("""COMPUTED_VALUE"""),"Cash Taxes Paid")</f>
        <v>Cash Taxes Paid</v>
      </c>
      <c r="B7" s="3">
        <f ca="1">IFERROR(__xludf.DUMMYFUNCTION("""COMPUTED_VALUE"""),1589.7)</f>
        <v>1589.7</v>
      </c>
      <c r="C7" s="3">
        <f ca="1">IFERROR(__xludf.DUMMYFUNCTION("""COMPUTED_VALUE"""),1734.4)</f>
        <v>1734.4</v>
      </c>
      <c r="D7" s="3">
        <f ca="1">IFERROR(__xludf.DUMMYFUNCTION("""COMPUTED_VALUE"""),2786.3)</f>
        <v>2786.3</v>
      </c>
      <c r="E7" s="3">
        <f ca="1">IFERROR(__xludf.DUMMYFUNCTION("""COMPUTED_VALUE"""),2387.5)</f>
        <v>2387.5</v>
      </c>
      <c r="F7" s="3">
        <f ca="1">IFERROR(__xludf.DUMMYFUNCTION("""COMPUTED_VALUE"""),1985.4)</f>
        <v>1985.4</v>
      </c>
      <c r="G7" s="2"/>
    </row>
    <row r="8" spans="1:7" x14ac:dyDescent="0.2">
      <c r="A8" s="2" t="str">
        <f ca="1">IFERROR(__xludf.DUMMYFUNCTION("""COMPUTED_VALUE"""),"Cash Interest Paid")</f>
        <v>Cash Interest Paid</v>
      </c>
      <c r="B8" s="3">
        <f ca="1">IFERROR(__xludf.DUMMYFUNCTION("""COMPUTED_VALUE"""),1066.5)</f>
        <v>1066.5</v>
      </c>
      <c r="C8" s="2">
        <f ca="1">IFERROR(__xludf.DUMMYFUNCTION("""COMPUTED_VALUE"""),959.6)</f>
        <v>959.6</v>
      </c>
      <c r="D8" s="2">
        <f ca="1">IFERROR(__xludf.DUMMYFUNCTION("""COMPUTED_VALUE"""),885.2)</f>
        <v>885.2</v>
      </c>
      <c r="E8" s="2">
        <f ca="1">IFERROR(__xludf.DUMMYFUNCTION("""COMPUTED_VALUE"""),873.5)</f>
        <v>873.5</v>
      </c>
      <c r="F8" s="2">
        <f ca="1">IFERROR(__xludf.DUMMYFUNCTION("""COMPUTED_VALUE"""),640.8)</f>
        <v>640.79999999999995</v>
      </c>
      <c r="G8" s="2"/>
    </row>
    <row r="9" spans="1:7" x14ac:dyDescent="0.2">
      <c r="A9" s="2" t="str">
        <f ca="1">IFERROR(__xludf.DUMMYFUNCTION("""COMPUTED_VALUE"""),"Changes in Working Capital")</f>
        <v>Changes in Working Capital</v>
      </c>
      <c r="B9" s="2">
        <f ca="1">IFERROR(__xludf.DUMMYFUNCTION("""COMPUTED_VALUE"""),298.5)</f>
        <v>298.5</v>
      </c>
      <c r="C9" s="2">
        <f ca="1">IFERROR(__xludf.DUMMYFUNCTION("""COMPUTED_VALUE"""),-472.7)</f>
        <v>-472.7</v>
      </c>
      <c r="D9" s="2">
        <f ca="1">IFERROR(__xludf.DUMMYFUNCTION("""COMPUTED_VALUE"""),-980.5)</f>
        <v>-980.5</v>
      </c>
      <c r="E9" s="2">
        <f ca="1">IFERROR(__xludf.DUMMYFUNCTION("""COMPUTED_VALUE"""),167)</f>
        <v>167</v>
      </c>
      <c r="F9" s="2">
        <f ca="1">IFERROR(__xludf.DUMMYFUNCTION("""COMPUTED_VALUE"""),167.9)</f>
        <v>167.9</v>
      </c>
      <c r="G9" s="2"/>
    </row>
    <row r="10" spans="1:7" x14ac:dyDescent="0.2">
      <c r="A10" s="2" t="str">
        <f ca="1">IFERROR(__xludf.DUMMYFUNCTION("""COMPUTED_VALUE"""),"Cash from Operating Activities")</f>
        <v>Cash from Operating Activities</v>
      </c>
      <c r="B10" s="3">
        <f ca="1">IFERROR(__xludf.DUMMYFUNCTION("""COMPUTED_VALUE"""),8122.1)</f>
        <v>8122.1</v>
      </c>
      <c r="C10" s="3">
        <f ca="1">IFERROR(__xludf.DUMMYFUNCTION("""COMPUTED_VALUE"""),6966.7)</f>
        <v>6966.7</v>
      </c>
      <c r="D10" s="3">
        <f ca="1">IFERROR(__xludf.DUMMYFUNCTION("""COMPUTED_VALUE"""),5551.2)</f>
        <v>5551.2</v>
      </c>
      <c r="E10" s="3">
        <f ca="1">IFERROR(__xludf.DUMMYFUNCTION("""COMPUTED_VALUE"""),6059.6)</f>
        <v>6059.6</v>
      </c>
      <c r="F10" s="3">
        <f ca="1">IFERROR(__xludf.DUMMYFUNCTION("""COMPUTED_VALUE"""),6539.1)</f>
        <v>6539.1</v>
      </c>
      <c r="G10" s="2"/>
    </row>
    <row r="11" spans="1:7" x14ac:dyDescent="0.2">
      <c r="A11" s="2" t="str">
        <f ca="1">IFERROR(__xludf.DUMMYFUNCTION("""COMPUTED_VALUE"""),"Capital Expenditures")</f>
        <v>Capital Expenditures</v>
      </c>
      <c r="B11" s="3">
        <f ca="1">IFERROR(__xludf.DUMMYFUNCTION("""COMPUTED_VALUE"""),-2393.7)</f>
        <v>-2393.6999999999998</v>
      </c>
      <c r="C11" s="3">
        <f ca="1">IFERROR(__xludf.DUMMYFUNCTION("""COMPUTED_VALUE"""),-2741.7)</f>
        <v>-2741.7</v>
      </c>
      <c r="D11" s="3">
        <f ca="1">IFERROR(__xludf.DUMMYFUNCTION("""COMPUTED_VALUE"""),-1853.7)</f>
        <v>-1853.7</v>
      </c>
      <c r="E11" s="3">
        <f ca="1">IFERROR(__xludf.DUMMYFUNCTION("""COMPUTED_VALUE"""),-1821.1)</f>
        <v>-1821.1</v>
      </c>
      <c r="F11" s="3">
        <f ca="1">IFERROR(__xludf.DUMMYFUNCTION("""COMPUTED_VALUE"""),-1813.9)</f>
        <v>-1813.9</v>
      </c>
      <c r="G11" s="2"/>
    </row>
    <row r="12" spans="1:7" x14ac:dyDescent="0.2">
      <c r="A12" s="2" t="str">
        <f ca="1">IFERROR(__xludf.DUMMYFUNCTION("""COMPUTED_VALUE"""),"Other Investing Cash Flow Items, Total")</f>
        <v>Other Investing Cash Flow Items, Total</v>
      </c>
      <c r="B12" s="2">
        <f ca="1">IFERROR(__xludf.DUMMYFUNCTION("""COMPUTED_VALUE"""),-677.4)</f>
        <v>-677.4</v>
      </c>
      <c r="C12" s="2">
        <f ca="1">IFERROR(__xludf.DUMMYFUNCTION("""COMPUTED_VALUE"""),286.6)</f>
        <v>286.60000000000002</v>
      </c>
      <c r="D12" s="3">
        <f ca="1">IFERROR(__xludf.DUMMYFUNCTION("""COMPUTED_VALUE"""),2415.7)</f>
        <v>2415.6999999999998</v>
      </c>
      <c r="E12" s="2">
        <f ca="1">IFERROR(__xludf.DUMMYFUNCTION("""COMPUTED_VALUE"""),839.5)</f>
        <v>839.5</v>
      </c>
      <c r="F12" s="2">
        <f ca="1">IFERROR(__xludf.DUMMYFUNCTION("""COMPUTED_VALUE"""),393.9)</f>
        <v>393.9</v>
      </c>
      <c r="G12" s="2"/>
    </row>
    <row r="13" spans="1:7" x14ac:dyDescent="0.2">
      <c r="A13" s="2" t="str">
        <f ca="1">IFERROR(__xludf.DUMMYFUNCTION("""COMPUTED_VALUE"""),"Cash from Investing Activities")</f>
        <v>Cash from Investing Activities</v>
      </c>
      <c r="B13" s="3">
        <f ca="1">IFERROR(__xludf.DUMMYFUNCTION("""COMPUTED_VALUE"""),-3071.1)</f>
        <v>-3071.1</v>
      </c>
      <c r="C13" s="3">
        <f ca="1">IFERROR(__xludf.DUMMYFUNCTION("""COMPUTED_VALUE"""),-2455.1)</f>
        <v>-2455.1</v>
      </c>
      <c r="D13" s="2">
        <f ca="1">IFERROR(__xludf.DUMMYFUNCTION("""COMPUTED_VALUE"""),562)</f>
        <v>562</v>
      </c>
      <c r="E13" s="2">
        <f ca="1">IFERROR(__xludf.DUMMYFUNCTION("""COMPUTED_VALUE"""),-981.6)</f>
        <v>-981.6</v>
      </c>
      <c r="F13" s="3">
        <f ca="1">IFERROR(__xludf.DUMMYFUNCTION("""COMPUTED_VALUE"""),-1420)</f>
        <v>-1420</v>
      </c>
      <c r="G13" s="2"/>
    </row>
    <row r="14" spans="1:7" x14ac:dyDescent="0.2">
      <c r="A14" s="2" t="str">
        <f ca="1">IFERROR(__xludf.DUMMYFUNCTION("""COMPUTED_VALUE"""),"Financing Cash Flow Items")</f>
        <v>Financing Cash Flow Items</v>
      </c>
      <c r="B14" s="2">
        <f ca="1">IFERROR(__xludf.DUMMYFUNCTION("""COMPUTED_VALUE"""),-23.5)</f>
        <v>-23.5</v>
      </c>
      <c r="C14" s="2">
        <f ca="1">IFERROR(__xludf.DUMMYFUNCTION("""COMPUTED_VALUE"""),-20)</f>
        <v>-20</v>
      </c>
      <c r="D14" s="2">
        <f ca="1">IFERROR(__xludf.DUMMYFUNCTION("""COMPUTED_VALUE"""),-20.5)</f>
        <v>-20.5</v>
      </c>
      <c r="E14" s="2">
        <f ca="1">IFERROR(__xludf.DUMMYFUNCTION("""COMPUTED_VALUE"""),-3)</f>
        <v>-3</v>
      </c>
      <c r="F14" s="2">
        <f ca="1">IFERROR(__xludf.DUMMYFUNCTION("""COMPUTED_VALUE"""),-7.6)</f>
        <v>-7.6</v>
      </c>
      <c r="G14" s="2"/>
    </row>
    <row r="15" spans="1:7" x14ac:dyDescent="0.2">
      <c r="A15" s="2" t="str">
        <f ca="1">IFERROR(__xludf.DUMMYFUNCTION("""COMPUTED_VALUE"""),"Total Cash Dividends Paid")</f>
        <v>Total Cash Dividends Paid</v>
      </c>
      <c r="B15" s="3">
        <f ca="1">IFERROR(__xludf.DUMMYFUNCTION("""COMPUTED_VALUE"""),-3581.9)</f>
        <v>-3581.9</v>
      </c>
      <c r="C15" s="3">
        <f ca="1">IFERROR(__xludf.DUMMYFUNCTION("""COMPUTED_VALUE"""),-3255.9)</f>
        <v>-3255.9</v>
      </c>
      <c r="D15" s="3">
        <f ca="1">IFERROR(__xludf.DUMMYFUNCTION("""COMPUTED_VALUE"""),-3089.2)</f>
        <v>-3089.2</v>
      </c>
      <c r="E15" s="3">
        <f ca="1">IFERROR(__xludf.DUMMYFUNCTION("""COMPUTED_VALUE"""),-3058.2)</f>
        <v>-3058.2</v>
      </c>
      <c r="F15" s="3">
        <f ca="1">IFERROR(__xludf.DUMMYFUNCTION("""COMPUTED_VALUE"""),-3230.3)</f>
        <v>-3230.3</v>
      </c>
      <c r="G15" s="2"/>
    </row>
    <row r="16" spans="1:7" x14ac:dyDescent="0.2">
      <c r="A16" s="2" t="str">
        <f ca="1">IFERROR(__xludf.DUMMYFUNCTION("""COMPUTED_VALUE"""),"Issuance (Retirement) of Stock, Net")</f>
        <v>Issuance (Retirement) of Stock, Net</v>
      </c>
      <c r="B16" s="3">
        <f ca="1">IFERROR(__xludf.DUMMYFUNCTION("""COMPUTED_VALUE"""),-4625.7)</f>
        <v>-4625.7</v>
      </c>
      <c r="C16" s="3">
        <f ca="1">IFERROR(__xludf.DUMMYFUNCTION("""COMPUTED_VALUE"""),-4804.5)</f>
        <v>-4804.5</v>
      </c>
      <c r="D16" s="3">
        <f ca="1">IFERROR(__xludf.DUMMYFUNCTION("""COMPUTED_VALUE"""),-4228.9)</f>
        <v>-4228.8999999999996</v>
      </c>
      <c r="E16" s="3">
        <f ca="1">IFERROR(__xludf.DUMMYFUNCTION("""COMPUTED_VALUE"""),-10871.6)</f>
        <v>-10871.6</v>
      </c>
      <c r="F16" s="3">
        <f ca="1">IFERROR(__xludf.DUMMYFUNCTION("""COMPUTED_VALUE"""),-5782)</f>
        <v>-5782</v>
      </c>
      <c r="G16" s="2"/>
    </row>
    <row r="17" spans="1:7" x14ac:dyDescent="0.2">
      <c r="A17" s="2" t="str">
        <f ca="1">IFERROR(__xludf.DUMMYFUNCTION("""COMPUTED_VALUE"""),"Issuance (Retirement) of Debt, Net")</f>
        <v>Issuance (Retirement) of Debt, Net</v>
      </c>
      <c r="B17" s="3">
        <f ca="1">IFERROR(__xludf.DUMMYFUNCTION("""COMPUTED_VALUE"""),3236.3)</f>
        <v>3236.3</v>
      </c>
      <c r="C17" s="3">
        <f ca="1">IFERROR(__xludf.DUMMYFUNCTION("""COMPUTED_VALUE"""),2130.8)</f>
        <v>2130.8000000000002</v>
      </c>
      <c r="D17" s="3">
        <f ca="1">IFERROR(__xludf.DUMMYFUNCTION("""COMPUTED_VALUE"""),2027.8)</f>
        <v>2027.8</v>
      </c>
      <c r="E17" s="3">
        <f ca="1">IFERROR(__xludf.DUMMYFUNCTION("""COMPUTED_VALUE"""),2670.4)</f>
        <v>2670.4</v>
      </c>
      <c r="F17" s="3">
        <f ca="1">IFERROR(__xludf.DUMMYFUNCTION("""COMPUTED_VALUE"""),9755.2)</f>
        <v>9755.2000000000007</v>
      </c>
      <c r="G17" s="2"/>
    </row>
    <row r="18" spans="1:7" x14ac:dyDescent="0.2">
      <c r="A18" s="2" t="str">
        <f ca="1">IFERROR(__xludf.DUMMYFUNCTION("""COMPUTED_VALUE"""),"Cash from Financing Activities")</f>
        <v>Cash from Financing Activities</v>
      </c>
      <c r="B18" s="3">
        <f ca="1">IFERROR(__xludf.DUMMYFUNCTION("""COMPUTED_VALUE"""),-4994.8)</f>
        <v>-4994.8</v>
      </c>
      <c r="C18" s="3">
        <f ca="1">IFERROR(__xludf.DUMMYFUNCTION("""COMPUTED_VALUE"""),-5949.6)</f>
        <v>-5949.6</v>
      </c>
      <c r="D18" s="3">
        <f ca="1">IFERROR(__xludf.DUMMYFUNCTION("""COMPUTED_VALUE"""),-5310.8)</f>
        <v>-5310.8</v>
      </c>
      <c r="E18" s="3">
        <f ca="1">IFERROR(__xludf.DUMMYFUNCTION("""COMPUTED_VALUE"""),-11262.4)</f>
        <v>-11262.4</v>
      </c>
      <c r="F18" s="2">
        <f ca="1">IFERROR(__xludf.DUMMYFUNCTION("""COMPUTED_VALUE"""),735.3)</f>
        <v>735.3</v>
      </c>
      <c r="G18" s="2"/>
    </row>
    <row r="19" spans="1:7" x14ac:dyDescent="0.2">
      <c r="A19" s="2" t="str">
        <f ca="1">IFERROR(__xludf.DUMMYFUNCTION("""COMPUTED_VALUE"""),"Foreign Exchange Effects")</f>
        <v>Foreign Exchange Effects</v>
      </c>
      <c r="B19" s="2">
        <f ca="1">IFERROR(__xludf.DUMMYFUNCTION("""COMPUTED_VALUE"""),-23.7)</f>
        <v>-23.7</v>
      </c>
      <c r="C19" s="2">
        <f ca="1">IFERROR(__xludf.DUMMYFUNCTION("""COMPUTED_VALUE"""),-159.8)</f>
        <v>-159.80000000000001</v>
      </c>
      <c r="D19" s="2">
        <f ca="1">IFERROR(__xludf.DUMMYFUNCTION("""COMPUTED_VALUE"""),264)</f>
        <v>264</v>
      </c>
      <c r="E19" s="2">
        <f ca="1">IFERROR(__xludf.DUMMYFUNCTION("""COMPUTED_VALUE"""),-103.7)</f>
        <v>-103.7</v>
      </c>
      <c r="F19" s="2">
        <f ca="1">IFERROR(__xludf.DUMMYFUNCTION("""COMPUTED_VALUE"""),-246.8)</f>
        <v>-246.8</v>
      </c>
      <c r="G19" s="2"/>
    </row>
    <row r="20" spans="1:7" x14ac:dyDescent="0.2">
      <c r="A20" s="2" t="str">
        <f ca="1">IFERROR(__xludf.DUMMYFUNCTION("""COMPUTED_VALUE"""),"Net Change in Cash")</f>
        <v>Net Change in Cash</v>
      </c>
      <c r="B20" s="2">
        <f ca="1">IFERROR(__xludf.DUMMYFUNCTION("""COMPUTED_VALUE"""),32.5)</f>
        <v>32.5</v>
      </c>
      <c r="C20" s="3">
        <f ca="1">IFERROR(__xludf.DUMMYFUNCTION("""COMPUTED_VALUE"""),-1597.8)</f>
        <v>-1597.8</v>
      </c>
      <c r="D20" s="3">
        <f ca="1">IFERROR(__xludf.DUMMYFUNCTION("""COMPUTED_VALUE"""),1066.4)</f>
        <v>1066.4000000000001</v>
      </c>
      <c r="E20" s="3">
        <f ca="1">IFERROR(__xludf.DUMMYFUNCTION("""COMPUTED_VALUE"""),-6288.1)</f>
        <v>-6288.1</v>
      </c>
      <c r="F20" s="3">
        <f ca="1">IFERROR(__xludf.DUMMYFUNCTION("""COMPUTED_VALUE"""),5607.6)</f>
        <v>5607.6</v>
      </c>
      <c r="G20" s="2"/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baseColWidth="10" defaultColWidth="14.5" defaultRowHeight="15.75" customHeight="1" x14ac:dyDescent="0.15"/>
  <cols>
    <col min="1" max="1" width="14.5" customWidth="1"/>
    <col min="2" max="2" width="26.1640625" customWidth="1"/>
    <col min="3" max="3" width="18.6640625" customWidth="1"/>
    <col min="4" max="4" width="32.1640625" customWidth="1"/>
    <col min="5" max="6" width="14.5" customWidth="1"/>
  </cols>
  <sheetData>
    <row r="1" spans="1:7" ht="15.75" customHeight="1" x14ac:dyDescent="0.15">
      <c r="A1" s="8" t="s">
        <v>23</v>
      </c>
      <c r="B1" s="8" t="s">
        <v>24</v>
      </c>
    </row>
    <row r="2" spans="1:7" ht="15.75" customHeight="1" x14ac:dyDescent="0.15">
      <c r="A2" s="8" t="s">
        <v>25</v>
      </c>
      <c r="B2" s="8" t="s">
        <v>26</v>
      </c>
    </row>
    <row r="3" spans="1:7" ht="15.75" customHeight="1" x14ac:dyDescent="0.15">
      <c r="A3" s="8" t="s">
        <v>27</v>
      </c>
      <c r="B3" s="8" t="s">
        <v>28</v>
      </c>
    </row>
    <row r="4" spans="1:7" ht="15.75" customHeight="1" x14ac:dyDescent="0.15">
      <c r="A4" s="8" t="s">
        <v>29</v>
      </c>
      <c r="B4" s="8" t="s">
        <v>30</v>
      </c>
      <c r="D4" s="9" t="s">
        <v>31</v>
      </c>
    </row>
    <row r="5" spans="1:7" ht="15.75" customHeight="1" x14ac:dyDescent="0.15">
      <c r="D5" s="10" t="s">
        <v>32</v>
      </c>
    </row>
    <row r="6" spans="1:7" ht="13" x14ac:dyDescent="0.15"/>
    <row r="7" spans="1:7" ht="13" x14ac:dyDescent="0.15"/>
    <row r="8" spans="1:7" ht="15.75" customHeight="1" x14ac:dyDescent="0.15">
      <c r="A8" s="8" t="s">
        <v>33</v>
      </c>
      <c r="B8" s="11">
        <f ca="1">'income statement DO'!B13/(('balance sheet DO'!B36+'balance sheet DO'!C36)/2)</f>
        <v>-0.12414184098344402</v>
      </c>
      <c r="D8" s="11"/>
    </row>
    <row r="9" spans="1:7" ht="13" x14ac:dyDescent="0.15"/>
    <row r="10" spans="1:7" ht="15.75" customHeight="1" x14ac:dyDescent="0.15">
      <c r="A10" s="8" t="s">
        <v>2</v>
      </c>
      <c r="B10" s="12">
        <f ca="1">'balance sheet DO'!B28/'balance sheet DO'!B18</f>
        <v>2.9769768973077007</v>
      </c>
      <c r="G10" s="8"/>
    </row>
    <row r="11" spans="1:7" ht="13" x14ac:dyDescent="0.15"/>
    <row r="12" spans="1:7" ht="15.75" customHeight="1" x14ac:dyDescent="0.15">
      <c r="A12" s="8" t="s">
        <v>3</v>
      </c>
      <c r="B12" s="12">
        <f ca="1">('balance sheet DO'!B10-'balance sheet DO'!B7-'balance sheet DO'!B8)/'balance sheet DO'!B24</f>
        <v>1.5766476433906969</v>
      </c>
    </row>
    <row r="13" spans="1:7" ht="13" x14ac:dyDescent="0.15"/>
    <row r="14" spans="1:7" ht="15.75" customHeight="1" x14ac:dyDescent="0.15">
      <c r="A14" s="8" t="s">
        <v>29</v>
      </c>
      <c r="B14" s="12">
        <f ca="1">'income statement DO'!B4/(('balance sheet DO'!B18+'balance sheet DO'!C18)/2)</f>
        <v>3.1612156472212032</v>
      </c>
    </row>
    <row r="15" spans="1:7" ht="13" x14ac:dyDescent="0.15"/>
    <row r="16" spans="1:7" ht="13" x14ac:dyDescent="0.15"/>
    <row r="17" ht="13" x14ac:dyDescent="0.15"/>
    <row r="18" ht="13" x14ac:dyDescent="0.15"/>
    <row r="19" ht="13" x14ac:dyDescent="0.15"/>
    <row r="20" ht="13" x14ac:dyDescent="0.15"/>
    <row r="21" ht="13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  <row r="28" ht="13" x14ac:dyDescent="0.15"/>
    <row r="29" ht="13" x14ac:dyDescent="0.15"/>
    <row r="30" ht="13" x14ac:dyDescent="0.15"/>
    <row r="31" ht="13" x14ac:dyDescent="0.15"/>
    <row r="3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7"/>
  <sheetViews>
    <sheetView workbookViewId="0">
      <selection activeCell="D1" sqref="D1"/>
    </sheetView>
  </sheetViews>
  <sheetFormatPr baseColWidth="10" defaultColWidth="14.5" defaultRowHeight="15.75" customHeight="1" x14ac:dyDescent="0.15"/>
  <cols>
    <col min="1" max="1" width="46.83203125" customWidth="1"/>
  </cols>
  <sheetData>
    <row r="1" spans="1:7" ht="15.75" customHeight="1" x14ac:dyDescent="0.15">
      <c r="A1" s="1" t="s">
        <v>34</v>
      </c>
    </row>
    <row r="2" spans="1:7" x14ac:dyDescent="0.2">
      <c r="A2" s="2" t="str">
        <f ca="1">IFERROR(__xludf.DUMMYFUNCTION("IMPORTHTML(A1,""table"",1)"),"")</f>
        <v/>
      </c>
      <c r="B2" s="2"/>
      <c r="C2" s="2"/>
      <c r="D2" s="2"/>
      <c r="E2" s="2"/>
      <c r="F2" s="2"/>
      <c r="G2" s="2" t="str">
        <f ca="1">IFERROR(__xludf.DUMMYFUNCTION("""COMPUTED_VALUE"""),"Trend")</f>
        <v>Trend</v>
      </c>
    </row>
    <row r="3" spans="1:7" x14ac:dyDescent="0.2">
      <c r="A3" s="2" t="str">
        <f ca="1">IFERROR(__xludf.DUMMYFUNCTION("""COMPUTED_VALUE"""),"Revenue")</f>
        <v>Revenue</v>
      </c>
      <c r="B3" s="3">
        <f ca="1">IFERROR(__xludf.DUMMYFUNCTION("""COMPUTED_VALUE"""),21076.5)</f>
        <v>21076.5</v>
      </c>
      <c r="C3" s="3">
        <f ca="1">IFERROR(__xludf.DUMMYFUNCTION("""COMPUTED_VALUE"""),21025.2)</f>
        <v>21025.200000000001</v>
      </c>
      <c r="D3" s="3">
        <f ca="1">IFERROR(__xludf.DUMMYFUNCTION("""COMPUTED_VALUE"""),22820.4)</f>
        <v>22820.400000000001</v>
      </c>
      <c r="E3" s="3">
        <f ca="1">IFERROR(__xludf.DUMMYFUNCTION("""COMPUTED_VALUE"""),24621.9)</f>
        <v>24621.9</v>
      </c>
      <c r="F3" s="3">
        <f ca="1">IFERROR(__xludf.DUMMYFUNCTION("""COMPUTED_VALUE"""),25413)</f>
        <v>25413</v>
      </c>
      <c r="G3" s="2"/>
    </row>
    <row r="4" spans="1:7" x14ac:dyDescent="0.2">
      <c r="A4" s="2" t="str">
        <f ca="1">IFERROR(__xludf.DUMMYFUNCTION("""COMPUTED_VALUE"""),"Total Revenue")</f>
        <v>Total Revenue</v>
      </c>
      <c r="B4" s="3">
        <f ca="1">IFERROR(__xludf.DUMMYFUNCTION("""COMPUTED_VALUE"""),21076.5)</f>
        <v>21076.5</v>
      </c>
      <c r="C4" s="3">
        <f ca="1">IFERROR(__xludf.DUMMYFUNCTION("""COMPUTED_VALUE"""),21025.2)</f>
        <v>21025.200000000001</v>
      </c>
      <c r="D4" s="3">
        <f ca="1">IFERROR(__xludf.DUMMYFUNCTION("""COMPUTED_VALUE"""),22820.4)</f>
        <v>22820.400000000001</v>
      </c>
      <c r="E4" s="3">
        <f ca="1">IFERROR(__xludf.DUMMYFUNCTION("""COMPUTED_VALUE"""),24621.9)</f>
        <v>24621.9</v>
      </c>
      <c r="F4" s="3">
        <f ca="1">IFERROR(__xludf.DUMMYFUNCTION("""COMPUTED_VALUE"""),25413)</f>
        <v>25413</v>
      </c>
      <c r="G4" s="2"/>
    </row>
    <row r="5" spans="1:7" x14ac:dyDescent="0.2">
      <c r="A5" s="2" t="str">
        <f ca="1">IFERROR(__xludf.DUMMYFUNCTION("""COMPUTED_VALUE"""),"Cost of Revenue, Total")</f>
        <v>Cost of Revenue, Total</v>
      </c>
      <c r="B5" s="3">
        <f ca="1">IFERROR(__xludf.DUMMYFUNCTION("""COMPUTED_VALUE"""),9961.2)</f>
        <v>9961.2000000000007</v>
      </c>
      <c r="C5" s="3">
        <f ca="1">IFERROR(__xludf.DUMMYFUNCTION("""COMPUTED_VALUE"""),10239.2)</f>
        <v>10239.200000000001</v>
      </c>
      <c r="D5" s="3">
        <f ca="1">IFERROR(__xludf.DUMMYFUNCTION("""COMPUTED_VALUE"""),12199.6)</f>
        <v>12199.6</v>
      </c>
      <c r="E5" s="3">
        <f ca="1">IFERROR(__xludf.DUMMYFUNCTION("""COMPUTED_VALUE"""),14417.2)</f>
        <v>14417.2</v>
      </c>
      <c r="F5" s="3">
        <f ca="1">IFERROR(__xludf.DUMMYFUNCTION("""COMPUTED_VALUE"""),15623.8)</f>
        <v>15623.8</v>
      </c>
      <c r="G5" s="2"/>
    </row>
    <row r="6" spans="1:7" x14ac:dyDescent="0.2">
      <c r="A6" s="2" t="str">
        <f ca="1">IFERROR(__xludf.DUMMYFUNCTION("""COMPUTED_VALUE"""),"Gross Profit")</f>
        <v>Gross Profit</v>
      </c>
      <c r="B6" s="3">
        <f ca="1">IFERROR(__xludf.DUMMYFUNCTION("""COMPUTED_VALUE"""),11115.3)</f>
        <v>11115.3</v>
      </c>
      <c r="C6" s="3">
        <f ca="1">IFERROR(__xludf.DUMMYFUNCTION("""COMPUTED_VALUE"""),10786)</f>
        <v>10786</v>
      </c>
      <c r="D6" s="3">
        <f ca="1">IFERROR(__xludf.DUMMYFUNCTION("""COMPUTED_VALUE"""),10620.8)</f>
        <v>10620.8</v>
      </c>
      <c r="E6" s="3">
        <f ca="1">IFERROR(__xludf.DUMMYFUNCTION("""COMPUTED_VALUE"""),10204.7)</f>
        <v>10204.700000000001</v>
      </c>
      <c r="F6" s="3">
        <f ca="1">IFERROR(__xludf.DUMMYFUNCTION("""COMPUTED_VALUE"""),9789.2)</f>
        <v>9789.2000000000007</v>
      </c>
      <c r="G6" s="2"/>
    </row>
    <row r="7" spans="1:7" x14ac:dyDescent="0.2">
      <c r="A7" s="2" t="str">
        <f ca="1">IFERROR(__xludf.DUMMYFUNCTION("""COMPUTED_VALUE"""),"Selling/General/Admin. Expenses, Total")</f>
        <v>Selling/General/Admin. Expenses, Total</v>
      </c>
      <c r="B7" s="3">
        <f ca="1">IFERROR(__xludf.DUMMYFUNCTION("""COMPUTED_VALUE"""),2301.2)</f>
        <v>2301.1999999999998</v>
      </c>
      <c r="C7" s="3">
        <f ca="1">IFERROR(__xludf.DUMMYFUNCTION("""COMPUTED_VALUE"""),2200.6)</f>
        <v>2200.6</v>
      </c>
      <c r="D7" s="3">
        <f ca="1">IFERROR(__xludf.DUMMYFUNCTION("""COMPUTED_VALUE"""),2324)</f>
        <v>2324</v>
      </c>
      <c r="E7" s="3">
        <f ca="1">IFERROR(__xludf.DUMMYFUNCTION("""COMPUTED_VALUE"""),2410.5)</f>
        <v>2410.5</v>
      </c>
      <c r="F7" s="3">
        <f ca="1">IFERROR(__xludf.DUMMYFUNCTION("""COMPUTED_VALUE"""),2473.2)</f>
        <v>2473.1999999999998</v>
      </c>
      <c r="G7" s="2"/>
    </row>
    <row r="8" spans="1:7" x14ac:dyDescent="0.2">
      <c r="A8" s="2" t="str">
        <f ca="1">IFERROR(__xludf.DUMMYFUNCTION("""COMPUTED_VALUE"""),"Interest Exp.(Inc.),Net-Operating, Total")</f>
        <v>Interest Exp.(Inc.),Net-Operating, Total</v>
      </c>
      <c r="B8" s="2">
        <f ca="1">IFERROR(__xludf.DUMMYFUNCTION("""COMPUTED_VALUE"""),-225.8)</f>
        <v>-225.8</v>
      </c>
      <c r="C8" s="2">
        <f ca="1">IFERROR(__xludf.DUMMYFUNCTION("""COMPUTED_VALUE"""),-151.9)</f>
        <v>-151.9</v>
      </c>
      <c r="D8" s="2">
        <f ca="1">IFERROR(__xludf.DUMMYFUNCTION("""COMPUTED_VALUE"""),-276.4)</f>
        <v>-276.39999999999998</v>
      </c>
      <c r="E8" s="2">
        <f ca="1">IFERROR(__xludf.DUMMYFUNCTION("""COMPUTED_VALUE"""),-80.8)</f>
        <v>-80.8</v>
      </c>
      <c r="F8" s="2">
        <f ca="1">IFERROR(__xludf.DUMMYFUNCTION("""COMPUTED_VALUE"""),107.9)</f>
        <v>107.9</v>
      </c>
      <c r="G8" s="2"/>
    </row>
    <row r="9" spans="1:7" x14ac:dyDescent="0.2">
      <c r="A9" s="2" t="str">
        <f ca="1">IFERROR(__xludf.DUMMYFUNCTION("""COMPUTED_VALUE"""),"Unusual Expense (Income)")</f>
        <v>Unusual Expense (Income)</v>
      </c>
      <c r="B9" s="2">
        <f ca="1">IFERROR(__xludf.DUMMYFUNCTION("""COMPUTED_VALUE"""),-30)</f>
        <v>-30</v>
      </c>
      <c r="C9" s="2">
        <f ca="1">IFERROR(__xludf.DUMMYFUNCTION("""COMPUTED_VALUE"""),-85.3)</f>
        <v>-85.3</v>
      </c>
      <c r="D9" s="2">
        <f ca="1">IFERROR(__xludf.DUMMYFUNCTION("""COMPUTED_VALUE"""),-979.5)</f>
        <v>-979.5</v>
      </c>
      <c r="E9" s="2">
        <f ca="1">IFERROR(__xludf.DUMMYFUNCTION("""COMPUTED_VALUE"""),130.5)</f>
        <v>130.5</v>
      </c>
      <c r="F9" s="2">
        <f ca="1">IFERROR(__xludf.DUMMYFUNCTION("""COMPUTED_VALUE"""),62.6)</f>
        <v>62.6</v>
      </c>
      <c r="G9" s="2"/>
    </row>
    <row r="10" spans="1:7" x14ac:dyDescent="0.2">
      <c r="A10" s="2" t="str">
        <f ca="1">IFERROR(__xludf.DUMMYFUNCTION("""COMPUTED_VALUE"""),"Other Operating Expenses, Total")</f>
        <v>Other Operating Expenses, Total</v>
      </c>
      <c r="B10" s="2">
        <f ca="1">IFERROR(__xludf.DUMMYFUNCTION("""COMPUTED_VALUE"""),0.1)</f>
        <v>0.1</v>
      </c>
      <c r="C10" s="2" t="str">
        <f ca="1">IFERROR(__xludf.DUMMYFUNCTION("""COMPUTED_VALUE"""),"--")</f>
        <v>--</v>
      </c>
      <c r="D10" s="2" t="str">
        <f ca="1">IFERROR(__xludf.DUMMYFUNCTION("""COMPUTED_VALUE"""),"--")</f>
        <v>--</v>
      </c>
      <c r="E10" s="2" t="str">
        <f ca="1">IFERROR(__xludf.DUMMYFUNCTION("""COMPUTED_VALUE"""),"--")</f>
        <v>--</v>
      </c>
      <c r="F10" s="2" t="str">
        <f ca="1">IFERROR(__xludf.DUMMYFUNCTION("""COMPUTED_VALUE"""),"--")</f>
        <v>--</v>
      </c>
      <c r="G10" s="2"/>
    </row>
    <row r="11" spans="1:7" x14ac:dyDescent="0.2">
      <c r="A11" s="2" t="str">
        <f ca="1">IFERROR(__xludf.DUMMYFUNCTION("""COMPUTED_VALUE"""),"Total Operating Expense")</f>
        <v>Total Operating Expense</v>
      </c>
      <c r="B11" s="3">
        <f ca="1">IFERROR(__xludf.DUMMYFUNCTION("""COMPUTED_VALUE"""),12006.7)</f>
        <v>12006.7</v>
      </c>
      <c r="C11" s="3">
        <f ca="1">IFERROR(__xludf.DUMMYFUNCTION("""COMPUTED_VALUE"""),12202.6)</f>
        <v>12202.6</v>
      </c>
      <c r="D11" s="3">
        <f ca="1">IFERROR(__xludf.DUMMYFUNCTION("""COMPUTED_VALUE"""),13267.7)</f>
        <v>13267.7</v>
      </c>
      <c r="E11" s="3">
        <f ca="1">IFERROR(__xludf.DUMMYFUNCTION("""COMPUTED_VALUE"""),16877.4)</f>
        <v>16877.400000000001</v>
      </c>
      <c r="F11" s="3">
        <f ca="1">IFERROR(__xludf.DUMMYFUNCTION("""COMPUTED_VALUE"""),18267.5)</f>
        <v>18267.5</v>
      </c>
      <c r="G11" s="2"/>
    </row>
    <row r="12" spans="1:7" x14ac:dyDescent="0.2">
      <c r="A12" s="2" t="str">
        <f ca="1">IFERROR(__xludf.DUMMYFUNCTION("""COMPUTED_VALUE"""),"Operating Income")</f>
        <v>Operating Income</v>
      </c>
      <c r="B12" s="3">
        <f ca="1">IFERROR(__xludf.DUMMYFUNCTION("""COMPUTED_VALUE"""),9069.8)</f>
        <v>9069.7999999999993</v>
      </c>
      <c r="C12" s="3">
        <f ca="1">IFERROR(__xludf.DUMMYFUNCTION("""COMPUTED_VALUE"""),8822.6)</f>
        <v>8822.6</v>
      </c>
      <c r="D12" s="3">
        <f ca="1">IFERROR(__xludf.DUMMYFUNCTION("""COMPUTED_VALUE"""),9552.7)</f>
        <v>9552.7000000000007</v>
      </c>
      <c r="E12" s="3">
        <f ca="1">IFERROR(__xludf.DUMMYFUNCTION("""COMPUTED_VALUE"""),7744.5)</f>
        <v>7744.5</v>
      </c>
      <c r="F12" s="3">
        <f ca="1">IFERROR(__xludf.DUMMYFUNCTION("""COMPUTED_VALUE"""),7145.5)</f>
        <v>7145.5</v>
      </c>
      <c r="G12" s="2"/>
    </row>
    <row r="13" spans="1:7" x14ac:dyDescent="0.2">
      <c r="A13" s="2" t="str">
        <f ca="1">IFERROR(__xludf.DUMMYFUNCTION("""COMPUTED_VALUE"""),"Interest Inc.(Exp.),Net-Non-Op., Total")</f>
        <v>Interest Inc.(Exp.),Net-Non-Op., Total</v>
      </c>
      <c r="B13" s="3">
        <f ca="1">IFERROR(__xludf.DUMMYFUNCTION("""COMPUTED_VALUE"""),-1036.9)</f>
        <v>-1036.9000000000001</v>
      </c>
      <c r="C13" s="2">
        <f ca="1">IFERROR(__xludf.DUMMYFUNCTION("""COMPUTED_VALUE"""),-982.2)</f>
        <v>-982.2</v>
      </c>
      <c r="D13" s="2">
        <f ca="1">IFERROR(__xludf.DUMMYFUNCTION("""COMPUTED_VALUE"""),-940.3)</f>
        <v>-940.3</v>
      </c>
      <c r="E13" s="2">
        <f ca="1">IFERROR(__xludf.DUMMYFUNCTION("""COMPUTED_VALUE"""),-856.8)</f>
        <v>-856.8</v>
      </c>
      <c r="F13" s="2">
        <f ca="1">IFERROR(__xludf.DUMMYFUNCTION("""COMPUTED_VALUE"""),-573.3)</f>
        <v>-573.29999999999995</v>
      </c>
      <c r="G13" s="2"/>
    </row>
    <row r="14" spans="1:7" x14ac:dyDescent="0.2">
      <c r="A14" s="2" t="str">
        <f ca="1">IFERROR(__xludf.DUMMYFUNCTION("""COMPUTED_VALUE"""),"Other, Net")</f>
        <v>Other, Net</v>
      </c>
      <c r="B14" s="2">
        <f ca="1">IFERROR(__xludf.DUMMYFUNCTION("""COMPUTED_VALUE"""),-14.8)</f>
        <v>-14.8</v>
      </c>
      <c r="C14" s="2">
        <f ca="1">IFERROR(__xludf.DUMMYFUNCTION("""COMPUTED_VALUE"""),-24.3)</f>
        <v>-24.3</v>
      </c>
      <c r="D14" s="2">
        <f ca="1">IFERROR(__xludf.DUMMYFUNCTION("""COMPUTED_VALUE"""),-38.9)</f>
        <v>-38.9</v>
      </c>
      <c r="E14" s="2">
        <f ca="1">IFERROR(__xludf.DUMMYFUNCTION("""COMPUTED_VALUE"""),-21.7)</f>
        <v>-21.7</v>
      </c>
      <c r="F14" s="2">
        <f ca="1">IFERROR(__xludf.DUMMYFUNCTION("""COMPUTED_VALUE"""),-16.5)</f>
        <v>-16.5</v>
      </c>
      <c r="G14" s="2"/>
    </row>
    <row r="15" spans="1:7" x14ac:dyDescent="0.2">
      <c r="A15" s="2" t="str">
        <f ca="1">IFERROR(__xludf.DUMMYFUNCTION("""COMPUTED_VALUE"""),"Net Income Before Taxes")</f>
        <v>Net Income Before Taxes</v>
      </c>
      <c r="B15" s="3">
        <f ca="1">IFERROR(__xludf.DUMMYFUNCTION("""COMPUTED_VALUE"""),8018.1)</f>
        <v>8018.1</v>
      </c>
      <c r="C15" s="3">
        <f ca="1">IFERROR(__xludf.DUMMYFUNCTION("""COMPUTED_VALUE"""),7816.1)</f>
        <v>7816.1</v>
      </c>
      <c r="D15" s="3">
        <f ca="1">IFERROR(__xludf.DUMMYFUNCTION("""COMPUTED_VALUE"""),8573.5)</f>
        <v>8573.5</v>
      </c>
      <c r="E15" s="3">
        <f ca="1">IFERROR(__xludf.DUMMYFUNCTION("""COMPUTED_VALUE"""),6866)</f>
        <v>6866</v>
      </c>
      <c r="F15" s="3">
        <f ca="1">IFERROR(__xludf.DUMMYFUNCTION("""COMPUTED_VALUE"""),6555.7)</f>
        <v>6555.7</v>
      </c>
      <c r="G15" s="2"/>
    </row>
    <row r="16" spans="1:7" x14ac:dyDescent="0.2">
      <c r="A16" s="2" t="str">
        <f ca="1">IFERROR(__xludf.DUMMYFUNCTION("""COMPUTED_VALUE"""),"Provision for Income Taxes")</f>
        <v>Provision for Income Taxes</v>
      </c>
      <c r="B16" s="3">
        <f ca="1">IFERROR(__xludf.DUMMYFUNCTION("""COMPUTED_VALUE"""),1945.7)</f>
        <v>1945.7</v>
      </c>
      <c r="C16" s="3">
        <f ca="1">IFERROR(__xludf.DUMMYFUNCTION("""COMPUTED_VALUE"""),1816.8)</f>
        <v>1816.8</v>
      </c>
      <c r="D16" s="3">
        <f ca="1">IFERROR(__xludf.DUMMYFUNCTION("""COMPUTED_VALUE"""),2681.2)</f>
        <v>2681.2</v>
      </c>
      <c r="E16" s="3">
        <f ca="1">IFERROR(__xludf.DUMMYFUNCTION("""COMPUTED_VALUE"""),2179.5)</f>
        <v>2179.5</v>
      </c>
      <c r="F16" s="3">
        <f ca="1">IFERROR(__xludf.DUMMYFUNCTION("""COMPUTED_VALUE"""),2026.4)</f>
        <v>2026.4</v>
      </c>
      <c r="G16" s="2"/>
    </row>
    <row r="17" spans="1:7" x14ac:dyDescent="0.2">
      <c r="A17" s="2" t="str">
        <f ca="1">IFERROR(__xludf.DUMMYFUNCTION("""COMPUTED_VALUE"""),"Net Income After Taxes")</f>
        <v>Net Income After Taxes</v>
      </c>
      <c r="B17" s="3">
        <f ca="1">IFERROR(__xludf.DUMMYFUNCTION("""COMPUTED_VALUE"""),6072.4)</f>
        <v>6072.4</v>
      </c>
      <c r="C17" s="3">
        <f ca="1">IFERROR(__xludf.DUMMYFUNCTION("""COMPUTED_VALUE"""),5999.3)</f>
        <v>5999.3</v>
      </c>
      <c r="D17" s="3">
        <f ca="1">IFERROR(__xludf.DUMMYFUNCTION("""COMPUTED_VALUE"""),5892.3)</f>
        <v>5892.3</v>
      </c>
      <c r="E17" s="3">
        <f ca="1">IFERROR(__xludf.DUMMYFUNCTION("""COMPUTED_VALUE"""),4686.5)</f>
        <v>4686.5</v>
      </c>
      <c r="F17" s="3">
        <f ca="1">IFERROR(__xludf.DUMMYFUNCTION("""COMPUTED_VALUE"""),4529.3)</f>
        <v>4529.3</v>
      </c>
      <c r="G17" s="2"/>
    </row>
    <row r="18" spans="1:7" x14ac:dyDescent="0.2">
      <c r="A18" s="2" t="str">
        <f ca="1">IFERROR(__xludf.DUMMYFUNCTION("""COMPUTED_VALUE"""),"Net Income Before Extra. Items")</f>
        <v>Net Income Before Extra. Items</v>
      </c>
      <c r="B18" s="3">
        <f ca="1">IFERROR(__xludf.DUMMYFUNCTION("""COMPUTED_VALUE"""),6072.4)</f>
        <v>6072.4</v>
      </c>
      <c r="C18" s="3">
        <f ca="1">IFERROR(__xludf.DUMMYFUNCTION("""COMPUTED_VALUE"""),5999.3)</f>
        <v>5999.3</v>
      </c>
      <c r="D18" s="3">
        <f ca="1">IFERROR(__xludf.DUMMYFUNCTION("""COMPUTED_VALUE"""),5892.3)</f>
        <v>5892.3</v>
      </c>
      <c r="E18" s="3">
        <f ca="1">IFERROR(__xludf.DUMMYFUNCTION("""COMPUTED_VALUE"""),4686.5)</f>
        <v>4686.5</v>
      </c>
      <c r="F18" s="3">
        <f ca="1">IFERROR(__xludf.DUMMYFUNCTION("""COMPUTED_VALUE"""),4529.3)</f>
        <v>4529.3</v>
      </c>
      <c r="G18" s="2"/>
    </row>
    <row r="19" spans="1:7" x14ac:dyDescent="0.2">
      <c r="A19" s="2" t="str">
        <f ca="1">IFERROR(__xludf.DUMMYFUNCTION("""COMPUTED_VALUE"""),"Total Extraordinary Items")</f>
        <v>Total Extraordinary Items</v>
      </c>
      <c r="B19" s="2">
        <f ca="1">IFERROR(__xludf.DUMMYFUNCTION("""COMPUTED_VALUE"""),-47)</f>
        <v>-47</v>
      </c>
      <c r="C19" s="2">
        <f ca="1">IFERROR(__xludf.DUMMYFUNCTION("""COMPUTED_VALUE"""),-75)</f>
        <v>-75</v>
      </c>
      <c r="D19" s="2">
        <f ca="1">IFERROR(__xludf.DUMMYFUNCTION("""COMPUTED_VALUE"""),-700)</f>
        <v>-700</v>
      </c>
      <c r="E19" s="2" t="str">
        <f ca="1">IFERROR(__xludf.DUMMYFUNCTION("""COMPUTED_VALUE"""),"--")</f>
        <v>--</v>
      </c>
      <c r="F19" s="2" t="str">
        <f ca="1">IFERROR(__xludf.DUMMYFUNCTION("""COMPUTED_VALUE"""),"--")</f>
        <v>--</v>
      </c>
      <c r="G19" s="2"/>
    </row>
    <row r="20" spans="1:7" x14ac:dyDescent="0.2">
      <c r="A20" s="2" t="str">
        <f ca="1">IFERROR(__xludf.DUMMYFUNCTION("""COMPUTED_VALUE"""),"Net Income")</f>
        <v>Net Income</v>
      </c>
      <c r="B20" s="3">
        <f ca="1">IFERROR(__xludf.DUMMYFUNCTION("""COMPUTED_VALUE"""),6025.4)</f>
        <v>6025.4</v>
      </c>
      <c r="C20" s="3">
        <f ca="1">IFERROR(__xludf.DUMMYFUNCTION("""COMPUTED_VALUE"""),5924.3)</f>
        <v>5924.3</v>
      </c>
      <c r="D20" s="3">
        <f ca="1">IFERROR(__xludf.DUMMYFUNCTION("""COMPUTED_VALUE"""),5192.3)</f>
        <v>5192.3</v>
      </c>
      <c r="E20" s="3">
        <f ca="1">IFERROR(__xludf.DUMMYFUNCTION("""COMPUTED_VALUE"""),4686.5)</f>
        <v>4686.5</v>
      </c>
      <c r="F20" s="3">
        <f ca="1">IFERROR(__xludf.DUMMYFUNCTION("""COMPUTED_VALUE"""),4529.3)</f>
        <v>4529.3</v>
      </c>
      <c r="G20" s="2"/>
    </row>
    <row r="21" spans="1:7" x14ac:dyDescent="0.2">
      <c r="A21" s="2" t="str">
        <f ca="1">IFERROR(__xludf.DUMMYFUNCTION("""COMPUTED_VALUE"""),"Income Available to Com Excl ExtraOrd")</f>
        <v>Income Available to Com Excl ExtraOrd</v>
      </c>
      <c r="B21" s="3">
        <f ca="1">IFERROR(__xludf.DUMMYFUNCTION("""COMPUTED_VALUE"""),6072.4)</f>
        <v>6072.4</v>
      </c>
      <c r="C21" s="3">
        <f ca="1">IFERROR(__xludf.DUMMYFUNCTION("""COMPUTED_VALUE"""),5999.3)</f>
        <v>5999.3</v>
      </c>
      <c r="D21" s="3">
        <f ca="1">IFERROR(__xludf.DUMMYFUNCTION("""COMPUTED_VALUE"""),5892.3)</f>
        <v>5892.3</v>
      </c>
      <c r="E21" s="3">
        <f ca="1">IFERROR(__xludf.DUMMYFUNCTION("""COMPUTED_VALUE"""),4686.5)</f>
        <v>4686.5</v>
      </c>
      <c r="F21" s="3">
        <f ca="1">IFERROR(__xludf.DUMMYFUNCTION("""COMPUTED_VALUE"""),4529.3)</f>
        <v>4529.3</v>
      </c>
      <c r="G21" s="2"/>
    </row>
    <row r="22" spans="1:7" x14ac:dyDescent="0.2">
      <c r="A22" s="2" t="str">
        <f ca="1">IFERROR(__xludf.DUMMYFUNCTION("""COMPUTED_VALUE"""),"Income Available to Com Incl ExtraOrd")</f>
        <v>Income Available to Com Incl ExtraOrd</v>
      </c>
      <c r="B22" s="3">
        <f ca="1">IFERROR(__xludf.DUMMYFUNCTION("""COMPUTED_VALUE"""),6025.4)</f>
        <v>6025.4</v>
      </c>
      <c r="C22" s="3">
        <f ca="1">IFERROR(__xludf.DUMMYFUNCTION("""COMPUTED_VALUE"""),5924.3)</f>
        <v>5924.3</v>
      </c>
      <c r="D22" s="3">
        <f ca="1">IFERROR(__xludf.DUMMYFUNCTION("""COMPUTED_VALUE"""),5192.3)</f>
        <v>5192.3</v>
      </c>
      <c r="E22" s="3">
        <f ca="1">IFERROR(__xludf.DUMMYFUNCTION("""COMPUTED_VALUE"""),4686.5)</f>
        <v>4686.5</v>
      </c>
      <c r="F22" s="3">
        <f ca="1">IFERROR(__xludf.DUMMYFUNCTION("""COMPUTED_VALUE"""),4529.3)</f>
        <v>4529.3</v>
      </c>
      <c r="G22" s="2"/>
    </row>
    <row r="23" spans="1:7" x14ac:dyDescent="0.2">
      <c r="A23" s="2" t="str">
        <f ca="1">IFERROR(__xludf.DUMMYFUNCTION("""COMPUTED_VALUE"""),"Diluted Net Income")</f>
        <v>Diluted Net Income</v>
      </c>
      <c r="B23" s="3">
        <f ca="1">IFERROR(__xludf.DUMMYFUNCTION("""COMPUTED_VALUE"""),6025.4)</f>
        <v>6025.4</v>
      </c>
      <c r="C23" s="3">
        <f ca="1">IFERROR(__xludf.DUMMYFUNCTION("""COMPUTED_VALUE"""),5924.3)</f>
        <v>5924.3</v>
      </c>
      <c r="D23" s="3">
        <f ca="1">IFERROR(__xludf.DUMMYFUNCTION("""COMPUTED_VALUE"""),5192.3)</f>
        <v>5192.3</v>
      </c>
      <c r="E23" s="3">
        <f ca="1">IFERROR(__xludf.DUMMYFUNCTION("""COMPUTED_VALUE"""),4686.5)</f>
        <v>4686.5</v>
      </c>
      <c r="F23" s="3">
        <f ca="1">IFERROR(__xludf.DUMMYFUNCTION("""COMPUTED_VALUE"""),4529.3)</f>
        <v>4529.3</v>
      </c>
      <c r="G23" s="2"/>
    </row>
    <row r="24" spans="1:7" x14ac:dyDescent="0.2">
      <c r="A24" s="2" t="str">
        <f ca="1">IFERROR(__xludf.DUMMYFUNCTION("""COMPUTED_VALUE"""),"Diluted Weighted Average Shares")</f>
        <v>Diluted Weighted Average Shares</v>
      </c>
      <c r="B24" s="2">
        <f ca="1">IFERROR(__xludf.DUMMYFUNCTION("""COMPUTED_VALUE"""),764.9)</f>
        <v>764.9</v>
      </c>
      <c r="C24" s="2">
        <f ca="1">IFERROR(__xludf.DUMMYFUNCTION("""COMPUTED_VALUE"""),785.6)</f>
        <v>785.6</v>
      </c>
      <c r="D24" s="2">
        <f ca="1">IFERROR(__xludf.DUMMYFUNCTION("""COMPUTED_VALUE"""),815.5)</f>
        <v>815.5</v>
      </c>
      <c r="E24" s="2">
        <f ca="1">IFERROR(__xludf.DUMMYFUNCTION("""COMPUTED_VALUE"""),861.2)</f>
        <v>861.2</v>
      </c>
      <c r="F24" s="2">
        <f ca="1">IFERROR(__xludf.DUMMYFUNCTION("""COMPUTED_VALUE"""),944.6)</f>
        <v>944.6</v>
      </c>
      <c r="G24" s="2"/>
    </row>
    <row r="25" spans="1:7" x14ac:dyDescent="0.2">
      <c r="A25" s="2" t="str">
        <f ca="1">IFERROR(__xludf.DUMMYFUNCTION("""COMPUTED_VALUE"""),"Diluted EPS Excluding ExtraOrd Items")</f>
        <v>Diluted EPS Excluding ExtraOrd Items</v>
      </c>
      <c r="B25" s="2">
        <f ca="1">IFERROR(__xludf.DUMMYFUNCTION("""COMPUTED_VALUE"""),7.94)</f>
        <v>7.94</v>
      </c>
      <c r="C25" s="2">
        <f ca="1">IFERROR(__xludf.DUMMYFUNCTION("""COMPUTED_VALUE"""),7.64)</f>
        <v>7.64</v>
      </c>
      <c r="D25" s="2">
        <f ca="1">IFERROR(__xludf.DUMMYFUNCTION("""COMPUTED_VALUE"""),7.23)</f>
        <v>7.23</v>
      </c>
      <c r="E25" s="2">
        <f ca="1">IFERROR(__xludf.DUMMYFUNCTION("""COMPUTED_VALUE"""),5.44)</f>
        <v>5.44</v>
      </c>
      <c r="F25" s="2">
        <f ca="1">IFERROR(__xludf.DUMMYFUNCTION("""COMPUTED_VALUE"""),4.79)</f>
        <v>4.79</v>
      </c>
      <c r="G25" s="2"/>
    </row>
    <row r="26" spans="1:7" x14ac:dyDescent="0.2">
      <c r="A26" s="2" t="str">
        <f ca="1">IFERROR(__xludf.DUMMYFUNCTION("""COMPUTED_VALUE"""),"DPS - Common Stock Primary Issue")</f>
        <v>DPS - Common Stock Primary Issue</v>
      </c>
      <c r="B26" s="2">
        <f ca="1">IFERROR(__xludf.DUMMYFUNCTION("""COMPUTED_VALUE"""),4.73)</f>
        <v>4.7300000000000004</v>
      </c>
      <c r="C26" s="2">
        <f ca="1">IFERROR(__xludf.DUMMYFUNCTION("""COMPUTED_VALUE"""),4.19)</f>
        <v>4.1900000000000004</v>
      </c>
      <c r="D26" s="2">
        <f ca="1">IFERROR(__xludf.DUMMYFUNCTION("""COMPUTED_VALUE"""),3.83)</f>
        <v>3.83</v>
      </c>
      <c r="E26" s="2">
        <f ca="1">IFERROR(__xludf.DUMMYFUNCTION("""COMPUTED_VALUE"""),3.61)</f>
        <v>3.61</v>
      </c>
      <c r="F26" s="2">
        <f ca="1">IFERROR(__xludf.DUMMYFUNCTION("""COMPUTED_VALUE"""),3.44)</f>
        <v>3.44</v>
      </c>
      <c r="G26" s="2"/>
    </row>
    <row r="27" spans="1:7" x14ac:dyDescent="0.2">
      <c r="A27" s="2" t="str">
        <f ca="1">IFERROR(__xludf.DUMMYFUNCTION("""COMPUTED_VALUE"""),"Diluted Normalized EPS")</f>
        <v>Diluted Normalized EPS</v>
      </c>
      <c r="B27" s="2">
        <f ca="1">IFERROR(__xludf.DUMMYFUNCTION("""COMPUTED_VALUE"""),7.91)</f>
        <v>7.91</v>
      </c>
      <c r="C27" s="2">
        <f ca="1">IFERROR(__xludf.DUMMYFUNCTION("""COMPUTED_VALUE"""),7.55)</f>
        <v>7.55</v>
      </c>
      <c r="D27" s="2">
        <f ca="1">IFERROR(__xludf.DUMMYFUNCTION("""COMPUTED_VALUE"""),6.4)</f>
        <v>6.4</v>
      </c>
      <c r="E27" s="2">
        <f ca="1">IFERROR(__xludf.DUMMYFUNCTION("""COMPUTED_VALUE"""),5.55)</f>
        <v>5.55</v>
      </c>
      <c r="F27" s="2">
        <f ca="1">IFERROR(__xludf.DUMMYFUNCTION("""COMPUTED_VALUE"""),4.84)</f>
        <v>4.84</v>
      </c>
      <c r="G27" s="2"/>
    </row>
  </sheetData>
  <hyperlinks>
    <hyperlink ref="A1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4"/>
  <sheetViews>
    <sheetView workbookViewId="0"/>
  </sheetViews>
  <sheetFormatPr baseColWidth="10" defaultColWidth="14.5" defaultRowHeight="15.75" customHeight="1" x14ac:dyDescent="0.15"/>
  <cols>
    <col min="6" max="6" width="15.6640625" customWidth="1"/>
  </cols>
  <sheetData>
    <row r="1" spans="1:9" x14ac:dyDescent="0.2">
      <c r="A1" s="13" t="s">
        <v>23</v>
      </c>
      <c r="B1" s="13" t="s">
        <v>24</v>
      </c>
      <c r="I1" s="14">
        <f ca="1">'income statement MCD'!B17/(('balance sheet MCD'!B37+'balance sheet MCD'!C37)/2)</f>
        <v>-0.83938432616613801</v>
      </c>
    </row>
    <row r="2" spans="1:9" x14ac:dyDescent="0.2">
      <c r="A2" s="13" t="s">
        <v>35</v>
      </c>
      <c r="B2" s="13" t="s">
        <v>26</v>
      </c>
      <c r="I2" s="2">
        <f ca="1">'balance sheet MCD'!B27/'balance sheet MCD'!B18</f>
        <v>0.71935644106182162</v>
      </c>
    </row>
    <row r="3" spans="1:9" x14ac:dyDescent="0.2">
      <c r="A3" s="13" t="s">
        <v>36</v>
      </c>
      <c r="B3" s="13" t="s">
        <v>37</v>
      </c>
      <c r="I3" s="2">
        <f ca="1">('balance sheet MCD'!B11-'balance sheet MCD'!B8-'balance sheet MCD'!B9)/'balance sheet MCD'!B24</f>
        <v>0.86901408450704232</v>
      </c>
    </row>
    <row r="4" spans="1:9" x14ac:dyDescent="0.2">
      <c r="A4" s="13" t="s">
        <v>38</v>
      </c>
      <c r="B4" s="13" t="s">
        <v>39</v>
      </c>
      <c r="I4" s="2">
        <f ca="1">'income statement MCD'!B4/(('balance sheet MCD'!B18+'balance sheet MCD'!C18)/2)</f>
        <v>0.52480017927840439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baseColWidth="10" defaultColWidth="14.5" defaultRowHeight="15.75" customHeight="1" x14ac:dyDescent="0.15"/>
  <cols>
    <col min="1" max="1" width="37" customWidth="1"/>
    <col min="2" max="6" width="11.6640625" customWidth="1"/>
    <col min="7" max="7" width="8.1640625" customWidth="1"/>
    <col min="8" max="26" width="8.6640625" customWidth="1"/>
  </cols>
  <sheetData>
    <row r="1" spans="1:7" ht="14.25" customHeight="1" x14ac:dyDescent="0.2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G1" s="15" t="s">
        <v>46</v>
      </c>
    </row>
    <row r="2" spans="1:7" ht="14.25" customHeight="1" x14ac:dyDescent="0.2">
      <c r="A2" s="16" t="s">
        <v>47</v>
      </c>
      <c r="B2" s="15">
        <v>1533</v>
      </c>
      <c r="C2" s="15">
        <v>913</v>
      </c>
      <c r="D2" s="15">
        <v>1097.4000000000001</v>
      </c>
      <c r="E2" s="16" t="s">
        <v>48</v>
      </c>
      <c r="F2" s="16" t="s">
        <v>49</v>
      </c>
      <c r="G2" s="16" t="s">
        <v>50</v>
      </c>
    </row>
    <row r="3" spans="1:7" ht="14.25" customHeight="1" x14ac:dyDescent="0.2">
      <c r="A3" s="16" t="s">
        <v>51</v>
      </c>
      <c r="B3" s="15">
        <v>1533</v>
      </c>
      <c r="C3" s="15">
        <v>913</v>
      </c>
      <c r="D3" s="15">
        <v>1097.4000000000001</v>
      </c>
      <c r="E3" s="16" t="s">
        <v>48</v>
      </c>
      <c r="F3" s="16" t="s">
        <v>49</v>
      </c>
      <c r="G3" s="16" t="s">
        <v>50</v>
      </c>
    </row>
    <row r="4" spans="1:7" ht="14.25" customHeight="1" x14ac:dyDescent="0.2">
      <c r="A4" s="16" t="s">
        <v>52</v>
      </c>
      <c r="B4" s="15">
        <v>527</v>
      </c>
      <c r="C4" s="15">
        <v>452</v>
      </c>
      <c r="D4" s="15">
        <v>488.8</v>
      </c>
      <c r="E4" s="16" t="s">
        <v>53</v>
      </c>
      <c r="F4" s="16" t="s">
        <v>54</v>
      </c>
      <c r="G4" s="16" t="s">
        <v>50</v>
      </c>
    </row>
    <row r="5" spans="1:7" ht="14.25" customHeight="1" x14ac:dyDescent="0.2">
      <c r="A5" s="16" t="s">
        <v>55</v>
      </c>
      <c r="B5" s="15">
        <v>527</v>
      </c>
      <c r="C5" s="15">
        <v>452</v>
      </c>
      <c r="D5" s="15">
        <v>488.8</v>
      </c>
      <c r="E5" s="16" t="s">
        <v>53</v>
      </c>
      <c r="F5" s="16" t="s">
        <v>56</v>
      </c>
      <c r="G5" s="16" t="s">
        <v>50</v>
      </c>
    </row>
    <row r="6" spans="1:7" ht="14.25" customHeight="1" x14ac:dyDescent="0.2">
      <c r="A6" s="16" t="s">
        <v>57</v>
      </c>
      <c r="B6" s="15">
        <v>84</v>
      </c>
      <c r="C6" s="15">
        <v>75</v>
      </c>
      <c r="D6" s="15">
        <v>78</v>
      </c>
      <c r="E6" s="16" t="s">
        <v>58</v>
      </c>
      <c r="F6" s="16" t="s">
        <v>59</v>
      </c>
      <c r="G6" s="16" t="s">
        <v>50</v>
      </c>
    </row>
    <row r="7" spans="1:7" ht="14.25" customHeight="1" x14ac:dyDescent="0.2">
      <c r="A7" s="16" t="s">
        <v>60</v>
      </c>
      <c r="B7" s="15">
        <v>52</v>
      </c>
      <c r="C7" s="15">
        <v>53</v>
      </c>
      <c r="D7" s="15">
        <v>85.4</v>
      </c>
      <c r="E7" s="16" t="s">
        <v>61</v>
      </c>
      <c r="F7" s="16" t="s">
        <v>62</v>
      </c>
      <c r="G7" s="16" t="s">
        <v>50</v>
      </c>
    </row>
    <row r="8" spans="1:7" ht="14.25" customHeight="1" x14ac:dyDescent="0.2">
      <c r="A8" s="16" t="s">
        <v>63</v>
      </c>
      <c r="B8" s="15">
        <v>0</v>
      </c>
      <c r="C8" s="15">
        <v>7</v>
      </c>
      <c r="D8" s="15">
        <v>57.7</v>
      </c>
      <c r="E8" s="16" t="s">
        <v>64</v>
      </c>
      <c r="F8" s="16" t="s">
        <v>65</v>
      </c>
      <c r="G8" s="16" t="s">
        <v>50</v>
      </c>
    </row>
    <row r="9" spans="1:7" ht="14.25" customHeight="1" x14ac:dyDescent="0.2">
      <c r="A9" s="16" t="s">
        <v>66</v>
      </c>
      <c r="B9" s="15">
        <v>2196</v>
      </c>
      <c r="C9" s="15">
        <v>1500</v>
      </c>
      <c r="D9" s="15">
        <v>1749.6</v>
      </c>
      <c r="E9" s="16" t="s">
        <v>67</v>
      </c>
      <c r="F9" s="16" t="s">
        <v>68</v>
      </c>
      <c r="G9" s="16" t="s">
        <v>50</v>
      </c>
    </row>
    <row r="10" spans="1:7" ht="14.25" customHeight="1" x14ac:dyDescent="0.2">
      <c r="A10" s="16" t="s">
        <v>69</v>
      </c>
      <c r="B10" s="15">
        <v>3929</v>
      </c>
      <c r="C10" s="15">
        <v>2700</v>
      </c>
      <c r="D10" s="15">
        <v>2756.6</v>
      </c>
      <c r="E10" s="16" t="s">
        <v>70</v>
      </c>
      <c r="F10" s="16" t="s">
        <v>71</v>
      </c>
      <c r="G10" s="16" t="s">
        <v>50</v>
      </c>
    </row>
    <row r="11" spans="1:7" ht="14.25" customHeight="1" x14ac:dyDescent="0.2">
      <c r="A11" s="16" t="s">
        <v>72</v>
      </c>
      <c r="B11" s="15">
        <v>-746</v>
      </c>
      <c r="C11" s="15">
        <v>-704</v>
      </c>
      <c r="D11" s="15">
        <v>-623.29999999999995</v>
      </c>
      <c r="E11" s="16" t="s">
        <v>73</v>
      </c>
      <c r="F11" s="16" t="s">
        <v>74</v>
      </c>
      <c r="G11" s="16" t="s">
        <v>50</v>
      </c>
    </row>
    <row r="12" spans="1:7" ht="14.25" customHeight="1" x14ac:dyDescent="0.2">
      <c r="A12" s="16" t="s">
        <v>75</v>
      </c>
      <c r="B12" s="15">
        <v>3183</v>
      </c>
      <c r="C12" s="15">
        <v>1996</v>
      </c>
      <c r="D12" s="15">
        <v>2133.3000000000002</v>
      </c>
      <c r="E12" s="16" t="s">
        <v>76</v>
      </c>
      <c r="F12" s="16" t="s">
        <v>77</v>
      </c>
      <c r="G12" s="16" t="s">
        <v>50</v>
      </c>
    </row>
    <row r="13" spans="1:7" ht="14.25" customHeight="1" x14ac:dyDescent="0.2">
      <c r="A13" s="16" t="s">
        <v>78</v>
      </c>
      <c r="B13" s="15">
        <v>5651</v>
      </c>
      <c r="C13" s="15">
        <v>5486</v>
      </c>
      <c r="D13" s="15">
        <v>5782.3</v>
      </c>
      <c r="E13" s="16" t="s">
        <v>79</v>
      </c>
      <c r="F13" s="16" t="s">
        <v>80</v>
      </c>
      <c r="G13" s="16" t="s">
        <v>50</v>
      </c>
    </row>
    <row r="14" spans="1:7" ht="14.25" customHeight="1" x14ac:dyDescent="0.2">
      <c r="A14" s="16" t="s">
        <v>81</v>
      </c>
      <c r="B14" s="15">
        <v>10563</v>
      </c>
      <c r="C14" s="15">
        <v>10463</v>
      </c>
      <c r="D14" s="15">
        <v>11062.2</v>
      </c>
      <c r="E14" s="16" t="s">
        <v>82</v>
      </c>
      <c r="F14" s="16" t="s">
        <v>83</v>
      </c>
      <c r="G14" s="16" t="s">
        <v>50</v>
      </c>
    </row>
    <row r="15" spans="1:7" ht="14.25" customHeight="1" x14ac:dyDescent="0.2">
      <c r="A15" s="16" t="s">
        <v>84</v>
      </c>
      <c r="B15" s="15">
        <v>48</v>
      </c>
      <c r="C15" s="15">
        <v>54</v>
      </c>
      <c r="D15" s="15">
        <v>71.3</v>
      </c>
      <c r="E15" s="16" t="s">
        <v>85</v>
      </c>
      <c r="F15" s="16" t="s">
        <v>86</v>
      </c>
      <c r="G15" s="16" t="s">
        <v>50</v>
      </c>
    </row>
    <row r="16" spans="1:7" ht="14.25" customHeight="1" x14ac:dyDescent="0.2">
      <c r="A16" s="16" t="s">
        <v>87</v>
      </c>
      <c r="B16" s="15">
        <v>719</v>
      </c>
      <c r="C16" s="15">
        <v>642</v>
      </c>
      <c r="D16" s="15">
        <v>424.8</v>
      </c>
      <c r="E16" s="16" t="s">
        <v>88</v>
      </c>
      <c r="F16" s="16" t="s">
        <v>89</v>
      </c>
      <c r="G16" s="16" t="s">
        <v>50</v>
      </c>
    </row>
    <row r="17" spans="1:7" ht="14.25" customHeight="1" x14ac:dyDescent="0.2">
      <c r="A17" s="16" t="s">
        <v>90</v>
      </c>
      <c r="B17" s="15">
        <v>22360</v>
      </c>
      <c r="C17" s="15">
        <v>20141</v>
      </c>
      <c r="D17" s="15">
        <v>21223.5</v>
      </c>
      <c r="E17" s="16" t="s">
        <v>91</v>
      </c>
      <c r="F17" s="16" t="s">
        <v>92</v>
      </c>
      <c r="G17" s="16" t="s">
        <v>50</v>
      </c>
    </row>
    <row r="18" spans="1:7" ht="14.25" customHeight="1" x14ac:dyDescent="0.2">
      <c r="A18" s="16" t="s">
        <v>93</v>
      </c>
      <c r="B18" s="15">
        <v>644</v>
      </c>
      <c r="C18" s="15">
        <v>513</v>
      </c>
      <c r="D18" s="15">
        <v>496.2</v>
      </c>
      <c r="E18" s="16" t="s">
        <v>94</v>
      </c>
      <c r="F18" s="16" t="s">
        <v>95</v>
      </c>
      <c r="G18" s="16" t="s">
        <v>50</v>
      </c>
    </row>
    <row r="19" spans="1:7" ht="14.25" customHeight="1" x14ac:dyDescent="0.2">
      <c r="A19" s="16" t="s">
        <v>96</v>
      </c>
      <c r="B19" s="15">
        <v>515</v>
      </c>
      <c r="C19" s="15">
        <v>383</v>
      </c>
      <c r="D19" s="15">
        <v>703.1</v>
      </c>
      <c r="E19" s="16" t="s">
        <v>97</v>
      </c>
      <c r="F19" s="16" t="s">
        <v>98</v>
      </c>
      <c r="G19" s="16" t="s">
        <v>50</v>
      </c>
    </row>
    <row r="20" spans="1:7" ht="14.25" customHeight="1" x14ac:dyDescent="0.2">
      <c r="A20" s="16" t="s">
        <v>99</v>
      </c>
      <c r="B20" s="15">
        <v>0</v>
      </c>
      <c r="C20" s="15">
        <v>0</v>
      </c>
      <c r="D20" s="15">
        <v>0</v>
      </c>
      <c r="E20" s="16" t="s">
        <v>100</v>
      </c>
      <c r="F20" s="16" t="s">
        <v>100</v>
      </c>
      <c r="G20" s="16" t="s">
        <v>50</v>
      </c>
    </row>
    <row r="21" spans="1:7" ht="14.25" customHeight="1" x14ac:dyDescent="0.2">
      <c r="A21" s="16" t="s">
        <v>101</v>
      </c>
      <c r="B21" s="15">
        <v>101</v>
      </c>
      <c r="C21" s="15">
        <v>91</v>
      </c>
      <c r="D21" s="15">
        <v>78.2</v>
      </c>
      <c r="E21" s="16" t="s">
        <v>102</v>
      </c>
      <c r="F21" s="16" t="s">
        <v>103</v>
      </c>
      <c r="G21" s="16" t="s">
        <v>50</v>
      </c>
    </row>
    <row r="22" spans="1:7" ht="14.25" customHeight="1" x14ac:dyDescent="0.2">
      <c r="A22" s="16" t="s">
        <v>104</v>
      </c>
      <c r="B22" s="15">
        <v>443</v>
      </c>
      <c r="C22" s="15">
        <v>421</v>
      </c>
      <c r="D22" s="15">
        <v>377.5</v>
      </c>
      <c r="E22" s="16" t="s">
        <v>105</v>
      </c>
      <c r="F22" s="16" t="s">
        <v>106</v>
      </c>
      <c r="G22" s="16" t="s">
        <v>50</v>
      </c>
    </row>
    <row r="23" spans="1:7" ht="14.25" customHeight="1" x14ac:dyDescent="0.2">
      <c r="A23" s="16" t="s">
        <v>107</v>
      </c>
      <c r="B23" s="15">
        <v>1703</v>
      </c>
      <c r="C23" s="15">
        <v>1408</v>
      </c>
      <c r="D23" s="15">
        <v>1655</v>
      </c>
      <c r="E23" s="16" t="s">
        <v>108</v>
      </c>
      <c r="F23" s="16" t="s">
        <v>109</v>
      </c>
      <c r="G23" s="16" t="s">
        <v>50</v>
      </c>
    </row>
    <row r="24" spans="1:7" ht="14.25" customHeight="1" x14ac:dyDescent="0.2">
      <c r="A24" s="16" t="s">
        <v>110</v>
      </c>
      <c r="B24" s="15">
        <v>11759</v>
      </c>
      <c r="C24" s="15">
        <v>11823</v>
      </c>
      <c r="D24" s="15">
        <v>11800.9</v>
      </c>
      <c r="E24" s="16" t="s">
        <v>111</v>
      </c>
      <c r="F24" s="16" t="s">
        <v>112</v>
      </c>
      <c r="G24" s="16" t="s">
        <v>50</v>
      </c>
    </row>
    <row r="25" spans="1:7" ht="14.25" customHeight="1" x14ac:dyDescent="0.2">
      <c r="A25" s="16" t="s">
        <v>113</v>
      </c>
      <c r="B25" s="15">
        <v>288</v>
      </c>
      <c r="C25" s="15">
        <v>226</v>
      </c>
      <c r="D25" s="15">
        <v>243.8</v>
      </c>
      <c r="E25" s="16" t="s">
        <v>114</v>
      </c>
      <c r="F25" s="16" t="s">
        <v>115</v>
      </c>
      <c r="G25" s="16" t="s">
        <v>50</v>
      </c>
    </row>
    <row r="26" spans="1:7" ht="14.25" customHeight="1" x14ac:dyDescent="0.2">
      <c r="A26" s="16" t="s">
        <v>116</v>
      </c>
      <c r="B26" s="15">
        <v>12047</v>
      </c>
      <c r="C26" s="15">
        <v>12049</v>
      </c>
      <c r="D26" s="15">
        <v>12044.7</v>
      </c>
      <c r="E26" s="16" t="s">
        <v>117</v>
      </c>
      <c r="F26" s="16" t="s">
        <v>118</v>
      </c>
      <c r="G26" s="16" t="s">
        <v>50</v>
      </c>
    </row>
    <row r="27" spans="1:7" ht="14.25" customHeight="1" x14ac:dyDescent="0.2">
      <c r="A27" s="16" t="s">
        <v>119</v>
      </c>
      <c r="B27" s="15">
        <v>12148</v>
      </c>
      <c r="C27" s="15">
        <v>12140</v>
      </c>
      <c r="D27" s="15">
        <v>12122.9</v>
      </c>
      <c r="E27" s="16" t="s">
        <v>120</v>
      </c>
      <c r="F27" s="16" t="s">
        <v>121</v>
      </c>
      <c r="G27" s="16" t="s">
        <v>50</v>
      </c>
    </row>
    <row r="28" spans="1:7" ht="14.25" customHeight="1" x14ac:dyDescent="0.2">
      <c r="A28" s="16" t="s">
        <v>122</v>
      </c>
      <c r="B28" s="15">
        <v>1564</v>
      </c>
      <c r="C28" s="15">
        <v>1519</v>
      </c>
      <c r="D28" s="15">
        <v>1508.1</v>
      </c>
      <c r="E28" s="16" t="s">
        <v>123</v>
      </c>
      <c r="F28" s="16" t="s">
        <v>124</v>
      </c>
      <c r="G28" s="16" t="s">
        <v>50</v>
      </c>
    </row>
    <row r="29" spans="1:7" ht="14.25" customHeight="1" x14ac:dyDescent="0.2">
      <c r="A29" s="16" t="s">
        <v>125</v>
      </c>
      <c r="B29" s="15">
        <v>1769</v>
      </c>
      <c r="C29" s="15">
        <v>2007</v>
      </c>
      <c r="D29" s="15">
        <v>2334.1999999999998</v>
      </c>
      <c r="E29" s="16" t="s">
        <v>126</v>
      </c>
      <c r="F29" s="16" t="s">
        <v>127</v>
      </c>
      <c r="G29" s="16" t="s">
        <v>50</v>
      </c>
    </row>
    <row r="30" spans="1:7" ht="14.25" customHeight="1" x14ac:dyDescent="0.2">
      <c r="A30" s="16" t="s">
        <v>128</v>
      </c>
      <c r="B30" s="15">
        <v>2787</v>
      </c>
      <c r="C30" s="15">
        <v>1547</v>
      </c>
      <c r="D30" s="15">
        <v>1455.1</v>
      </c>
      <c r="E30" s="16" t="s">
        <v>129</v>
      </c>
      <c r="F30" s="16" t="s">
        <v>130</v>
      </c>
      <c r="G30" s="16" t="s">
        <v>50</v>
      </c>
    </row>
    <row r="31" spans="1:7" ht="14.25" customHeight="1" x14ac:dyDescent="0.2">
      <c r="A31" s="16" t="s">
        <v>131</v>
      </c>
      <c r="B31" s="15">
        <v>19870</v>
      </c>
      <c r="C31" s="15">
        <v>18530</v>
      </c>
      <c r="D31" s="15">
        <v>18997.099999999999</v>
      </c>
      <c r="E31" s="16" t="s">
        <v>132</v>
      </c>
      <c r="F31" s="16" t="s">
        <v>133</v>
      </c>
      <c r="G31" s="16" t="s">
        <v>50</v>
      </c>
    </row>
    <row r="32" spans="1:7" ht="14.25" customHeight="1" x14ac:dyDescent="0.2">
      <c r="A32" s="16" t="s">
        <v>134</v>
      </c>
      <c r="B32" s="15">
        <v>2478</v>
      </c>
      <c r="C32" s="15">
        <v>1737</v>
      </c>
      <c r="D32" s="15">
        <v>2051.5</v>
      </c>
      <c r="E32" s="16" t="s">
        <v>135</v>
      </c>
      <c r="F32" s="16" t="s">
        <v>136</v>
      </c>
      <c r="G32" s="16" t="s">
        <v>50</v>
      </c>
    </row>
    <row r="33" spans="1:7" ht="14.25" customHeight="1" x14ac:dyDescent="0.2">
      <c r="A33" s="16" t="s">
        <v>137</v>
      </c>
      <c r="B33" s="15">
        <v>775</v>
      </c>
      <c r="C33" s="15">
        <v>674</v>
      </c>
      <c r="D33" s="15">
        <v>650.6</v>
      </c>
      <c r="E33" s="16" t="s">
        <v>138</v>
      </c>
      <c r="F33" s="16" t="s">
        <v>139</v>
      </c>
      <c r="G33" s="16" t="s">
        <v>50</v>
      </c>
    </row>
    <row r="34" spans="1:7" ht="14.25" customHeight="1" x14ac:dyDescent="0.2">
      <c r="A34" s="16" t="s">
        <v>140</v>
      </c>
      <c r="B34" s="15">
        <v>-763</v>
      </c>
      <c r="C34" s="15">
        <v>-800</v>
      </c>
      <c r="D34" s="15">
        <v>-475.7</v>
      </c>
      <c r="E34" s="16" t="s">
        <v>141</v>
      </c>
      <c r="F34" s="16" t="s">
        <v>142</v>
      </c>
      <c r="G34" s="16" t="s">
        <v>50</v>
      </c>
    </row>
    <row r="35" spans="1:7" ht="14.25" customHeight="1" x14ac:dyDescent="0.2">
      <c r="A35" s="16" t="s">
        <v>143</v>
      </c>
      <c r="B35" s="15">
        <v>2490</v>
      </c>
      <c r="C35" s="15">
        <v>1611</v>
      </c>
      <c r="D35" s="15">
        <v>2226.4</v>
      </c>
      <c r="E35" s="16" t="s">
        <v>144</v>
      </c>
      <c r="F35" s="16" t="s">
        <v>145</v>
      </c>
      <c r="G35" s="16" t="s">
        <v>50</v>
      </c>
    </row>
    <row r="36" spans="1:7" ht="14.25" customHeight="1" x14ac:dyDescent="0.2">
      <c r="A36" s="16" t="s">
        <v>146</v>
      </c>
      <c r="B36" s="15">
        <v>22360</v>
      </c>
      <c r="C36" s="15">
        <v>20141</v>
      </c>
      <c r="D36" s="15">
        <v>21223.5</v>
      </c>
      <c r="E36" s="16" t="s">
        <v>91</v>
      </c>
      <c r="F36" s="16" t="s">
        <v>92</v>
      </c>
      <c r="G36" s="16" t="s">
        <v>50</v>
      </c>
    </row>
    <row r="37" spans="1:7" ht="14.25" customHeight="1" x14ac:dyDescent="0.2">
      <c r="A37" s="16" t="s">
        <v>147</v>
      </c>
      <c r="B37" s="15">
        <v>298.27999999999997</v>
      </c>
      <c r="C37" s="15">
        <v>251.53</v>
      </c>
      <c r="D37" s="15">
        <v>243.9</v>
      </c>
      <c r="E37" s="16" t="s">
        <v>148</v>
      </c>
      <c r="F37" s="16" t="s">
        <v>149</v>
      </c>
      <c r="G37" s="16" t="s">
        <v>50</v>
      </c>
    </row>
    <row r="38" spans="1:7" ht="14.25" customHeight="1" x14ac:dyDescent="0.2">
      <c r="A38" s="16" t="s">
        <v>150</v>
      </c>
      <c r="B38" s="15">
        <v>-46.01</v>
      </c>
      <c r="C38" s="15">
        <v>-57</v>
      </c>
      <c r="D38" s="15">
        <v>-59.93</v>
      </c>
      <c r="E38" s="16" t="s">
        <v>151</v>
      </c>
      <c r="F38" s="16" t="s">
        <v>152</v>
      </c>
      <c r="G38" s="16" t="s">
        <v>50</v>
      </c>
    </row>
    <row r="39" spans="1:7" ht="14.25" customHeight="1" x14ac:dyDescent="0.2">
      <c r="A39" s="16" t="s">
        <v>153</v>
      </c>
      <c r="B39" s="15">
        <v>3297</v>
      </c>
      <c r="C39" s="15">
        <v>3297</v>
      </c>
      <c r="D39" s="15">
        <v>3297</v>
      </c>
      <c r="E39" s="16" t="s">
        <v>154</v>
      </c>
      <c r="F39" s="16" t="s">
        <v>154</v>
      </c>
      <c r="G39" s="16" t="s">
        <v>50</v>
      </c>
    </row>
    <row r="40" spans="1:7" ht="14.25" customHeight="1" x14ac:dyDescent="0.2">
      <c r="A40" s="16" t="s">
        <v>155</v>
      </c>
      <c r="B40" s="15">
        <v>68.53</v>
      </c>
      <c r="C40" s="15">
        <v>68.53</v>
      </c>
      <c r="D40" s="15">
        <v>68.53</v>
      </c>
      <c r="E40" s="16" t="s">
        <v>154</v>
      </c>
      <c r="F40" s="16" t="s">
        <v>154</v>
      </c>
      <c r="G40" s="16" t="s">
        <v>50</v>
      </c>
    </row>
    <row r="41" spans="1:7" ht="14.25" customHeight="1" x14ac:dyDescent="0.15"/>
    <row r="42" spans="1:7" ht="14.25" customHeight="1" x14ac:dyDescent="0.15"/>
    <row r="43" spans="1:7" ht="14.25" customHeight="1" x14ac:dyDescent="0.15"/>
    <row r="44" spans="1:7" ht="14.25" customHeight="1" x14ac:dyDescent="0.15"/>
    <row r="45" spans="1:7" ht="14.25" customHeight="1" x14ac:dyDescent="0.15"/>
    <row r="46" spans="1:7" ht="14.25" customHeight="1" x14ac:dyDescent="0.15"/>
    <row r="47" spans="1:7" ht="14.25" customHeight="1" x14ac:dyDescent="0.15"/>
    <row r="48" spans="1:7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baseColWidth="10" defaultColWidth="14.5" defaultRowHeight="15.75" customHeight="1" x14ac:dyDescent="0.15"/>
  <cols>
    <col min="1" max="1" width="33.33203125" customWidth="1"/>
    <col min="2" max="6" width="11.6640625" customWidth="1"/>
    <col min="7" max="7" width="8.1640625" customWidth="1"/>
    <col min="8" max="26" width="8.6640625" customWidth="1"/>
  </cols>
  <sheetData>
    <row r="1" spans="1:7" ht="14.25" customHeight="1" x14ac:dyDescent="0.2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G1" s="15" t="s">
        <v>46</v>
      </c>
    </row>
    <row r="2" spans="1:7" ht="14.25" customHeight="1" x14ac:dyDescent="0.2">
      <c r="A2" s="16" t="s">
        <v>156</v>
      </c>
      <c r="B2" s="15">
        <v>5603</v>
      </c>
      <c r="C2" s="15">
        <v>5357</v>
      </c>
      <c r="D2" s="16" t="s">
        <v>157</v>
      </c>
      <c r="E2" s="16" t="s">
        <v>158</v>
      </c>
      <c r="F2" s="16" t="s">
        <v>159</v>
      </c>
      <c r="G2" s="16" t="s">
        <v>50</v>
      </c>
    </row>
    <row r="3" spans="1:7" ht="14.25" customHeight="1" x14ac:dyDescent="0.2">
      <c r="A3" s="16" t="s">
        <v>160</v>
      </c>
      <c r="B3" s="15">
        <v>5603</v>
      </c>
      <c r="C3" s="15">
        <v>5357</v>
      </c>
      <c r="D3" s="16" t="s">
        <v>157</v>
      </c>
      <c r="E3" s="16" t="s">
        <v>158</v>
      </c>
      <c r="F3" s="16" t="s">
        <v>159</v>
      </c>
      <c r="G3" s="16" t="s">
        <v>50</v>
      </c>
    </row>
    <row r="4" spans="1:7" ht="14.25" customHeight="1" x14ac:dyDescent="0.2">
      <c r="A4" s="16" t="s">
        <v>161</v>
      </c>
      <c r="B4" s="15">
        <v>1813</v>
      </c>
      <c r="C4" s="15">
        <v>1818</v>
      </c>
      <c r="D4" s="16" t="s">
        <v>162</v>
      </c>
      <c r="E4" s="16" t="s">
        <v>163</v>
      </c>
      <c r="F4" s="16" t="s">
        <v>164</v>
      </c>
      <c r="G4" s="16" t="s">
        <v>50</v>
      </c>
    </row>
    <row r="5" spans="1:7" ht="14.25" customHeight="1" x14ac:dyDescent="0.2">
      <c r="A5" s="16" t="s">
        <v>165</v>
      </c>
      <c r="B5" s="15">
        <v>3790</v>
      </c>
      <c r="C5" s="15">
        <v>3539</v>
      </c>
      <c r="D5" s="16" t="s">
        <v>166</v>
      </c>
      <c r="E5" s="16" t="s">
        <v>167</v>
      </c>
      <c r="F5" s="16" t="s">
        <v>168</v>
      </c>
      <c r="G5" s="16" t="s">
        <v>50</v>
      </c>
    </row>
    <row r="6" spans="1:7" ht="14.25" customHeight="1" x14ac:dyDescent="0.2">
      <c r="A6" s="16" t="s">
        <v>169</v>
      </c>
      <c r="B6" s="15">
        <v>1748</v>
      </c>
      <c r="C6" s="15">
        <v>1561</v>
      </c>
      <c r="D6" s="16" t="s">
        <v>170</v>
      </c>
      <c r="E6" s="16" t="s">
        <v>171</v>
      </c>
      <c r="F6" s="16" t="s">
        <v>172</v>
      </c>
      <c r="G6" s="16" t="s">
        <v>50</v>
      </c>
    </row>
    <row r="7" spans="1:7" ht="14.25" customHeight="1" x14ac:dyDescent="0.2">
      <c r="A7" s="16" t="s">
        <v>173</v>
      </c>
      <c r="B7" s="15">
        <v>19</v>
      </c>
      <c r="C7" s="15">
        <v>20</v>
      </c>
      <c r="D7" s="16" t="s">
        <v>174</v>
      </c>
      <c r="E7" s="16" t="s">
        <v>175</v>
      </c>
      <c r="F7" s="16" t="s">
        <v>176</v>
      </c>
      <c r="G7" s="16" t="s">
        <v>50</v>
      </c>
    </row>
    <row r="8" spans="1:7" ht="14.25" customHeight="1" x14ac:dyDescent="0.2">
      <c r="A8" s="16" t="s">
        <v>177</v>
      </c>
      <c r="B8" s="15">
        <v>-26</v>
      </c>
      <c r="C8" s="15">
        <v>-55</v>
      </c>
      <c r="D8" s="16" t="s">
        <v>178</v>
      </c>
      <c r="E8" s="16" t="s">
        <v>179</v>
      </c>
      <c r="F8" s="16" t="s">
        <v>180</v>
      </c>
      <c r="G8" s="16" t="s">
        <v>50</v>
      </c>
    </row>
    <row r="9" spans="1:7" ht="14.25" customHeight="1" x14ac:dyDescent="0.2">
      <c r="A9" s="16" t="s">
        <v>181</v>
      </c>
      <c r="B9" s="15">
        <v>69</v>
      </c>
      <c r="C9" s="15">
        <v>85</v>
      </c>
      <c r="D9" s="16" t="s">
        <v>182</v>
      </c>
      <c r="E9" s="16" t="s">
        <v>183</v>
      </c>
      <c r="F9" s="16" t="s">
        <v>184</v>
      </c>
      <c r="G9" s="16" t="s">
        <v>50</v>
      </c>
    </row>
    <row r="10" spans="1:7" ht="14.25" customHeight="1" x14ac:dyDescent="0.2">
      <c r="A10" s="16" t="s">
        <v>185</v>
      </c>
      <c r="B10" s="15">
        <v>-4</v>
      </c>
      <c r="C10" s="15">
        <v>11</v>
      </c>
      <c r="D10" s="16" t="s">
        <v>186</v>
      </c>
      <c r="E10" s="16" t="s">
        <v>187</v>
      </c>
      <c r="F10" s="16" t="s">
        <v>188</v>
      </c>
      <c r="G10" s="16" t="s">
        <v>50</v>
      </c>
    </row>
    <row r="11" spans="1:7" ht="14.25" customHeight="1" x14ac:dyDescent="0.2">
      <c r="A11" s="16" t="s">
        <v>189</v>
      </c>
      <c r="B11" s="15">
        <v>3619</v>
      </c>
      <c r="C11" s="15">
        <v>3440</v>
      </c>
      <c r="D11" s="16" t="s">
        <v>190</v>
      </c>
      <c r="E11" s="16" t="s">
        <v>191</v>
      </c>
      <c r="F11" s="16" t="s">
        <v>192</v>
      </c>
      <c r="G11" s="16" t="s">
        <v>50</v>
      </c>
    </row>
    <row r="12" spans="1:7" ht="14.25" customHeight="1" x14ac:dyDescent="0.2">
      <c r="A12" s="16" t="s">
        <v>193</v>
      </c>
      <c r="B12" s="15">
        <v>1984</v>
      </c>
      <c r="C12" s="15">
        <v>1917</v>
      </c>
      <c r="D12" s="16" t="s">
        <v>194</v>
      </c>
      <c r="E12" s="16" t="s">
        <v>195</v>
      </c>
      <c r="F12" s="16" t="s">
        <v>196</v>
      </c>
      <c r="G12" s="16" t="s">
        <v>50</v>
      </c>
    </row>
    <row r="13" spans="1:7" ht="14.25" customHeight="1" x14ac:dyDescent="0.2">
      <c r="A13" s="16" t="s">
        <v>197</v>
      </c>
      <c r="B13" s="15">
        <v>-532</v>
      </c>
      <c r="C13" s="15">
        <v>-535</v>
      </c>
      <c r="D13" s="16" t="s">
        <v>198</v>
      </c>
      <c r="E13" s="16" t="s">
        <v>199</v>
      </c>
      <c r="F13" s="16" t="s">
        <v>200</v>
      </c>
      <c r="G13" s="16" t="s">
        <v>50</v>
      </c>
    </row>
    <row r="14" spans="1:7" ht="14.25" customHeight="1" x14ac:dyDescent="0.2">
      <c r="A14" s="16" t="s">
        <v>201</v>
      </c>
      <c r="B14" s="15">
        <v>1452</v>
      </c>
      <c r="C14" s="15">
        <v>1382</v>
      </c>
      <c r="D14" s="16" t="s">
        <v>202</v>
      </c>
      <c r="E14" s="16" t="s">
        <v>203</v>
      </c>
      <c r="F14" s="16" t="s">
        <v>204</v>
      </c>
      <c r="G14" s="16" t="s">
        <v>50</v>
      </c>
    </row>
    <row r="15" spans="1:7" ht="14.25" customHeight="1" x14ac:dyDescent="0.2">
      <c r="A15" s="16" t="s">
        <v>205</v>
      </c>
      <c r="B15" s="15">
        <v>341</v>
      </c>
      <c r="C15" s="15">
        <v>229</v>
      </c>
      <c r="D15" s="16" t="s">
        <v>206</v>
      </c>
      <c r="E15" s="16" t="s">
        <v>207</v>
      </c>
      <c r="F15" s="16" t="s">
        <v>208</v>
      </c>
      <c r="G15" s="16" t="s">
        <v>50</v>
      </c>
    </row>
    <row r="16" spans="1:7" ht="14.25" customHeight="1" x14ac:dyDescent="0.2">
      <c r="A16" s="16" t="s">
        <v>209</v>
      </c>
      <c r="B16" s="15">
        <v>1111</v>
      </c>
      <c r="C16" s="15">
        <v>1153</v>
      </c>
      <c r="D16" s="16" t="s">
        <v>210</v>
      </c>
      <c r="E16" s="16" t="s">
        <v>211</v>
      </c>
      <c r="F16" s="16" t="s">
        <v>212</v>
      </c>
      <c r="G16" s="16" t="s">
        <v>50</v>
      </c>
    </row>
    <row r="17" spans="1:7" ht="14.25" customHeight="1" x14ac:dyDescent="0.2">
      <c r="A17" s="16" t="s">
        <v>125</v>
      </c>
      <c r="B17" s="15">
        <v>-468</v>
      </c>
      <c r="C17" s="15">
        <v>-532</v>
      </c>
      <c r="D17" s="16" t="s">
        <v>213</v>
      </c>
      <c r="E17" s="16" t="s">
        <v>214</v>
      </c>
      <c r="F17" s="16" t="s">
        <v>215</v>
      </c>
      <c r="G17" s="16" t="s">
        <v>50</v>
      </c>
    </row>
    <row r="18" spans="1:7" ht="14.25" customHeight="1" x14ac:dyDescent="0.2">
      <c r="A18" s="16" t="s">
        <v>216</v>
      </c>
      <c r="B18" s="15">
        <v>643</v>
      </c>
      <c r="C18" s="15">
        <v>621</v>
      </c>
      <c r="D18" s="16" t="s">
        <v>217</v>
      </c>
      <c r="E18" s="16" t="s">
        <v>218</v>
      </c>
      <c r="F18" s="16" t="s">
        <v>219</v>
      </c>
      <c r="G18" s="16" t="s">
        <v>50</v>
      </c>
    </row>
    <row r="19" spans="1:7" ht="14.25" customHeight="1" x14ac:dyDescent="0.2">
      <c r="A19" s="16" t="s">
        <v>220</v>
      </c>
      <c r="B19" s="15">
        <v>643</v>
      </c>
      <c r="C19" s="15">
        <v>612</v>
      </c>
      <c r="D19" s="16" t="s">
        <v>221</v>
      </c>
      <c r="E19" s="16" t="s">
        <v>218</v>
      </c>
      <c r="F19" s="16" t="s">
        <v>219</v>
      </c>
      <c r="G19" s="16" t="s">
        <v>50</v>
      </c>
    </row>
    <row r="20" spans="1:7" ht="14.25" customHeight="1" x14ac:dyDescent="0.2">
      <c r="A20" s="16" t="s">
        <v>222</v>
      </c>
      <c r="B20" s="15">
        <v>0</v>
      </c>
      <c r="C20" s="15">
        <v>0</v>
      </c>
      <c r="D20" s="16" t="s">
        <v>223</v>
      </c>
      <c r="E20" s="16" t="s">
        <v>224</v>
      </c>
      <c r="F20" s="16" t="s">
        <v>225</v>
      </c>
      <c r="G20" s="16" t="s">
        <v>50</v>
      </c>
    </row>
    <row r="21" spans="1:7" ht="14.25" customHeight="1" x14ac:dyDescent="0.2">
      <c r="A21" s="16" t="s">
        <v>226</v>
      </c>
      <c r="B21" s="15">
        <v>643</v>
      </c>
      <c r="C21" s="15">
        <v>621</v>
      </c>
      <c r="D21" s="16" t="s">
        <v>227</v>
      </c>
      <c r="E21" s="16" t="s">
        <v>228</v>
      </c>
      <c r="F21" s="16" t="s">
        <v>229</v>
      </c>
      <c r="G21" s="16" t="s">
        <v>50</v>
      </c>
    </row>
    <row r="22" spans="1:7" ht="14.25" customHeight="1" x14ac:dyDescent="0.2">
      <c r="A22" s="16" t="s">
        <v>230</v>
      </c>
      <c r="B22" s="15">
        <v>643</v>
      </c>
      <c r="C22" s="15">
        <v>612</v>
      </c>
      <c r="D22" s="16" t="s">
        <v>231</v>
      </c>
      <c r="E22" s="16" t="s">
        <v>228</v>
      </c>
      <c r="F22" s="16" t="s">
        <v>229</v>
      </c>
      <c r="G22" s="16" t="s">
        <v>50</v>
      </c>
    </row>
    <row r="23" spans="1:7" ht="14.25" customHeight="1" x14ac:dyDescent="0.2">
      <c r="A23" s="16" t="s">
        <v>232</v>
      </c>
      <c r="B23" s="15">
        <v>466</v>
      </c>
      <c r="C23" s="15">
        <v>531</v>
      </c>
      <c r="D23" s="16" t="s">
        <v>233</v>
      </c>
      <c r="E23" s="16" t="s">
        <v>234</v>
      </c>
      <c r="F23" s="16" t="s">
        <v>235</v>
      </c>
      <c r="G23" s="16" t="s">
        <v>50</v>
      </c>
    </row>
    <row r="24" spans="1:7" ht="14.25" customHeight="1" x14ac:dyDescent="0.2">
      <c r="A24" s="16" t="s">
        <v>236</v>
      </c>
      <c r="B24" s="15">
        <v>1109</v>
      </c>
      <c r="C24" s="15">
        <v>1143</v>
      </c>
      <c r="D24" s="16" t="s">
        <v>237</v>
      </c>
      <c r="E24" s="16" t="s">
        <v>238</v>
      </c>
      <c r="F24" s="16" t="s">
        <v>239</v>
      </c>
      <c r="G24" s="16" t="s">
        <v>50</v>
      </c>
    </row>
    <row r="25" spans="1:7" ht="14.25" customHeight="1" x14ac:dyDescent="0.2">
      <c r="A25" s="16" t="s">
        <v>240</v>
      </c>
      <c r="B25" s="15">
        <v>469</v>
      </c>
      <c r="C25" s="15">
        <v>473</v>
      </c>
      <c r="D25" s="16" t="s">
        <v>241</v>
      </c>
      <c r="E25" s="16" t="s">
        <v>242</v>
      </c>
      <c r="F25" s="16" t="s">
        <v>243</v>
      </c>
      <c r="G25" s="16" t="s">
        <v>50</v>
      </c>
    </row>
    <row r="26" spans="1:7" ht="14.25" customHeight="1" x14ac:dyDescent="0.2">
      <c r="A26" s="16" t="s">
        <v>244</v>
      </c>
      <c r="B26" s="15">
        <v>2.36</v>
      </c>
      <c r="C26" s="15">
        <v>2.44</v>
      </c>
      <c r="D26" s="16" t="s">
        <v>245</v>
      </c>
      <c r="E26" s="16" t="s">
        <v>246</v>
      </c>
      <c r="F26" s="16" t="s">
        <v>247</v>
      </c>
      <c r="G26" s="16" t="s">
        <v>50</v>
      </c>
    </row>
    <row r="27" spans="1:7" ht="14.25" customHeight="1" x14ac:dyDescent="0.2">
      <c r="A27" s="16" t="s">
        <v>248</v>
      </c>
      <c r="B27" s="15">
        <v>2</v>
      </c>
      <c r="C27" s="15">
        <v>1.8</v>
      </c>
      <c r="D27" s="16" t="s">
        <v>249</v>
      </c>
      <c r="E27" s="16" t="s">
        <v>250</v>
      </c>
      <c r="F27" s="16" t="s">
        <v>251</v>
      </c>
      <c r="G27" s="16" t="s">
        <v>50</v>
      </c>
    </row>
    <row r="28" spans="1:7" ht="14.25" customHeight="1" x14ac:dyDescent="0.2">
      <c r="A28" s="16" t="s">
        <v>252</v>
      </c>
      <c r="B28" s="15">
        <v>2.48</v>
      </c>
      <c r="C28" s="15">
        <v>2.59</v>
      </c>
      <c r="D28" s="16" t="s">
        <v>253</v>
      </c>
      <c r="E28" s="16" t="s">
        <v>254</v>
      </c>
      <c r="F28" s="16" t="s">
        <v>255</v>
      </c>
      <c r="G28" s="16" t="s">
        <v>50</v>
      </c>
    </row>
    <row r="29" spans="1:7" ht="14.25" customHeight="1" x14ac:dyDescent="0.2">
      <c r="A29" s="16" t="s">
        <v>256</v>
      </c>
      <c r="B29" s="15">
        <v>-9</v>
      </c>
      <c r="C29" s="15">
        <v>197.9</v>
      </c>
      <c r="D29" s="16" t="s">
        <v>154</v>
      </c>
      <c r="E29" s="16" t="s">
        <v>154</v>
      </c>
      <c r="F29" s="16" t="s">
        <v>154</v>
      </c>
      <c r="G29" s="16" t="s">
        <v>50</v>
      </c>
    </row>
    <row r="30" spans="1:7" ht="14.25" customHeight="1" x14ac:dyDescent="0.2">
      <c r="A30" s="16" t="s">
        <v>257</v>
      </c>
      <c r="B30" s="15">
        <v>-2.6</v>
      </c>
      <c r="C30" s="15">
        <v>-0.9</v>
      </c>
      <c r="D30" s="16" t="s">
        <v>154</v>
      </c>
      <c r="E30" s="16" t="s">
        <v>154</v>
      </c>
      <c r="F30" s="16" t="s">
        <v>154</v>
      </c>
      <c r="G30" s="16" t="s">
        <v>50</v>
      </c>
    </row>
    <row r="31" spans="1:7" ht="14.25" customHeight="1" x14ac:dyDescent="0.15"/>
    <row r="32" spans="1:7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/>
  </sheetViews>
  <sheetFormatPr baseColWidth="10" defaultColWidth="14.5" defaultRowHeight="15.75" customHeight="1" x14ac:dyDescent="0.15"/>
  <cols>
    <col min="1" max="1" width="32.6640625" customWidth="1"/>
    <col min="2" max="6" width="11.6640625" customWidth="1"/>
    <col min="7" max="7" width="8.1640625" customWidth="1"/>
    <col min="8" max="26" width="8.6640625" customWidth="1"/>
  </cols>
  <sheetData>
    <row r="1" spans="1:7" ht="14.25" customHeight="1" x14ac:dyDescent="0.2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G1" s="15" t="s">
        <v>46</v>
      </c>
    </row>
    <row r="2" spans="1:7" ht="14.25" customHeight="1" x14ac:dyDescent="0.2">
      <c r="A2" s="16" t="s">
        <v>258</v>
      </c>
      <c r="B2" s="15">
        <v>1111</v>
      </c>
      <c r="C2" s="15">
        <v>1144</v>
      </c>
      <c r="D2" s="15">
        <v>1235</v>
      </c>
      <c r="E2" s="15">
        <v>955.9</v>
      </c>
      <c r="F2" s="15">
        <v>511.7</v>
      </c>
      <c r="G2" s="16" t="s">
        <v>50</v>
      </c>
    </row>
    <row r="3" spans="1:7" ht="14.25" customHeight="1" x14ac:dyDescent="0.2">
      <c r="A3" s="16" t="s">
        <v>259</v>
      </c>
      <c r="B3" s="15">
        <v>185</v>
      </c>
      <c r="C3" s="15">
        <v>180</v>
      </c>
      <c r="D3" s="15">
        <v>182</v>
      </c>
      <c r="E3" s="15">
        <v>172.1</v>
      </c>
      <c r="F3" s="15">
        <v>182</v>
      </c>
      <c r="G3" s="16" t="s">
        <v>50</v>
      </c>
    </row>
    <row r="4" spans="1:7" ht="14.25" customHeight="1" x14ac:dyDescent="0.2">
      <c r="A4" s="16" t="s">
        <v>260</v>
      </c>
      <c r="B4" s="15">
        <v>58</v>
      </c>
      <c r="C4" s="15">
        <v>29</v>
      </c>
      <c r="D4" s="15">
        <v>-742</v>
      </c>
      <c r="E4" s="15">
        <v>80.099999999999994</v>
      </c>
      <c r="F4" s="15">
        <v>-32.299999999999997</v>
      </c>
      <c r="G4" s="16" t="s">
        <v>50</v>
      </c>
    </row>
    <row r="5" spans="1:7" ht="14.25" customHeight="1" x14ac:dyDescent="0.2">
      <c r="A5" s="16" t="s">
        <v>261</v>
      </c>
      <c r="B5" s="15">
        <v>45</v>
      </c>
      <c r="C5" s="15">
        <v>-13</v>
      </c>
      <c r="D5" s="15">
        <v>314</v>
      </c>
      <c r="E5" s="15">
        <v>58.5</v>
      </c>
      <c r="F5" s="15">
        <v>230</v>
      </c>
      <c r="G5" s="16" t="s">
        <v>50</v>
      </c>
    </row>
    <row r="6" spans="1:7" ht="14.25" customHeight="1" x14ac:dyDescent="0.2">
      <c r="A6" s="16" t="s">
        <v>262</v>
      </c>
      <c r="B6" s="15">
        <v>248</v>
      </c>
      <c r="C6" s="15">
        <v>433</v>
      </c>
      <c r="D6" s="15">
        <v>200</v>
      </c>
      <c r="E6" s="15">
        <v>159.30000000000001</v>
      </c>
      <c r="F6" s="15">
        <v>208.3</v>
      </c>
      <c r="G6" s="16" t="s">
        <v>50</v>
      </c>
    </row>
    <row r="7" spans="1:7" ht="14.25" customHeight="1" x14ac:dyDescent="0.2">
      <c r="A7" s="16" t="s">
        <v>263</v>
      </c>
      <c r="B7" s="15">
        <v>584</v>
      </c>
      <c r="C7" s="15">
        <v>561</v>
      </c>
      <c r="D7" s="15">
        <v>447</v>
      </c>
      <c r="E7" s="15">
        <v>407.1</v>
      </c>
      <c r="F7" s="15">
        <v>408.3</v>
      </c>
      <c r="G7" s="16" t="s">
        <v>50</v>
      </c>
    </row>
    <row r="8" spans="1:7" ht="14.25" customHeight="1" x14ac:dyDescent="0.2">
      <c r="A8" s="16" t="s">
        <v>264</v>
      </c>
      <c r="B8" s="15">
        <v>77</v>
      </c>
      <c r="C8" s="15">
        <v>-175</v>
      </c>
      <c r="D8" s="15">
        <v>402</v>
      </c>
      <c r="E8" s="15">
        <v>2.4</v>
      </c>
      <c r="F8" s="15">
        <v>313.39999999999998</v>
      </c>
      <c r="G8" s="16" t="s">
        <v>50</v>
      </c>
    </row>
    <row r="9" spans="1:7" ht="14.25" customHeight="1" x14ac:dyDescent="0.2">
      <c r="A9" s="16" t="s">
        <v>265</v>
      </c>
      <c r="B9" s="15">
        <v>1476</v>
      </c>
      <c r="C9" s="15">
        <v>1165</v>
      </c>
      <c r="D9" s="15">
        <v>1391</v>
      </c>
      <c r="E9" s="15">
        <v>1269</v>
      </c>
      <c r="F9" s="15">
        <v>1204.8</v>
      </c>
      <c r="G9" s="16" t="s">
        <v>50</v>
      </c>
    </row>
    <row r="10" spans="1:7" ht="14.25" customHeight="1" x14ac:dyDescent="0.2">
      <c r="A10" s="16" t="s">
        <v>266</v>
      </c>
      <c r="B10" s="15">
        <v>-62</v>
      </c>
      <c r="C10" s="15">
        <v>-86</v>
      </c>
      <c r="D10" s="15">
        <v>-37</v>
      </c>
      <c r="E10" s="15">
        <v>-33.700000000000003</v>
      </c>
      <c r="F10" s="15">
        <v>-115.3</v>
      </c>
      <c r="G10" s="16" t="s">
        <v>50</v>
      </c>
    </row>
    <row r="11" spans="1:7" ht="14.25" customHeight="1" x14ac:dyDescent="0.2">
      <c r="A11" s="16" t="s">
        <v>267</v>
      </c>
      <c r="B11" s="15">
        <v>32</v>
      </c>
      <c r="C11" s="15">
        <v>42</v>
      </c>
      <c r="D11" s="15">
        <v>-821</v>
      </c>
      <c r="E11" s="15">
        <v>60.6</v>
      </c>
      <c r="F11" s="15">
        <v>53.8</v>
      </c>
      <c r="G11" s="16" t="s">
        <v>50</v>
      </c>
    </row>
    <row r="12" spans="1:7" ht="14.25" customHeight="1" x14ac:dyDescent="0.2">
      <c r="A12" s="16" t="s">
        <v>268</v>
      </c>
      <c r="B12" s="15">
        <v>-30</v>
      </c>
      <c r="C12" s="15">
        <v>-44</v>
      </c>
      <c r="D12" s="15">
        <v>-858</v>
      </c>
      <c r="E12" s="15">
        <v>26.9</v>
      </c>
      <c r="F12" s="15">
        <v>-61.5</v>
      </c>
      <c r="G12" s="16" t="s">
        <v>50</v>
      </c>
    </row>
    <row r="13" spans="1:7" ht="14.25" customHeight="1" x14ac:dyDescent="0.2">
      <c r="A13" s="16" t="s">
        <v>269</v>
      </c>
      <c r="B13" s="15">
        <v>-27</v>
      </c>
      <c r="C13" s="15">
        <v>2</v>
      </c>
      <c r="D13" s="15">
        <v>-73</v>
      </c>
      <c r="E13" s="15">
        <v>3.2</v>
      </c>
      <c r="F13" s="15">
        <v>-86.4</v>
      </c>
      <c r="G13" s="16" t="s">
        <v>50</v>
      </c>
    </row>
    <row r="14" spans="1:7" ht="14.25" customHeight="1" x14ac:dyDescent="0.2">
      <c r="A14" s="16" t="s">
        <v>270</v>
      </c>
      <c r="B14" s="15">
        <v>-901</v>
      </c>
      <c r="C14" s="15">
        <v>-728</v>
      </c>
      <c r="D14" s="15">
        <v>-664</v>
      </c>
      <c r="E14" s="15">
        <v>-538.1</v>
      </c>
      <c r="F14" s="15">
        <v>-362.4</v>
      </c>
      <c r="G14" s="16" t="s">
        <v>50</v>
      </c>
    </row>
    <row r="15" spans="1:7" ht="14.25" customHeight="1" x14ac:dyDescent="0.2">
      <c r="A15" s="16" t="s">
        <v>271</v>
      </c>
      <c r="B15" s="15">
        <v>102</v>
      </c>
      <c r="C15" s="15">
        <v>-560</v>
      </c>
      <c r="D15" s="15">
        <v>-3307</v>
      </c>
      <c r="E15" s="15">
        <v>13.7</v>
      </c>
      <c r="F15" s="15">
        <v>-288.60000000000002</v>
      </c>
      <c r="G15" s="16" t="s">
        <v>50</v>
      </c>
    </row>
    <row r="16" spans="1:7" ht="14.25" customHeight="1" x14ac:dyDescent="0.2">
      <c r="A16" s="16" t="s">
        <v>272</v>
      </c>
      <c r="B16" s="15">
        <v>-16</v>
      </c>
      <c r="C16" s="15">
        <v>1</v>
      </c>
      <c r="D16" s="15">
        <v>3108</v>
      </c>
      <c r="E16" s="15">
        <v>-69.7</v>
      </c>
      <c r="F16" s="15">
        <v>-1377.8</v>
      </c>
      <c r="G16" s="16" t="s">
        <v>50</v>
      </c>
    </row>
    <row r="17" spans="1:7" ht="14.25" customHeight="1" x14ac:dyDescent="0.2">
      <c r="A17" s="16" t="s">
        <v>273</v>
      </c>
      <c r="B17" s="15">
        <v>-842</v>
      </c>
      <c r="C17" s="15">
        <v>-1285</v>
      </c>
      <c r="D17" s="15">
        <v>-936</v>
      </c>
      <c r="E17" s="15">
        <v>-590.9</v>
      </c>
      <c r="F17" s="15">
        <v>-2115.1999999999998</v>
      </c>
      <c r="G17" s="16" t="s">
        <v>50</v>
      </c>
    </row>
    <row r="18" spans="1:7" ht="14.25" customHeight="1" x14ac:dyDescent="0.2">
      <c r="A18" s="16" t="s">
        <v>274</v>
      </c>
      <c r="B18" s="15">
        <v>16</v>
      </c>
      <c r="C18" s="15">
        <v>-20</v>
      </c>
      <c r="D18" s="15">
        <v>24</v>
      </c>
      <c r="E18" s="15">
        <v>-2.4</v>
      </c>
      <c r="F18" s="15">
        <v>-73.5</v>
      </c>
      <c r="G18" s="16" t="s">
        <v>50</v>
      </c>
    </row>
    <row r="19" spans="1:7" ht="14.25" customHeight="1" x14ac:dyDescent="0.2">
      <c r="A19" s="16" t="s">
        <v>275</v>
      </c>
      <c r="B19" s="15">
        <v>620</v>
      </c>
      <c r="C19" s="15">
        <v>-184</v>
      </c>
      <c r="D19" s="15">
        <v>-379</v>
      </c>
      <c r="E19" s="15">
        <v>702.6</v>
      </c>
      <c r="F19" s="15">
        <v>-1045.4000000000001</v>
      </c>
      <c r="G19" s="16" t="s">
        <v>50</v>
      </c>
    </row>
    <row r="20" spans="1:7" ht="14.25" customHeight="1" x14ac:dyDescent="0.15"/>
    <row r="21" spans="1:7" ht="14.25" customHeight="1" x14ac:dyDescent="0.15"/>
    <row r="22" spans="1:7" ht="14.25" customHeight="1" x14ac:dyDescent="0.15"/>
    <row r="23" spans="1:7" ht="14.25" customHeight="1" x14ac:dyDescent="0.15"/>
    <row r="24" spans="1:7" ht="14.25" customHeight="1" x14ac:dyDescent="0.15"/>
    <row r="25" spans="1:7" ht="14.25" customHeight="1" x14ac:dyDescent="0.15"/>
    <row r="26" spans="1:7" ht="14.25" customHeight="1" x14ac:dyDescent="0.15"/>
    <row r="27" spans="1:7" ht="14.25" customHeight="1" x14ac:dyDescent="0.15"/>
    <row r="28" spans="1:7" ht="14.25" customHeight="1" x14ac:dyDescent="0.15"/>
    <row r="29" spans="1:7" ht="14.25" customHeight="1" x14ac:dyDescent="0.15"/>
    <row r="30" spans="1:7" ht="14.25" customHeight="1" x14ac:dyDescent="0.15"/>
    <row r="31" spans="1:7" ht="14.25" customHeight="1" x14ac:dyDescent="0.15"/>
    <row r="32" spans="1:7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13</vt:i4>
      </vt:variant>
      <vt:variant>
        <vt:lpstr>Benoemde bereiken</vt:lpstr>
      </vt:variant>
      <vt:variant>
        <vt:i4>3</vt:i4>
      </vt:variant>
    </vt:vector>
  </HeadingPairs>
  <TitlesOfParts>
    <vt:vector size="16" baseType="lpstr">
      <vt:lpstr>balance sheet MCD</vt:lpstr>
      <vt:lpstr>kengetallen (1) BK</vt:lpstr>
      <vt:lpstr>cash flow MCD</vt:lpstr>
      <vt:lpstr>kengetallen DO</vt:lpstr>
      <vt:lpstr>income statement MCD</vt:lpstr>
      <vt:lpstr>kengetallen MCD</vt:lpstr>
      <vt:lpstr>Balance sheet BK</vt:lpstr>
      <vt:lpstr>income statement (1) BK</vt:lpstr>
      <vt:lpstr>Cash flow BK</vt:lpstr>
      <vt:lpstr>income statement DO</vt:lpstr>
      <vt:lpstr>balance sheet DO</vt:lpstr>
      <vt:lpstr>cash flow DO</vt:lpstr>
      <vt:lpstr>Visuele weergave kengetallen</vt:lpstr>
      <vt:lpstr>'Balance sheet BK'!ExterneGegevens_1</vt:lpstr>
      <vt:lpstr>'Cash flow BK'!ExterneGegevens_1</vt:lpstr>
      <vt:lpstr>'income statement (1) BK'!ExterneGegevens_1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2020-11-26T17:08:44Z</dcterms:created>
  <dcterms:modified xsi:type="dcterms:W3CDTF">2020-11-26T17:08:44Z</dcterms:modified>
</cp:coreProperties>
</file>