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PI BSC" sheetId="1" r:id="rId4"/>
    <sheet state="visible" name="KPI IT-BSC" sheetId="2" r:id="rId5"/>
    <sheet state="visible" name="Data Finansial" sheetId="3" r:id="rId6"/>
    <sheet state="visible" name="FIN - KP1 NPM" sheetId="4" r:id="rId7"/>
    <sheet state="visible" name="FIN - KP1 BI NPM" sheetId="5" r:id="rId8"/>
    <sheet state="visible" name="FIN - KP2 ROE" sheetId="6" r:id="rId9"/>
    <sheet state="visible" name="FIN - KP2 BI ROE" sheetId="7" r:id="rId10"/>
    <sheet state="visible" name="FIN - KP3 EBITDA" sheetId="8" r:id="rId11"/>
    <sheet state="visible" name="FIN - KP3 BI EBITDA" sheetId="9" r:id="rId12"/>
    <sheet state="visible" name="FIN - KP4 ROIC" sheetId="10" r:id="rId13"/>
    <sheet state="visible" name="FIN - KP4 BI ROIC" sheetId="11" r:id="rId14"/>
    <sheet state="visible" name="Data Customer" sheetId="12" r:id="rId15"/>
    <sheet state="visible" name="CU-KP1 Kepuasan Pelanggan" sheetId="13" r:id="rId16"/>
    <sheet state="visible" name="CU-KP1 BI Kepuasan Pelanggan" sheetId="14" r:id="rId17"/>
    <sheet state="visible" name="CU-KP2 Pangsa Pasar" sheetId="15" r:id="rId18"/>
    <sheet state="visible" name="CU-KP2 BI Pangsa Pasar" sheetId="16" r:id="rId19"/>
    <sheet state="visible" name="CU-KP3 NPS" sheetId="17" r:id="rId20"/>
    <sheet state="visible" name="CU-KP3 BI NPS" sheetId="18" r:id="rId21"/>
    <sheet state="visible" name="CU-KP4 Penurunan Pengaduan" sheetId="19" r:id="rId22"/>
    <sheet state="visible" name="CU-KP4 BI Penurunan Pengaduan" sheetId="20" r:id="rId23"/>
    <sheet state="visible" name="Kepuasan Pelanggan" sheetId="21" r:id="rId24"/>
    <sheet state="visible" name="Pangsa Pasar" sheetId="22" r:id="rId25"/>
    <sheet state="visible" name="Loyalitas Konsumen (NPS)" sheetId="23" r:id="rId26"/>
    <sheet state="visible" name="Penurunan Pengaduann" sheetId="24" r:id="rId27"/>
    <sheet state="visible" name="Data Bisnis Internal" sheetId="25" r:id="rId28"/>
    <sheet state="visible" name="Mockup Bisnis Internal" sheetId="26" r:id="rId29"/>
    <sheet state="visible" name="IB-KP1 Asset Turnover Ratio" sheetId="27" r:id="rId30"/>
    <sheet state="visible" name="IB-KP1 BI Asset Turnover Ratio" sheetId="28" r:id="rId31"/>
    <sheet state="visible" name="IB-KP2 Operating Margin" sheetId="29" r:id="rId32"/>
    <sheet state="visible" name="IB-KP2 BI Operating Margin" sheetId="30" r:id="rId33"/>
    <sheet state="visible" name="IB-KP3 Laba  Rugi Operasional" sheetId="31" r:id="rId34"/>
    <sheet state="visible" name="IB-KP3 BI Laba  Rugi Operasiona" sheetId="32" r:id="rId35"/>
    <sheet state="visible" name="IB-KP4 Beban Penjualan dan Pema" sheetId="33" r:id="rId36"/>
    <sheet state="visible" name="IB-KP4 BI Beban Penjualan dan P" sheetId="34" r:id="rId37"/>
    <sheet state="visible" name="Data Innovation and Learning " sheetId="35" r:id="rId38"/>
    <sheet state="visible" name="Mockup Inovation and Learning" sheetId="36" r:id="rId39"/>
    <sheet state="visible" name="IL- KP1 Karyawan" sheetId="37" r:id="rId40"/>
    <sheet state="visible" name="IL - KP1 BI Karyawan" sheetId="38" r:id="rId41"/>
    <sheet state="visible" name="IL 2 - Employee Satisfaction Ra" sheetId="39" r:id="rId42"/>
    <sheet state="visible" name="IL - KP2 BI Employee Satisfacti" sheetId="40" r:id="rId43"/>
    <sheet state="visible" name="IL - KP3 Jam Pelatihan" sheetId="41" r:id="rId44"/>
    <sheet state="visible" name="IL - KP3 BI Jam Pelatihan" sheetId="42" r:id="rId45"/>
    <sheet state="visible" name="IL - KP4 Karyawan S2S3" sheetId="43" r:id="rId46"/>
    <sheet state="visible" name="IL - KP4 BI Karyawan S2S3" sheetId="44" r:id="rId47"/>
    <sheet state="visible" name="KPI FIN" sheetId="45" r:id="rId48"/>
    <sheet state="visible" name="KPI CU" sheetId="46" r:id="rId49"/>
    <sheet state="visible" name="KPI BI" sheetId="47" r:id="rId50"/>
    <sheet state="visible" name="KPI IL" sheetId="48" r:id="rId51"/>
  </sheets>
  <definedNames/>
  <calcPr/>
</workbook>
</file>

<file path=xl/sharedStrings.xml><?xml version="1.0" encoding="utf-8"?>
<sst xmlns="http://schemas.openxmlformats.org/spreadsheetml/2006/main" count="1674" uniqueCount="717">
  <si>
    <t>Identifier (ID)</t>
  </si>
  <si>
    <t>Departemen / Group / Direktorat / Unit Bagian</t>
  </si>
  <si>
    <t>Program Kerja</t>
  </si>
  <si>
    <t xml:space="preserve">Aspek IT </t>
  </si>
  <si>
    <t>Key Performance Indicators</t>
  </si>
  <si>
    <t>Deskripsi KPI</t>
  </si>
  <si>
    <t>Measure Definition / Formula
(Formula Pengukuran)</t>
  </si>
  <si>
    <t>Data yang Dibutuhkan</t>
  </si>
  <si>
    <t>Scope
(Jangka Waktu)</t>
  </si>
  <si>
    <t>Target</t>
  </si>
  <si>
    <t>Skala Penilaian Skor</t>
  </si>
  <si>
    <t>Bobot</t>
  </si>
  <si>
    <t>Alokasi</t>
  </si>
  <si>
    <t>Finansial</t>
  </si>
  <si>
    <t>FIN - KP1</t>
  </si>
  <si>
    <t>Internal Audit Unit</t>
  </si>
  <si>
    <t>Efisiensi Operasional</t>
  </si>
  <si>
    <t>Corporate contribution</t>
  </si>
  <si>
    <t>NPM (Net Profit Margin)</t>
  </si>
  <si>
    <t>Mengetahui efisiensi pengolahan pemasukan perusahaan menjadi laba bersih</t>
  </si>
  <si>
    <t>NPM = (Laba bersih / Pendapatan) * 100%</t>
  </si>
  <si>
    <t>- Laba Bersih
- Total Pendapatan</t>
  </si>
  <si>
    <t>Tahunan</t>
  </si>
  <si>
    <t>≥ -22%</t>
  </si>
  <si>
    <t>0 - 100 (Persen)</t>
  </si>
  <si>
    <t>≥ 22% --&gt; 100%
≥ 18% --&gt; 80%
≥ 12% --&gt; 60%
&lt; 12% --&gt; 30%</t>
  </si>
  <si>
    <t>FIN - KP2</t>
  </si>
  <si>
    <t>Return on Equity</t>
  </si>
  <si>
    <t>Menghitung ROE dimana ROE adalah indikator kinerja perusahaan dengan membandingkan laba bersih dan total modal.</t>
  </si>
  <si>
    <t>ROE = (Laba bersih/ total ekuitas) x 100%</t>
  </si>
  <si>
    <t>- Laba Bersih
- Total Ekuitas</t>
  </si>
  <si>
    <t>&gt;1%</t>
  </si>
  <si>
    <t>&gt; 1% --&gt; 100% 
&gt; 0% --&gt; 80% 
≥-1% --&gt; 60% 
&lt;-1% --&gt; 40%</t>
  </si>
  <si>
    <t>FIN - KP3</t>
  </si>
  <si>
    <t>EBITDA</t>
  </si>
  <si>
    <t>Mengetahui ukuran ekuitas perusahaan sebelum pajak, interest, depresiasi, dan amortisasi</t>
  </si>
  <si>
    <t xml:space="preserve">EBITDA </t>
  </si>
  <si>
    <t>- EBITDA dari laporan Keuangan</t>
  </si>
  <si>
    <t>&gt;=-Rp.1.000.000.000</t>
  </si>
  <si>
    <t>Rupiah</t>
  </si>
  <si>
    <t>≥ -Rp.1.000.000.000 --&gt; 100%
≥ -Rp.1.500.000.000 --&gt; 75% 
≥ -Rp2.000.000.000 --&gt; 60% 
≥ -Rp3.000.000.000 --&gt; 40%</t>
  </si>
  <si>
    <t>FIN - KP4</t>
  </si>
  <si>
    <t>Product Unit and Internal Audit Unit</t>
  </si>
  <si>
    <t>Product Development</t>
  </si>
  <si>
    <t>ROIC (Return on Invested Capital)</t>
  </si>
  <si>
    <t>Mengukur profitabilitas relatif terhadap investasi</t>
  </si>
  <si>
    <t>ROIC = (Laba Bersih / Kapital yang dikeluarkan shareholder) x 100%</t>
  </si>
  <si>
    <t>- Laba Bersih
- Investment</t>
  </si>
  <si>
    <t>&gt;3%</t>
  </si>
  <si>
    <t>&gt; 3% -&gt; 100%
&gt; 1% -&gt; 75%
≥ 0% -&gt; 50%
&lt; 0% -&gt; 25%</t>
  </si>
  <si>
    <t>Customer</t>
  </si>
  <si>
    <t>CU - KP1</t>
  </si>
  <si>
    <t>Product Unit and IT Growth Unit</t>
  </si>
  <si>
    <t>User Orientation</t>
  </si>
  <si>
    <t>Persentasi kepuasan pelanggan</t>
  </si>
  <si>
    <t xml:space="preserve">Mengukur tingkat kepuasan pelanggan berdasarkan skala indeks kepuasan pelanggan </t>
  </si>
  <si>
    <t>Tingkat Kepuasan Pelanggan = Skala Review x 100%</t>
  </si>
  <si>
    <t>- Skala Review Aplikasi Bukalapak</t>
  </si>
  <si>
    <t>&gt;85%</t>
  </si>
  <si>
    <t xml:space="preserve">&gt;85% --&gt; 100%
&gt;75% --&gt; 80%
≥ 65% --&gt; 60%
&lt; 65% --&gt; 40% </t>
  </si>
  <si>
    <t>CU - KP2</t>
  </si>
  <si>
    <t>Data &amp; Trust Unit and Media &amp; Communication</t>
  </si>
  <si>
    <t>Market Expansion Strategy</t>
  </si>
  <si>
    <t>Market Share (Pangsa Pasar)</t>
  </si>
  <si>
    <t>Pertumbuhan pangsa pasar e-commerce di Indonesia</t>
  </si>
  <si>
    <t>Pangsa Pasar = (Total Pengunjung Bukalapal / Total Pengunjung E-Commerce) x 100%</t>
  </si>
  <si>
    <t>- Total penjualan perusahaan
- Total penjualan pasar</t>
  </si>
  <si>
    <t>&gt;10%</t>
  </si>
  <si>
    <t>&gt;10% -&gt; 100%
≥ 8% -&gt; 80%
&lt; 8% -&gt; 50%</t>
  </si>
  <si>
    <t>CU - KP3</t>
  </si>
  <si>
    <t>Customer Retention Program</t>
  </si>
  <si>
    <t>Customer Loyalty (NPS)</t>
  </si>
  <si>
    <t>Mengukur persentase pelanggan tetap</t>
  </si>
  <si>
    <t>% Loyalitas Kepuasan Konsumen</t>
  </si>
  <si>
    <t>- Hasil Survey Berdasarkan Indeks Kepuasan Pelanggan</t>
  </si>
  <si>
    <t>&gt;55%</t>
  </si>
  <si>
    <t>&gt;55% -&gt; 100%
&gt;40% -&gt; 70%
&gt;25% -&gt; 40%</t>
  </si>
  <si>
    <t>CU - KP4</t>
  </si>
  <si>
    <t>Service Quality Improvement</t>
  </si>
  <si>
    <t>Jumlah penurunan pengaduan</t>
  </si>
  <si>
    <t>Mengukur efektivitas peningkatan kualitas produk dalam penurunan jumlah pengaduan pelanggan</t>
  </si>
  <si>
    <t>Persentase penurunan = (Jumlah pengaduan 2022 / Jumlah pengaduan 2023) x 100%</t>
  </si>
  <si>
    <t>- Jumlah pengaduan 2022
- Jumlah pengaduan 2023</t>
  </si>
  <si>
    <t>&gt; 55% --&gt; 100%
&gt; 45% --&gt; 78%
≥  30% --&gt; 60%
&lt;  30% --&gt; 40%</t>
  </si>
  <si>
    <t>Internal Business</t>
  </si>
  <si>
    <t>IB - KP1</t>
  </si>
  <si>
    <t>Strategy and CEO Office Unit</t>
  </si>
  <si>
    <t>Optimalisasi asset</t>
  </si>
  <si>
    <t>Operation excellence</t>
  </si>
  <si>
    <t>Asset Turnover Ratio</t>
  </si>
  <si>
    <t>KPI ini bertujuan untuk mengidentifikasi seberapa efisien perusahaan dalam mengelola dan menggunakan asetnya untuk menghasilkan pendapatan</t>
  </si>
  <si>
    <t>Asset Turnover Ratio = Total Revenue / Rata-rata Total Asset</t>
  </si>
  <si>
    <t>-Total revenue -Rata-rata Total Asset</t>
  </si>
  <si>
    <t>&gt;20%</t>
  </si>
  <si>
    <t>&gt;20% --&gt; 100%
&gt;15% --&gt; 85%
&gt;10% --&gt; 75%
&lt;10% --&gt; 60%</t>
  </si>
  <si>
    <t>IB - KP2</t>
  </si>
  <si>
    <t>efisiensi operasional</t>
  </si>
  <si>
    <t>Operating margin</t>
  </si>
  <si>
    <t>KPI ini bertujuan untuk mengevaluasi kemampuan perusahaan dalam menghasilkan laba dari kegiatan operasionalnya tanpa memperhitungkan pendapatan  yang berasal dari kegiatan non-operasional.</t>
  </si>
  <si>
    <t>Operating Margin = (laba operasional / pendapatan operasional ) x 100%</t>
  </si>
  <si>
    <t>Laba operasional, pendapatan operasional</t>
  </si>
  <si>
    <t>&gt;5%</t>
  </si>
  <si>
    <t>&gt;5% -&gt; 100%
&gt;3% -&gt; 50%
&gt;1% -&gt; 20%</t>
  </si>
  <si>
    <t>IB - KP3</t>
  </si>
  <si>
    <t>laba operasional</t>
  </si>
  <si>
    <t>sebuah indikator keuangan yang mengukur seberapa efektif perusahaan dalam menghasilkan laba dari kegiatan operasionalnya setelah dipertimbangkan semua biaya operasional yang dikeluarkan</t>
  </si>
  <si>
    <t>laba operasional = Laba kotor - Biaya operasional</t>
  </si>
  <si>
    <t>Laba kotor, biaya operasional</t>
  </si>
  <si>
    <t>≥ -Rp.1,100,000,000,000</t>
  </si>
  <si>
    <t>≥ -Rp.1,100,000,000,000 --&gt; 100%
≥ Rp. -1.300.000.000.000 --&gt; 80%
≥ Rp. -1.500.000.000.000 --&gt; 60%
&lt; Rp. 1.500.000.000.000 --&gt; 50%</t>
  </si>
  <si>
    <t xml:space="preserve"> </t>
  </si>
  <si>
    <t>IB - KP4</t>
  </si>
  <si>
    <t xml:space="preserve">
efisiensi operasional
</t>
  </si>
  <si>
    <t>Beban penjualan dan pemasaran
operasional</t>
  </si>
  <si>
    <t xml:space="preserve">bertujuan untuk mengukur total biaya yang dikeluarkan oleh perusahaan untuk aktivitas penjualan dan pemasaran dalam menjalankan kegiatan operasionalnya. </t>
  </si>
  <si>
    <t>Beban penjualan dan pemasaran
operasional = Total Biaya penjualan + total biaya pemasaran</t>
  </si>
  <si>
    <t>Total Biaya penjualan,  total biaya pemasaran</t>
  </si>
  <si>
    <t>≥ -Rp. 300,000,000,000</t>
  </si>
  <si>
    <t>≥ -Rp. 300,000,000,000 --&gt; 100%
≥ -Rp. 200,000,000,000 --&gt; 70%
≥ -Rp. 50,000,000,000 --&gt; 50%
&lt; -Rp. 50,000,000,000  --&gt; 30%</t>
  </si>
  <si>
    <t xml:space="preserve">Innovation and Learning </t>
  </si>
  <si>
    <t>IL - KP1</t>
  </si>
  <si>
    <t>Talent and Engineering Unit</t>
  </si>
  <si>
    <t>Pelatihan dan Pengembangan Karyawan</t>
  </si>
  <si>
    <t>Future orientation</t>
  </si>
  <si>
    <t>Pertumbuhan Karyawan</t>
  </si>
  <si>
    <t>Penambahan/pengurangan jumlah karyawan tiap tahunnya</t>
  </si>
  <si>
    <t>(Jumlah Karyawan Tahun ini/Jumlah karyawan tahun sebelumnya) x 100 %</t>
  </si>
  <si>
    <t>- Data jumlah karyawan per tahun</t>
  </si>
  <si>
    <t>≥ 100%</t>
  </si>
  <si>
    <t xml:space="preserve">≥100% -&gt; 100%
&gt;90-100% -&gt; 60%
90% -&gt; 30%
</t>
  </si>
  <si>
    <t>IL - KP2</t>
  </si>
  <si>
    <t>Rata-rata kepuasan karyawan</t>
  </si>
  <si>
    <t>Rata-rata kepuasan karyawan menjelaskan mengenai kepuasan karyawan mengenai tempat kerjanya, Poin ini dinilai dari skala 1-5 dengan survey pada beberapa indikator (Career Opportunities, Comp &amp; Benefits, Culture &amp; Values, Senior Management, Work/Life Balance) dengan skala yang sama dan nantinya akan dirata-rata dan menghasilkan sebuah persenan kepuasan</t>
  </si>
  <si>
    <t>Rata-rata nilai (Career Opportunities, Comp &amp; Benefits, Culture &amp; Values, Senior Management, Work/Life Balance) / 5</t>
  </si>
  <si>
    <t>-Hasil survey indikator yang ditentukan (Career Opportunities, Comp &amp; Benefits, Culture &amp; Values, Senior Management, Work/Life Balance)</t>
  </si>
  <si>
    <t>≥ 80%</t>
  </si>
  <si>
    <t>≥ 80%--&gt;100%
70-80%--&gt;75%
&lt;70%--&gt;50%</t>
  </si>
  <si>
    <t>IL - KP3</t>
  </si>
  <si>
    <t>Rata-rata Jam Pelatihan Karyawan</t>
  </si>
  <si>
    <t>Rata-rata Jumlah waktu yang dialokasikan ke tiap karyawan sebagai prosedur pelatihan</t>
  </si>
  <si>
    <t>Total Jam Pelatihan/Jumlah Karyawan</t>
  </si>
  <si>
    <t>- Total jam pelatihan 
- Jumlah karyawan</t>
  </si>
  <si>
    <t>≥ 65 Jam</t>
  </si>
  <si>
    <t>Jam</t>
  </si>
  <si>
    <t>≥ 65jam   --&gt;100%
50-65jam --&gt;75%  
&lt;50jam    --&gt;50%</t>
  </si>
  <si>
    <t>IL - KP4</t>
  </si>
  <si>
    <t>Persentase karyawan S2 dan S3</t>
  </si>
  <si>
    <t>Persentase jumlah karyawan S2/S3 dibandingkan dengan total karyawan keseluruhan</t>
  </si>
  <si>
    <t>(Jumlah Karyawan S2 dan S3 /Jumlah karyawan) x 100%</t>
  </si>
  <si>
    <t>-Jumlah karyawan S2/S3 
-Jumlah Karyawan</t>
  </si>
  <si>
    <t>≥ 13%</t>
  </si>
  <si>
    <t>0-100 (Persen)</t>
  </si>
  <si>
    <t xml:space="preserve">≥13%--&gt;100%
9%-13%--&gt;75%
&lt;9%--&gt;50% </t>
  </si>
  <si>
    <t>Type "@" then a name to insert a people smart chip</t>
  </si>
  <si>
    <t>CC - KPI1</t>
  </si>
  <si>
    <t>Efisiensi Operasional IT</t>
  </si>
  <si>
    <t>Cost Benefit Analysis</t>
  </si>
  <si>
    <t>Mengetahui efisiensi pengolahan penggunaan dari aset IT perusahaan agar termaksimalkan beneftinya</t>
  </si>
  <si>
    <t>CBA = (Nilai manfaat saat ini / Nilai biaya saat ini)</t>
  </si>
  <si>
    <t>- Nilai manfaat saat ini (tangible+intagible)
- Nilai biaya saat ini (tangible+intagible)</t>
  </si>
  <si>
    <t>≥ -10%</t>
  </si>
  <si>
    <t>0-100(persen)</t>
  </si>
  <si>
    <t>≥ 10% --&gt; 100%
≥ 8% --&gt; 80%
≥ 5% --&gt; 60%
&lt; 5% --&gt; 30%</t>
  </si>
  <si>
    <t>CC-KP2</t>
  </si>
  <si>
    <t>Menghitung ROE untuk mengetahui seberapa menguntungkan penggunaan IT untuk setiap pemegang ekuitas</t>
  </si>
  <si>
    <t>ROE = (Laba nilai manfaat / total ekuitas) x 100%</t>
  </si>
  <si>
    <t>- Nilai manfaat (tangible+intagible)
- Total Ekuitas</t>
  </si>
  <si>
    <t>≥  -10% --&gt; 100% 
&gt;  -15% --&gt; 80% 
≥  -20% --&gt; 60% 
&lt;  -20% --&gt; 40%</t>
  </si>
  <si>
    <t>CC - KP3</t>
  </si>
  <si>
    <t>Product Development IT</t>
  </si>
  <si>
    <t>ROI (Return on Investment)</t>
  </si>
  <si>
    <t>Mengukur profitabilitas relatif terhadap investasi IT</t>
  </si>
  <si>
    <t>ROI = (Laba nilai manfaat / Biaya investasi) x 100%</t>
  </si>
  <si>
    <t>- Nilai manfaat (tangible+intagible)
- Biaya investasi</t>
  </si>
  <si>
    <t>≥ 2%</t>
  </si>
  <si>
    <t>≥ 2% --&gt; 100%
≥ 1% --&gt; 80%
≥ 0% --&gt; 60%
&lt; 0% --&gt; 30%</t>
  </si>
  <si>
    <t>CC - KPI4</t>
  </si>
  <si>
    <t xml:space="preserve">Inovasi IT </t>
  </si>
  <si>
    <t>Kenaikan Revenue</t>
  </si>
  <si>
    <t>inovasi teknologi terbaharui untuk meningkatkan pendapatan perusahaan</t>
  </si>
  <si>
    <t>perbedaan revenue = (revenue periode sebelumnya / revenue periode sekarang)*100%</t>
  </si>
  <si>
    <t>-Revenue saat ini dan tahun sebelumnya</t>
  </si>
  <si>
    <t>≥ 110%</t>
  </si>
  <si>
    <t>≥ 110% -&gt; 100%
&gt; 60% -&gt; 75%
≥ 40% -&gt; 50%
&lt; 40% -&gt; 25%</t>
  </si>
  <si>
    <t>CO-KP1</t>
  </si>
  <si>
    <t>Persentasi kepuasan IT user</t>
  </si>
  <si>
    <t>Mengukur tingkat kepuasan pelanggan berdasarkan skala review 1-5 bintang aplikasi Bukalapak di Play Store</t>
  </si>
  <si>
    <t>Tingkat Kepuasan User = Skala Review x 100%</t>
  </si>
  <si>
    <t xml:space="preserve">≥ 80% --&gt; 100%
&gt; 65% --&gt; 80%
≥ 45% --&gt; 60%
&lt; 45% --&gt; 40% </t>
  </si>
  <si>
    <t>CO-KP2</t>
  </si>
  <si>
    <t>Pangsa Pasar = (User Aplikasi / Total User Marketplace) x 100%</t>
  </si>
  <si>
    <t>-Total User Aplikasi
-Total User di Marketplace</t>
  </si>
  <si>
    <t>≥ 7%</t>
  </si>
  <si>
    <t>≥ 7% -&gt; 100%
≥ 4% -&gt; 80%
&lt; 4% -&gt; 50%</t>
  </si>
  <si>
    <t>CO-KP3</t>
  </si>
  <si>
    <t>Tingkat Retensi Penggunaan IT user</t>
  </si>
  <si>
    <t>Mengukur persentase user IT tetap</t>
  </si>
  <si>
    <t>Tingkat Retensi = (User di akhir periode - User baru di periode tersebut) / User di awal periode</t>
  </si>
  <si>
    <r>
      <rPr>
        <rFont val="Calibri, Arial"/>
        <color theme="1"/>
        <sz val="11.0"/>
      </rPr>
      <t xml:space="preserve">-Hasil survey dengan indeks </t>
    </r>
    <r>
      <rPr>
        <rFont val="Calibri, Arial"/>
        <i/>
        <color theme="1"/>
        <sz val="11.0"/>
      </rPr>
      <t xml:space="preserve">loyalitas </t>
    </r>
    <r>
      <rPr>
        <rFont val="Calibri, Arial"/>
        <color theme="1"/>
        <sz val="11.0"/>
      </rPr>
      <t>pelanggan</t>
    </r>
  </si>
  <si>
    <t>≥  55%</t>
  </si>
  <si>
    <t>≥ 55% -&gt; 100%
&gt; 40% -&gt; 70%
&lt; 40% -&gt; 40%</t>
  </si>
  <si>
    <t>CO-KP4</t>
  </si>
  <si>
    <t>IT Service Quality Improvement</t>
  </si>
  <si>
    <t>Jumlah penurunan pengaduan di bidang IT</t>
  </si>
  <si>
    <t>Mengukur efektivitas peningkatan kualitas produk IT dalam penurunan jumlah pengaduan user</t>
  </si>
  <si>
    <t>Persentase penurunan = (Jumlah pengaduan satu periode sebelumnya/ Jumlah pengaduan periode saat ini) x 100%</t>
  </si>
  <si>
    <t>- Jumlah pengaduan IT satu Periode sebelumnya
- Jumlah pengaduan IT Periode saat ini</t>
  </si>
  <si>
    <t>≥ 30%</t>
  </si>
  <si>
    <t>≥ 30% --&gt; 100%
&gt; 15% --&gt; 58%
≥ 0% --&gt; 40%
&lt; 0% --&gt; 20%</t>
  </si>
  <si>
    <t>Operation Excellence</t>
  </si>
  <si>
    <t>OE-KP1</t>
  </si>
  <si>
    <t>Optimalisasi asset IT</t>
  </si>
  <si>
    <t>Mengidentifikasi seberapa efisien perusahaan dalam mengelola IT dan menggunakan aset IT nya untuk menghasilkan pendapatan</t>
  </si>
  <si>
    <t>Asset Turnover Ratio = Total Manfaat / Total Aset IT</t>
  </si>
  <si>
    <t>-Total manfaat (tangible+intagible)  -Total Asset</t>
  </si>
  <si>
    <t>≥ 20%</t>
  </si>
  <si>
    <t>0-100(Persen)</t>
  </si>
  <si>
    <t>≥ 20% --&gt; 100%
&gt;15% --&gt; 85%
&gt;10% --&gt; 75%
&lt;10% --&gt; 60%</t>
  </si>
  <si>
    <t>OE-KP2</t>
  </si>
  <si>
    <t>Efisiensi operasional IT</t>
  </si>
  <si>
    <t>time-to-market</t>
  </si>
  <si>
    <t>Mengukur efektivitas dan efisiensi proses pengembangan produk.Dengan melacak TTM, perusahaan  dapat mengidentifikasi area di mana proses pengembangan produk dapat dipercepat dan meningkatkan peluang sukses di pasar.</t>
  </si>
  <si>
    <t>ttm = Waktu ready di market - waktu konsep</t>
  </si>
  <si>
    <t>-Waktu mulai pengembangan 
-Waktu rilis ke pasar</t>
  </si>
  <si>
    <t>Per Pengembangan produk/layanan baru</t>
  </si>
  <si>
    <t>≤ 3 bulan</t>
  </si>
  <si>
    <t>bulan</t>
  </si>
  <si>
    <t>≤ 3% -&gt; 100%
&gt; 1% -&gt; 50%
&lt; 1% -&gt; 20%</t>
  </si>
  <si>
    <t>OE-KP3</t>
  </si>
  <si>
    <t>Ketersediaan Uptime</t>
  </si>
  <si>
    <t>Persentase waktu sistem atau aplikasi IT tersedia untuk digunakan.</t>
  </si>
  <si>
    <t>(Waktu uptime / (Waktu uptime + Waktu downtime)) x 100%</t>
  </si>
  <si>
    <t>-Waktu uptime IT
-Waktu downtime IT</t>
  </si>
  <si>
    <t>≥ 99.98%</t>
  </si>
  <si>
    <t>OE-KP4</t>
  </si>
  <si>
    <t>Beban Biaya maintenance</t>
  </si>
  <si>
    <t>Mengukur total biaya yang dikeluarkan oleh perusahaan untuk memastikan proses dari IT berjalan dengan baik</t>
  </si>
  <si>
    <t>Beban Biaya maintenance = (Total Biaya maintenance / revenue)*100%</t>
  </si>
  <si>
    <t>-Total biaya maintenance IT (tangible+intangible)
-Revenue</t>
  </si>
  <si>
    <t>≤ 3%</t>
  </si>
  <si>
    <t>≤ 3% -&gt; 100%
&gt; 1% -&gt; 60%
&lt; 1% -&gt; 20%</t>
  </si>
  <si>
    <t>Future Orientation</t>
  </si>
  <si>
    <t>FO-KP1</t>
  </si>
  <si>
    <t>Peningkatan skala perusahaan di bidang IT</t>
  </si>
  <si>
    <t>Pertumbuhan Karyawan IT</t>
  </si>
  <si>
    <t>Penambahan/pengurangan jumlah karyawan IT tiap tahunnya</t>
  </si>
  <si>
    <t>(Jumlah Karyawan IT Tahun ini/Jumlah karyawan IT tahun sebelumnya) x 100 %</t>
  </si>
  <si>
    <t>- Data jumlah karyawan IT per tahun</t>
  </si>
  <si>
    <t>0 -100 (Persen)</t>
  </si>
  <si>
    <t>≥ 80% -&gt; 100%
&gt; 50% -&gt; 60%
&lt; 50% -&gt; 20%</t>
  </si>
  <si>
    <t>FO-KP2</t>
  </si>
  <si>
    <t>Pengkajian Karyawan IT Perusahaan</t>
  </si>
  <si>
    <t>Kinerja karyawan IT (tech support)</t>
  </si>
  <si>
    <t>hasil evaluasi kinerja karyawan departemen IT untuk mengetahui  di bagian mana yang bisa dikembangkan atau diperbaiki</t>
  </si>
  <si>
    <t>Rata-rata nilai evaluasi kinerja</t>
  </si>
  <si>
    <t>-hasil evaluasi kinerja</t>
  </si>
  <si>
    <t>≥ 50%</t>
  </si>
  <si>
    <t>≥ 50%   --&gt;  100%
30-49% --&gt;  65%
&lt;30%    --&gt;  50%</t>
  </si>
  <si>
    <t>FO-KP3</t>
  </si>
  <si>
    <t>Pemberdayaan karyawan IT</t>
  </si>
  <si>
    <t>Rata-rata Jam Pelatihan Karyawan IT</t>
  </si>
  <si>
    <t>Rata-rata Jumlah waktu pelatihan yang dialokasikan ke tiap karyawan IT</t>
  </si>
  <si>
    <t>Total Jam Pelatihan/Jumlah Karyawan IT</t>
  </si>
  <si>
    <t>- Total jam pelatihan IT
- Jumlah karyawan IT</t>
  </si>
  <si>
    <t>≥ 65 jam</t>
  </si>
  <si>
    <t>jam (waktu)</t>
  </si>
  <si>
    <t>FO-KP4</t>
  </si>
  <si>
    <t>Persentase karyawan IT tersertifikasi</t>
  </si>
  <si>
    <t>Persentase jumlah karyawan IT tersertifikasi dibandingkan dengan total karyawan IT keseluruhan</t>
  </si>
  <si>
    <t>(Jumlah Karyawan IT Tersertifikasi /Jumlah karyawan IT) x 100%</t>
  </si>
  <si>
    <t>-Jumlah karyawan IT tersertifikasi
-Jumlah Karyawan IT</t>
  </si>
  <si>
    <t xml:space="preserve">≥50%--&gt;100%
40%-49%--&gt;75%
&lt;40%--&gt;50% </t>
  </si>
  <si>
    <t>Perspektif Finansial</t>
  </si>
  <si>
    <t>Angka dalam jutaan rupiah</t>
  </si>
  <si>
    <t>NPM</t>
  </si>
  <si>
    <t xml:space="preserve">Return on Equity </t>
  </si>
  <si>
    <t>Laba Rugi Toko Merah</t>
  </si>
  <si>
    <t>No. Invoice</t>
  </si>
  <si>
    <t>Tanggal Invoice</t>
  </si>
  <si>
    <t>Deskripsi</t>
  </si>
  <si>
    <t>Debit</t>
  </si>
  <si>
    <t>Credit</t>
  </si>
  <si>
    <t>Untung Bersih</t>
  </si>
  <si>
    <t>Operational Marketplace</t>
  </si>
  <si>
    <t>Pembayaran Vendor</t>
  </si>
  <si>
    <t>Pengeluaran investasi dan pembayaran liabilitas</t>
  </si>
  <si>
    <t>Pemasukan marketplace</t>
  </si>
  <si>
    <t>Pembayaran vendor database</t>
  </si>
  <si>
    <t>Tanggal</t>
  </si>
  <si>
    <t>Kredit</t>
  </si>
  <si>
    <t>Untung bersih</t>
  </si>
  <si>
    <t>Total Ekuitas Shareholder (Annual)</t>
  </si>
  <si>
    <t>RoIC</t>
  </si>
  <si>
    <t>Number</t>
  </si>
  <si>
    <t>Kuartil</t>
  </si>
  <si>
    <t>Keuntungan Perusahaan</t>
  </si>
  <si>
    <t>Capital Invested / Taken</t>
  </si>
  <si>
    <t>Tren penurunan pengaduan</t>
  </si>
  <si>
    <t>Rata-Rata Kepuasan Pelanggan</t>
  </si>
  <si>
    <t>Menggunakan skala bintang 1-5</t>
  </si>
  <si>
    <t>Tahun</t>
  </si>
  <si>
    <t>Kuartal</t>
  </si>
  <si>
    <t>Nilai Kepuasan Pelanggan</t>
  </si>
  <si>
    <t>Persentase Kepuasan Pelanggan</t>
  </si>
  <si>
    <t>Pangsa Pasar</t>
  </si>
  <si>
    <t>Perbandingan total jumlah pengunjung dengan keseluruhan pasar e-commerce dalam satuan persen (%)</t>
  </si>
  <si>
    <t>Total Jumlah Pengunjung Bukalapak</t>
  </si>
  <si>
    <t>Total Jumlah Pengunjung Semua E-Commerce</t>
  </si>
  <si>
    <t>Total 2020</t>
  </si>
  <si>
    <t>Total 2021</t>
  </si>
  <si>
    <t>Total 2022</t>
  </si>
  <si>
    <t>Total 2023</t>
  </si>
  <si>
    <t>Total Pengunjung Bukalapak</t>
  </si>
  <si>
    <t>Total Pengunjung Semua E-Commerce</t>
  </si>
  <si>
    <t>Loyalitas Konsumen (NPS)</t>
  </si>
  <si>
    <t>Angka dalam satuan persen(%) dari total pengguna</t>
  </si>
  <si>
    <t>Promotors</t>
  </si>
  <si>
    <t>Detractors</t>
  </si>
  <si>
    <t>Penurunan Pengaduan</t>
  </si>
  <si>
    <t>Selisih jumlah total pengaduan dengan periode sebelumnya</t>
  </si>
  <si>
    <t>Total Pengaduan</t>
  </si>
  <si>
    <t>Bulan</t>
  </si>
  <si>
    <t>Persentase Pangsa Pasar</t>
  </si>
  <si>
    <t>NPS</t>
  </si>
  <si>
    <t>Selisih Penurunan Pengaduan</t>
  </si>
  <si>
    <t>Perspektif Bisnis Internal</t>
  </si>
  <si>
    <t xml:space="preserve">Rugi / laba operasional </t>
  </si>
  <si>
    <t>y</t>
  </si>
  <si>
    <t>Laba / Rugi Operasional</t>
  </si>
  <si>
    <t>Total Asset</t>
  </si>
  <si>
    <t>Net Revenue</t>
  </si>
  <si>
    <t>Rugi Operasional</t>
  </si>
  <si>
    <t>Akumulasi Rugi Operasional</t>
  </si>
  <si>
    <t>Total Net Revenue</t>
  </si>
  <si>
    <t>Laba / Rugi Operasional 2020</t>
  </si>
  <si>
    <t>ATR 2020</t>
  </si>
  <si>
    <t>Laba / Rugi Operasional 2021</t>
  </si>
  <si>
    <t>ATR 2021</t>
  </si>
  <si>
    <t>Laba / Rugi Operasional 2022</t>
  </si>
  <si>
    <t>ATR 2022</t>
  </si>
  <si>
    <t>Laba / Rugi Operasional 2023</t>
  </si>
  <si>
    <t>ATR 2023</t>
  </si>
  <si>
    <t>Beban Penjualan dan Pemasaran</t>
  </si>
  <si>
    <t>Operating Margin</t>
  </si>
  <si>
    <t>Akumulasi Beban</t>
  </si>
  <si>
    <t>Laba Operasional</t>
  </si>
  <si>
    <t>Pendapatan Operasional</t>
  </si>
  <si>
    <t>Total</t>
  </si>
  <si>
    <t>Beban Penjualan dan Pemasaran 2020</t>
  </si>
  <si>
    <t>Beban Penjualan dan Pemasaran 2021</t>
  </si>
  <si>
    <t>−29914.97</t>
  </si>
  <si>
    <t>Beban Penjualan dan Pemasaran 2022</t>
  </si>
  <si>
    <t>−301730</t>
  </si>
  <si>
    <t>Beban Penjualan dan Pemasaran 2023</t>
  </si>
  <si>
    <t>−7196</t>
  </si>
  <si>
    <t>Laba kotor</t>
  </si>
  <si>
    <t>Biaya operasional</t>
  </si>
  <si>
    <t>total biaya pemasaran</t>
  </si>
  <si>
    <t>Biaya pemasaran</t>
  </si>
  <si>
    <t>Biaya penjulaan</t>
  </si>
  <si>
    <t>Biaya Pemasaran</t>
  </si>
  <si>
    <t>Biaya Penjualan</t>
  </si>
  <si>
    <t>Penjelasan:</t>
  </si>
  <si>
    <t>ini di laporan keberlanjutan semua ada di drive</t>
  </si>
  <si>
    <t>Jumlah Karyawan</t>
  </si>
  <si>
    <t xml:space="preserve">Pertumbuhan </t>
  </si>
  <si>
    <t>&gt;100% tumbuh</t>
  </si>
  <si>
    <t>&lt;100% kurang</t>
  </si>
  <si>
    <t>JUMLAH KARYAWAN
TOKO MERAH</t>
  </si>
  <si>
    <t>RATA-RATA JAM PELATIHAN
TOKO MERAH</t>
  </si>
  <si>
    <t>PRESENTASE KARYAWAN S2/S3
TOKO MERAH</t>
  </si>
  <si>
    <t>Penambahan Karyawan</t>
  </si>
  <si>
    <t>Pengurangan Karyawan</t>
  </si>
  <si>
    <t>Total Jam Pelatihan</t>
  </si>
  <si>
    <t>Rata-rata Jam Pelatihan</t>
  </si>
  <si>
    <t>Total Karyawan S2/S3</t>
  </si>
  <si>
    <t>Total Keryawan</t>
  </si>
  <si>
    <t>Presentase</t>
  </si>
  <si>
    <t>1900</t>
  </si>
  <si>
    <t>1810</t>
  </si>
  <si>
    <t>1850</t>
  </si>
  <si>
    <t>1838</t>
  </si>
  <si>
    <t>Jumlah Karyawan 2020</t>
  </si>
  <si>
    <t>Jumlah Karyawan 2021</t>
  </si>
  <si>
    <t>Rata-rata Jam Pelatihan 2020</t>
  </si>
  <si>
    <t>2236</t>
  </si>
  <si>
    <t>Jumlah Karyawan 2022</t>
  </si>
  <si>
    <t>Jumlah Karyawan 2023</t>
  </si>
  <si>
    <t>RATA-RATA PRESENTASE KEPUASAN KARYAWAN
TOKO MERAH</t>
  </si>
  <si>
    <t>Rata-rata Jam Pelatihan 2021</t>
  </si>
  <si>
    <t>Skor Kepuasan Karyawan</t>
  </si>
  <si>
    <t>1815</t>
  </si>
  <si>
    <t>Rata-rata Jam Pelatihan 2022</t>
  </si>
  <si>
    <t>Rata-rata Nilai 2020</t>
  </si>
  <si>
    <t>1538</t>
  </si>
  <si>
    <t>Rata-rata Jam Pelatihan 2023</t>
  </si>
  <si>
    <t>Rata-rata Nilai 2021</t>
  </si>
  <si>
    <t>Rata-rata Nilai 2022</t>
  </si>
  <si>
    <t>Rata-rata Nilai 2023</t>
  </si>
  <si>
    <t>Jam Pelatihan</t>
  </si>
  <si>
    <t>ROE</t>
  </si>
  <si>
    <t>ROIC</t>
  </si>
  <si>
    <t>Kamis, 09 Januari 2020</t>
  </si>
  <si>
    <t>31,50%</t>
  </si>
  <si>
    <t>17,07%</t>
  </si>
  <si>
    <t>-204,91%</t>
  </si>
  <si>
    <t>Sabtu, 29 Februari 2020</t>
  </si>
  <si>
    <t>9,80%</t>
  </si>
  <si>
    <t>25,64%</t>
  </si>
  <si>
    <t>Selasa, 31 Maret 2020</t>
  </si>
  <si>
    <t>11,37%</t>
  </si>
  <si>
    <t>-1,11%</t>
  </si>
  <si>
    <t>Kamis, 30 April 2020</t>
  </si>
  <si>
    <t>237,91%</t>
  </si>
  <si>
    <t>-42,01%</t>
  </si>
  <si>
    <t>-156,08%</t>
  </si>
  <si>
    <t>Minggu, 31 Mei 2020</t>
  </si>
  <si>
    <t>805,53%</t>
  </si>
  <si>
    <t>-52,54%</t>
  </si>
  <si>
    <t>Selasa, 30 Juni 2020</t>
  </si>
  <si>
    <t>239,82%</t>
  </si>
  <si>
    <t>-63,78%</t>
  </si>
  <si>
    <t>Jumat, 31 Juli 2020</t>
  </si>
  <si>
    <t>152,81%</t>
  </si>
  <si>
    <t>-5,89%</t>
  </si>
  <si>
    <t>230,63%</t>
  </si>
  <si>
    <t>Senin, 31 Agustus 2020</t>
  </si>
  <si>
    <t>584,68%</t>
  </si>
  <si>
    <t>-1,04%</t>
  </si>
  <si>
    <t>Rabu, 30 September 2020</t>
  </si>
  <si>
    <t>-931,87%</t>
  </si>
  <si>
    <t>-0,47%</t>
  </si>
  <si>
    <t>Sabtu, 31 Oktober 2020</t>
  </si>
  <si>
    <t>108,19%</t>
  </si>
  <si>
    <t>5,89%</t>
  </si>
  <si>
    <t>-95,43%</t>
  </si>
  <si>
    <t>Senin, 30 November 2020</t>
  </si>
  <si>
    <t>104,50%</t>
  </si>
  <si>
    <t>67,05%</t>
  </si>
  <si>
    <t>Kamis, 31 Desember 2020</t>
  </si>
  <si>
    <t>20,80%</t>
  </si>
  <si>
    <t>51,82%</t>
  </si>
  <si>
    <t>21,29%</t>
  </si>
  <si>
    <t>48,16%</t>
  </si>
  <si>
    <t>10,64%</t>
  </si>
  <si>
    <t>74,99%</t>
  </si>
  <si>
    <t>58,82%</t>
  </si>
  <si>
    <t>Minggu, 31 Januari 2021</t>
  </si>
  <si>
    <t>17,60%</t>
  </si>
  <si>
    <t>18,07%</t>
  </si>
  <si>
    <t>Minggu, 28 Februari 2021</t>
  </si>
  <si>
    <t>52,73%</t>
  </si>
  <si>
    <t>-28,80%</t>
  </si>
  <si>
    <t>-124,76%</t>
  </si>
  <si>
    <t>Rabu, 31 Maret 2021</t>
  </si>
  <si>
    <t>35,67%</t>
  </si>
  <si>
    <t>-37,17%</t>
  </si>
  <si>
    <t>Jumat, 30 April 2021</t>
  </si>
  <si>
    <t>63,73%</t>
  </si>
  <si>
    <t>-36,51%</t>
  </si>
  <si>
    <t>Senin, 31 Mei 2021</t>
  </si>
  <si>
    <t>58,29%</t>
  </si>
  <si>
    <t>-0,70%</t>
  </si>
  <si>
    <t>-124,59%</t>
  </si>
  <si>
    <t>Rabu, 30 Juni 2021</t>
  </si>
  <si>
    <t>347,03%</t>
  </si>
  <si>
    <t>-1,65%</t>
  </si>
  <si>
    <t>Sabtu, 31 Juli 2021</t>
  </si>
  <si>
    <t>647,03%</t>
  </si>
  <si>
    <t>-1,39%</t>
  </si>
  <si>
    <t>Selasa, 31 Agustus 2021</t>
  </si>
  <si>
    <t>115,34%</t>
  </si>
  <si>
    <t>-1,08%</t>
  </si>
  <si>
    <t>14,63%</t>
  </si>
  <si>
    <t>Kamis, 30 September 2021</t>
  </si>
  <si>
    <t>1053,39%</t>
  </si>
  <si>
    <t>-1,37%</t>
  </si>
  <si>
    <t>Minggu, 31 Oktober 2021</t>
  </si>
  <si>
    <t>31,04%</t>
  </si>
  <si>
    <t>1,12%</t>
  </si>
  <si>
    <t>Selasa, 30 November 2021</t>
  </si>
  <si>
    <t>153,03%</t>
  </si>
  <si>
    <t>10,68%</t>
  </si>
  <si>
    <t>-2,85%</t>
  </si>
  <si>
    <t>Jumat, 31 Desember 2021</t>
  </si>
  <si>
    <t>58,05%</t>
  </si>
  <si>
    <t>3,28%</t>
  </si>
  <si>
    <t>53,88%</t>
  </si>
  <si>
    <t>18,05%</t>
  </si>
  <si>
    <t>Kamis, 10 Februari 2022</t>
  </si>
  <si>
    <t>149,72%</t>
  </si>
  <si>
    <t>-1,10%</t>
  </si>
  <si>
    <t>7,99%</t>
  </si>
  <si>
    <t>Rabu, 02 Maret 2022</t>
  </si>
  <si>
    <t>76,49%</t>
  </si>
  <si>
    <t>-3,79%</t>
  </si>
  <si>
    <t>Rabu, 06 April 2022</t>
  </si>
  <si>
    <t>72,54%</t>
  </si>
  <si>
    <t>-3,38%</t>
  </si>
  <si>
    <t>Rabu, 04 Mei 2022</t>
  </si>
  <si>
    <t>53,97%</t>
  </si>
  <si>
    <t>0,19%</t>
  </si>
  <si>
    <t>-741,58%</t>
  </si>
  <si>
    <t>Rabu, 01 Juni 2022</t>
  </si>
  <si>
    <t>171,95%</t>
  </si>
  <si>
    <t>0,50%</t>
  </si>
  <si>
    <t>Rabu, 06 Juli 2022</t>
  </si>
  <si>
    <t>201,84%</t>
  </si>
  <si>
    <t>0,39%</t>
  </si>
  <si>
    <t>Selasa, 09 Agustus 2022</t>
  </si>
  <si>
    <t>4,73%</t>
  </si>
  <si>
    <t>0,08%</t>
  </si>
  <si>
    <t>-6,78%</t>
  </si>
  <si>
    <t>Rabu, 21 September 2022</t>
  </si>
  <si>
    <t>20,05%</t>
  </si>
  <si>
    <t>-0,66%</t>
  </si>
  <si>
    <t>Rabu, 26 Oktober 2022</t>
  </si>
  <si>
    <t>76,97%</t>
  </si>
  <si>
    <t>0,25%</t>
  </si>
  <si>
    <t>Selasa, 22 November 2022</t>
  </si>
  <si>
    <t>51,47%</t>
  </si>
  <si>
    <t>0,07%</t>
  </si>
  <si>
    <t>-3,61%</t>
  </si>
  <si>
    <t>Kamis, 29 Desember 2022</t>
  </si>
  <si>
    <t>72,34%</t>
  </si>
  <si>
    <t>0,13%</t>
  </si>
  <si>
    <t>506,21%</t>
  </si>
  <si>
    <t>149,01%</t>
  </si>
  <si>
    <t>1,31%</t>
  </si>
  <si>
    <t>0,73%</t>
  </si>
  <si>
    <t>Selasa, 24 Januari 2023</t>
  </si>
  <si>
    <t>10,37%</t>
  </si>
  <si>
    <t>1,94%</t>
  </si>
  <si>
    <t>Selasa, 28 Februari 2023</t>
  </si>
  <si>
    <t>7,24%</t>
  </si>
  <si>
    <t>-0,07%</t>
  </si>
  <si>
    <t>Kamis, 30 Maret 2023</t>
  </si>
  <si>
    <t>50,07%</t>
  </si>
  <si>
    <t>-0,03%</t>
  </si>
  <si>
    <t>9,99%</t>
  </si>
  <si>
    <t>Kamis, 27 April 2023</t>
  </si>
  <si>
    <t>42,49%</t>
  </si>
  <si>
    <t>-0,34%</t>
  </si>
  <si>
    <t>Rabu, 31 Mei 2023</t>
  </si>
  <si>
    <t>28,81%</t>
  </si>
  <si>
    <t>-0,21%</t>
  </si>
  <si>
    <t>Jumat, 30 Juni 2023</t>
  </si>
  <si>
    <t>104,01%</t>
  </si>
  <si>
    <t>-0,06%</t>
  </si>
  <si>
    <t>-8,51%</t>
  </si>
  <si>
    <t>Kamis, 27 Juli 2023</t>
  </si>
  <si>
    <t>169,30%</t>
  </si>
  <si>
    <t>-0,20%</t>
  </si>
  <si>
    <t>Kamis, 31 Agustus 2023</t>
  </si>
  <si>
    <t>23,74%</t>
  </si>
  <si>
    <t>-0,19%</t>
  </si>
  <si>
    <t>Jumat, 29 September 2023</t>
  </si>
  <si>
    <t>100,00%</t>
  </si>
  <si>
    <t>-0,08%</t>
  </si>
  <si>
    <t>1,67%</t>
  </si>
  <si>
    <t>Selasa, 31 Oktober 2023</t>
  </si>
  <si>
    <t>-261,13%</t>
  </si>
  <si>
    <t>-0,43%</t>
  </si>
  <si>
    <t>Kamis, 30 November 2023</t>
  </si>
  <si>
    <t>-509,17%</t>
  </si>
  <si>
    <t>1,96%</t>
  </si>
  <si>
    <t>Sabtu, 30 Desember 2023</t>
  </si>
  <si>
    <t>47,55%</t>
  </si>
  <si>
    <t>1,18%</t>
  </si>
  <si>
    <t>Minggu, 31 Desember 2023</t>
  </si>
  <si>
    <t>39,97%</t>
  </si>
  <si>
    <t>-0,37%</t>
  </si>
  <si>
    <t>Rabu, 01 Januari 2020</t>
  </si>
  <si>
    <t>81,33%</t>
  </si>
  <si>
    <t>11,14%</t>
  </si>
  <si>
    <t>41,33%</t>
  </si>
  <si>
    <t>Rabu, 01 April 2020</t>
  </si>
  <si>
    <t>80,67%</t>
  </si>
  <si>
    <t>11,19%</t>
  </si>
  <si>
    <t>41,00%</t>
  </si>
  <si>
    <t>Rabu, 01 Juli 2020</t>
  </si>
  <si>
    <t>82,00%</t>
  </si>
  <si>
    <t>10,81%</t>
  </si>
  <si>
    <t>Kamis, 01 Oktober 2020</t>
  </si>
  <si>
    <t>15,73%</t>
  </si>
  <si>
    <t>40,67%</t>
  </si>
  <si>
    <t>Jumat, 01 Januari 2021</t>
  </si>
  <si>
    <t>85,67%</t>
  </si>
  <si>
    <t>7,29%</t>
  </si>
  <si>
    <t>49,00%</t>
  </si>
  <si>
    <t>Kamis, 01 April 2021</t>
  </si>
  <si>
    <t>83,33%</t>
  </si>
  <si>
    <t>6,80%</t>
  </si>
  <si>
    <t>Kamis, 01 Juli 2021</t>
  </si>
  <si>
    <t>84,67%</t>
  </si>
  <si>
    <t>7,07%</t>
  </si>
  <si>
    <t>Jumat, 01 Oktober 2021</t>
  </si>
  <si>
    <t>Sabtu, 01 Januari 2022</t>
  </si>
  <si>
    <t>82,73%</t>
  </si>
  <si>
    <t>3,29%</t>
  </si>
  <si>
    <t>57,00%</t>
  </si>
  <si>
    <t>Jumat, 01 April 2022</t>
  </si>
  <si>
    <t>3,33%</t>
  </si>
  <si>
    <t>59,67%</t>
  </si>
  <si>
    <t>Jumat, 01 Juli 2022</t>
  </si>
  <si>
    <t>3,63%</t>
  </si>
  <si>
    <t>58,67%</t>
  </si>
  <si>
    <t>Sabtu, 01 Oktober 2022</t>
  </si>
  <si>
    <t>82,67%</t>
  </si>
  <si>
    <t>4,72%</t>
  </si>
  <si>
    <t>60,67%</t>
  </si>
  <si>
    <t>Minggu, 01 Januari 2023</t>
  </si>
  <si>
    <t>76,00%</t>
  </si>
  <si>
    <t>3,10%</t>
  </si>
  <si>
    <t>52,67%</t>
  </si>
  <si>
    <t>Sabtu, 01 April 2023</t>
  </si>
  <si>
    <t>75,33%</t>
  </si>
  <si>
    <t>3,02%</t>
  </si>
  <si>
    <t>54,00%</t>
  </si>
  <si>
    <t>Sabtu, 01 Juli 2023</t>
  </si>
  <si>
    <t>76,67%</t>
  </si>
  <si>
    <t>2,93%</t>
  </si>
  <si>
    <t>53,00%</t>
  </si>
  <si>
    <t>Minggu, 01 Oktober 2023</t>
  </si>
  <si>
    <t>77,27%</t>
  </si>
  <si>
    <t>4,08%</t>
  </si>
  <si>
    <t>54,33%</t>
  </si>
  <si>
    <t>ATO</t>
  </si>
  <si>
    <t>operating margin</t>
  </si>
  <si>
    <t>Laba operasional</t>
  </si>
  <si>
    <t>beban total</t>
  </si>
  <si>
    <t>13,72%</t>
  </si>
  <si>
    <t>-136,97%</t>
  </si>
  <si>
    <t>13,60%</t>
  </si>
  <si>
    <t>-137,41%</t>
  </si>
  <si>
    <t>13,20%</t>
  </si>
  <si>
    <t>-205,84%</t>
  </si>
  <si>
    <t>13,09%</t>
  </si>
  <si>
    <t>-137,02%</t>
  </si>
  <si>
    <t>1,78%</t>
  </si>
  <si>
    <t>-90,60%</t>
  </si>
  <si>
    <t>1,83%</t>
  </si>
  <si>
    <t>-90,39%</t>
  </si>
  <si>
    <t>17,45%</t>
  </si>
  <si>
    <t>-90,42%</t>
  </si>
  <si>
    <t>-90,53%</t>
  </si>
  <si>
    <t>-70,84%</t>
  </si>
  <si>
    <t>3,36%</t>
  </si>
  <si>
    <t>3,25%</t>
  </si>
  <si>
    <t>-70,59%</t>
  </si>
  <si>
    <t>3,43%</t>
  </si>
  <si>
    <t>4,04%</t>
  </si>
  <si>
    <t>-18,90%</t>
  </si>
  <si>
    <t>41,36%</t>
  </si>
  <si>
    <t>-18,89%</t>
  </si>
  <si>
    <t>4,11%</t>
  </si>
  <si>
    <t>-18,88%</t>
  </si>
  <si>
    <t>4,38%</t>
  </si>
  <si>
    <t>kepuasan karyawan %</t>
  </si>
  <si>
    <t>jam pelatihan per karyawan</t>
  </si>
  <si>
    <t>persentase s2/s3</t>
  </si>
  <si>
    <t>88,00%</t>
  </si>
  <si>
    <t>8,84%</t>
  </si>
  <si>
    <t>Sabtu, 01 Februari 2020</t>
  </si>
  <si>
    <t>84,00%</t>
  </si>
  <si>
    <t>Minggu, 01 Maret 2020</t>
  </si>
  <si>
    <t>86,00%</t>
  </si>
  <si>
    <t>92,00%</t>
  </si>
  <si>
    <t>9,46%</t>
  </si>
  <si>
    <t>Jumat, 01 Mei 2020</t>
  </si>
  <si>
    <t>Senin, 01 Juni 2020</t>
  </si>
  <si>
    <t>9,63%</t>
  </si>
  <si>
    <t>Sabtu, 01 Agustus 2020</t>
  </si>
  <si>
    <t>80,00%</t>
  </si>
  <si>
    <t>Selasa, 01 September 2020</t>
  </si>
  <si>
    <t>90,00%</t>
  </si>
  <si>
    <t>9,00%</t>
  </si>
  <si>
    <t>Minggu, 01 November 2020</t>
  </si>
  <si>
    <t>Selasa, 01 Desember 2020</t>
  </si>
  <si>
    <t>9,96%</t>
  </si>
  <si>
    <t>Senin, 01 Februari 2021</t>
  </si>
  <si>
    <t>96,00%</t>
  </si>
  <si>
    <t>Senin, 01 Maret 2021</t>
  </si>
  <si>
    <t>9,86%</t>
  </si>
  <si>
    <t>Sabtu, 01 Mei 2021</t>
  </si>
  <si>
    <t>94,00%</t>
  </si>
  <si>
    <t>Selasa, 01 Juni 2021</t>
  </si>
  <si>
    <t>98,00%</t>
  </si>
  <si>
    <t>9,79%</t>
  </si>
  <si>
    <t>Minggu, 01 Agustus 2021</t>
  </si>
  <si>
    <t>Rabu, 01 September 2021</t>
  </si>
  <si>
    <t>9,81%</t>
  </si>
  <si>
    <t>Senin, 01 November 2021</t>
  </si>
  <si>
    <t>Rabu, 01 Desember 2021</t>
  </si>
  <si>
    <t>8,87%</t>
  </si>
  <si>
    <t>Selasa, 01 Februari 2022</t>
  </si>
  <si>
    <t>Selasa, 01 Maret 2022</t>
  </si>
  <si>
    <t>10,42%</t>
  </si>
  <si>
    <t>Minggu, 01 Mei 2022</t>
  </si>
  <si>
    <t>9,92%</t>
  </si>
  <si>
    <t>Senin, 01 Agustus 2022</t>
  </si>
  <si>
    <t>Kamis, 01 September 2022</t>
  </si>
  <si>
    <t>9,14%</t>
  </si>
  <si>
    <t>Selasa, 01 November 2022</t>
  </si>
  <si>
    <t>Kamis, 01 Desember 2022</t>
  </si>
  <si>
    <t>10,29%</t>
  </si>
  <si>
    <t>Rabu, 01 Februari 2023</t>
  </si>
  <si>
    <t>Rabu, 01 Maret 2023</t>
  </si>
  <si>
    <t>9,82%</t>
  </si>
  <si>
    <t>Senin, 01 Mei 2023</t>
  </si>
  <si>
    <t>Kamis, 01 Juni 2023</t>
  </si>
  <si>
    <t>Selasa, 01 Agustus 2023</t>
  </si>
  <si>
    <t>10,01%</t>
  </si>
  <si>
    <t>Jumat, 01 September 2023</t>
  </si>
  <si>
    <t>10,53%</t>
  </si>
  <si>
    <t>Rabu, 01 November 2023</t>
  </si>
  <si>
    <t>Jumat, 01 Desember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</si>
</sst>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[$Rp]#,##0"/>
    <numFmt numFmtId="165" formatCode="dd/MM/yyyy"/>
    <numFmt numFmtId="166" formatCode="yyyy/mm/dd"/>
    <numFmt numFmtId="167" formatCode="dd&quot;/&quot;mm&quot;/&quot;yyyy"/>
    <numFmt numFmtId="168" formatCode="yyyy/m/d"/>
    <numFmt numFmtId="169" formatCode="yyyy-mm-dd"/>
    <numFmt numFmtId="170" formatCode="m/d/yyyy"/>
    <numFmt numFmtId="171" formatCode="0.000"/>
    <numFmt numFmtId="172" formatCode="mm/dd/yyyy"/>
  </numFmts>
  <fonts count="38">
    <font>
      <sz val="10.0"/>
      <color rgb="FF000000"/>
      <name val="Arial"/>
      <scheme val="minor"/>
    </font>
    <font>
      <color theme="1"/>
      <name val="Arial"/>
    </font>
    <font>
      <b/>
      <sz val="13.0"/>
      <color theme="1"/>
      <name val="Calibri"/>
    </font>
    <font/>
    <font>
      <sz val="11.0"/>
      <color theme="1"/>
      <name val="Calibri"/>
    </font>
    <font>
      <sz val="12.0"/>
      <color theme="1"/>
      <name val="Times New Roman"/>
    </font>
    <font>
      <sz val="11.0"/>
      <color theme="1"/>
      <name val="Docs-Calibri"/>
    </font>
    <font>
      <i/>
      <color rgb="FF5F6368"/>
      <name val="Arial"/>
    </font>
    <font>
      <b/>
      <sz val="11.0"/>
      <color theme="1"/>
      <name val="Calibri"/>
    </font>
    <font>
      <b/>
      <sz val="14.0"/>
      <color theme="1"/>
      <name val="Arial"/>
      <scheme val="minor"/>
    </font>
    <font>
      <color theme="1"/>
      <name val="Arial"/>
      <scheme val="minor"/>
    </font>
    <font>
      <sz val="11.0"/>
      <color theme="1"/>
      <name val="Comic Sans MS"/>
    </font>
    <font>
      <color theme="1"/>
      <name val="Comic Sans MS"/>
    </font>
    <font>
      <b/>
      <sz val="13.0"/>
      <color theme="1"/>
      <name val="Roboto"/>
    </font>
    <font>
      <b/>
      <i/>
      <sz val="18.0"/>
      <color rgb="FFFFFFFF"/>
      <name val="Roboto"/>
    </font>
    <font>
      <b/>
      <i/>
      <sz val="8.0"/>
      <color rgb="FFFFFFFF"/>
      <name val="Roboto"/>
    </font>
    <font>
      <b/>
      <i/>
      <sz val="8.0"/>
      <color rgb="FF666666"/>
      <name val="Roboto"/>
    </font>
    <font>
      <b/>
      <sz val="12.0"/>
      <color theme="1"/>
      <name val="Arial"/>
      <scheme val="minor"/>
    </font>
    <font>
      <sz val="11.0"/>
      <color theme="1"/>
      <name val="Roboto"/>
    </font>
    <font>
      <sz val="11.0"/>
      <color theme="1"/>
      <name val="Arial"/>
      <scheme val="minor"/>
    </font>
    <font>
      <sz val="10.0"/>
      <color theme="1"/>
      <name val="Arial"/>
      <scheme val="minor"/>
    </font>
    <font>
      <b/>
      <i/>
      <sz val="8.0"/>
      <color rgb="FF666666"/>
      <name val="&quot;docs-Roboto&quot;"/>
    </font>
    <font>
      <sz val="11.0"/>
      <color theme="1"/>
      <name val="Arial"/>
    </font>
    <font>
      <b/>
      <sz val="12.0"/>
      <color theme="1"/>
      <name val="Arial"/>
    </font>
    <font>
      <b/>
      <sz val="11.0"/>
      <color theme="1"/>
      <name val="Arial"/>
      <scheme val="minor"/>
    </font>
    <font>
      <b/>
      <sz val="11.0"/>
      <color theme="1"/>
      <name val="Arial"/>
    </font>
    <font>
      <color rgb="FF000000"/>
      <name val="Söhne"/>
    </font>
    <font>
      <color rgb="FF000000"/>
      <name val="Arial"/>
      <scheme val="minor"/>
    </font>
    <font>
      <sz val="12.0"/>
      <color theme="1"/>
      <name val="Arial"/>
      <scheme val="minor"/>
    </font>
    <font>
      <sz val="10.0"/>
      <color rgb="FF1F1F1F"/>
      <name val="Arial"/>
      <scheme val="minor"/>
    </font>
    <font>
      <b/>
      <color theme="1"/>
      <name val="Arial"/>
      <scheme val="minor"/>
    </font>
    <font>
      <sz val="12.0"/>
      <color theme="1"/>
      <name val="Arial"/>
    </font>
    <font>
      <color rgb="FF1F1F1F"/>
      <name val="Arial"/>
    </font>
    <font>
      <color rgb="FF0D0D0D"/>
      <name val="Arial"/>
    </font>
    <font>
      <color rgb="FF0D0D0D"/>
      <name val="Ui-sans-serif"/>
    </font>
    <font>
      <sz val="11.0"/>
      <color rgb="FF000000"/>
      <name val="Docs-Calibri"/>
    </font>
    <font>
      <sz val="12.0"/>
      <color rgb="FF0D0D0D"/>
      <name val="Ui-sans-serif"/>
    </font>
    <font>
      <b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D0E0E3"/>
        <bgColor rgb="FFD0E0E3"/>
      </patternFill>
    </fill>
    <fill>
      <patternFill patternType="solid">
        <fgColor rgb="FFDDF2F0"/>
        <bgColor rgb="FFDDF2F0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BDBDBD"/>
        <bgColor rgb="FFBDBDBD"/>
      </patternFill>
    </fill>
    <fill>
      <patternFill patternType="solid">
        <fgColor rgb="FF999999"/>
        <bgColor rgb="FF999999"/>
      </patternFill>
    </fill>
  </fills>
  <borders count="20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E3E3E3"/>
      </left>
      <right style="thin">
        <color rgb="FFE3E3E3"/>
      </right>
      <bottom style="thin">
        <color rgb="FF000000"/>
      </bottom>
    </border>
    <border>
      <left style="thin">
        <color rgb="FFE3E3E3"/>
      </left>
      <bottom style="thin">
        <color rgb="FF000000"/>
      </bottom>
    </border>
    <border>
      <left style="thin">
        <color rgb="FFE3E3E3"/>
      </left>
      <top style="thin">
        <color rgb="FFE3E3E3"/>
      </top>
      <bottom style="thin">
        <color rgb="FF000000"/>
      </bottom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000000"/>
      </bottom>
    </border>
  </borders>
  <cellStyleXfs count="1">
    <xf borderId="0" fillId="0" fontId="0" numFmtId="0" applyAlignment="1" applyFont="1"/>
  </cellStyleXfs>
  <cellXfs count="4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2" fontId="1" numFmtId="0" xfId="0" applyAlignment="1" applyBorder="1" applyFill="1" applyFont="1">
      <alignment vertical="bottom"/>
    </xf>
    <xf borderId="3" fillId="3" fontId="2" numFmtId="0" xfId="0" applyAlignment="1" applyBorder="1" applyFill="1" applyFont="1">
      <alignment horizontal="center" shrinkToFit="0" wrapText="1"/>
    </xf>
    <xf borderId="3" fillId="3" fontId="2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vertical="bottom"/>
    </xf>
    <xf borderId="1" fillId="4" fontId="2" numFmtId="0" xfId="0" applyAlignment="1" applyBorder="1" applyFill="1" applyFont="1">
      <alignment shrinkToFit="0" vertical="bottom" wrapText="1"/>
    </xf>
    <xf borderId="1" fillId="2" fontId="3" numFmtId="0" xfId="0" applyBorder="1" applyFont="1"/>
    <xf borderId="3" fillId="4" fontId="1" numFmtId="9" xfId="0" applyAlignment="1" applyBorder="1" applyFont="1" applyNumberFormat="1">
      <alignment vertical="bottom"/>
    </xf>
    <xf borderId="3" fillId="4" fontId="2" numFmtId="9" xfId="0" applyAlignment="1" applyBorder="1" applyFont="1" applyNumberFormat="1">
      <alignment horizontal="right" shrinkToFit="0" vertical="bottom" wrapText="1"/>
    </xf>
    <xf borderId="3" fillId="2" fontId="4" numFmtId="0" xfId="0" applyAlignment="1" applyBorder="1" applyFont="1">
      <alignment shrinkToFit="0" vertical="bottom" wrapText="1"/>
    </xf>
    <xf borderId="3" fillId="2" fontId="5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horizontal="right" shrinkToFit="0" vertical="bottom" wrapText="1"/>
    </xf>
    <xf borderId="3" fillId="2" fontId="4" numFmtId="0" xfId="0" applyAlignment="1" applyBorder="1" applyFont="1">
      <alignment horizontal="right" shrinkToFit="0" vertical="bottom" wrapText="1"/>
    </xf>
    <xf borderId="3" fillId="2" fontId="4" numFmtId="0" xfId="0" applyAlignment="1" applyBorder="1" applyFont="1">
      <alignment vertical="bottom"/>
    </xf>
    <xf borderId="3" fillId="2" fontId="4" numFmtId="9" xfId="0" applyAlignment="1" applyBorder="1" applyFont="1" applyNumberFormat="1">
      <alignment readingOrder="0" vertical="bottom"/>
    </xf>
    <xf borderId="3" fillId="0" fontId="4" numFmtId="0" xfId="0" applyAlignment="1" applyBorder="1" applyFont="1">
      <alignment vertical="bottom"/>
    </xf>
    <xf borderId="1" fillId="4" fontId="2" numFmtId="0" xfId="0" applyAlignment="1" applyBorder="1" applyFont="1">
      <alignment shrinkToFit="0" vertical="bottom" wrapText="1"/>
    </xf>
    <xf borderId="1" fillId="5" fontId="3" numFmtId="0" xfId="0" applyBorder="1" applyFill="1" applyFont="1"/>
    <xf borderId="3" fillId="2" fontId="4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vertical="bottom"/>
    </xf>
    <xf borderId="3" fillId="2" fontId="4" numFmtId="0" xfId="0" applyAlignment="1" applyBorder="1" applyFont="1">
      <alignment readingOrder="0" shrinkToFit="0" vertical="bottom" wrapText="1"/>
    </xf>
    <xf borderId="3" fillId="2" fontId="1" numFmtId="0" xfId="0" applyAlignment="1" applyBorder="1" applyFont="1">
      <alignment shrinkToFit="0" vertical="bottom" wrapText="1"/>
    </xf>
    <xf borderId="3" fillId="2" fontId="6" numFmtId="0" xfId="0" applyAlignment="1" applyBorder="1" applyFont="1">
      <alignment shrinkToFit="0" vertical="bottom" wrapText="1"/>
    </xf>
    <xf borderId="3" fillId="2" fontId="4" numFmtId="3" xfId="0" applyAlignment="1" applyBorder="1" applyFont="1" applyNumberFormat="1">
      <alignment horizontal="right" shrinkToFit="0" vertical="bottom" wrapText="1"/>
    </xf>
    <xf borderId="4" fillId="0" fontId="4" numFmtId="0" xfId="0" applyAlignment="1" applyBorder="1" applyFont="1">
      <alignment shrinkToFit="0" vertical="bottom" wrapText="1"/>
    </xf>
    <xf borderId="1" fillId="4" fontId="1" numFmtId="9" xfId="0" applyAlignment="1" applyBorder="1" applyFont="1" applyNumberFormat="1">
      <alignment vertical="bottom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3" fillId="6" fontId="8" numFmtId="0" xfId="0" applyAlignment="1" applyBorder="1" applyFill="1" applyFont="1">
      <alignment horizontal="center" shrinkToFit="0" vertical="bottom" wrapText="1"/>
    </xf>
    <xf borderId="2" fillId="6" fontId="8" numFmtId="0" xfId="0" applyAlignment="1" applyBorder="1" applyFont="1">
      <alignment horizontal="center" shrinkToFit="0" vertical="bottom" wrapText="1"/>
    </xf>
    <xf borderId="2" fillId="6" fontId="2" numFmtId="0" xfId="0" applyAlignment="1" applyBorder="1" applyFont="1">
      <alignment horizontal="center" shrinkToFit="0" wrapText="1"/>
    </xf>
    <xf borderId="3" fillId="6" fontId="2" numFmtId="0" xfId="0" applyAlignment="1" applyBorder="1" applyFont="1">
      <alignment horizontal="center" readingOrder="0" shrinkToFit="0" wrapText="1"/>
    </xf>
    <xf borderId="5" fillId="7" fontId="8" numFmtId="0" xfId="0" applyAlignment="1" applyBorder="1" applyFill="1" applyFont="1">
      <alignment shrinkToFit="0" vertical="bottom" wrapText="1"/>
    </xf>
    <xf borderId="6" fillId="0" fontId="3" numFmtId="0" xfId="0" applyBorder="1" applyFont="1"/>
    <xf borderId="7" fillId="0" fontId="3" numFmtId="0" xfId="0" applyBorder="1" applyFont="1"/>
    <xf borderId="3" fillId="7" fontId="8" numFmtId="9" xfId="0" applyAlignment="1" applyBorder="1" applyFont="1" applyNumberFormat="1">
      <alignment horizontal="right" readingOrder="0" shrinkToFit="0" vertical="bottom" wrapText="1"/>
    </xf>
    <xf borderId="3" fillId="2" fontId="4" numFmtId="0" xfId="0" applyAlignment="1" applyBorder="1" applyFont="1">
      <alignment horizontal="center" shrinkToFit="0" vertical="bottom" wrapText="1"/>
    </xf>
    <xf borderId="3" fillId="0" fontId="4" numFmtId="0" xfId="0" applyAlignment="1" applyBorder="1" applyFont="1">
      <alignment shrinkToFit="0" vertical="bottom" wrapText="1"/>
    </xf>
    <xf borderId="3" fillId="0" fontId="4" numFmtId="0" xfId="0" applyAlignment="1" applyBorder="1" applyFont="1">
      <alignment horizontal="center" shrinkToFit="0" vertical="bottom" wrapText="1"/>
    </xf>
    <xf borderId="3" fillId="0" fontId="4" numFmtId="0" xfId="0" applyAlignment="1" applyBorder="1" applyFont="1">
      <alignment horizontal="center" shrinkToFit="0" vertical="bottom" wrapText="1"/>
    </xf>
    <xf borderId="3" fillId="0" fontId="4" numFmtId="9" xfId="0" applyAlignment="1" applyBorder="1" applyFont="1" applyNumberFormat="1">
      <alignment horizontal="center" vertical="bottom"/>
    </xf>
    <xf borderId="3" fillId="2" fontId="4" numFmtId="0" xfId="0" applyAlignment="1" applyBorder="1" applyFont="1">
      <alignment horizontal="center" shrinkToFit="0" vertical="bottom" wrapText="1"/>
    </xf>
    <xf borderId="3" fillId="0" fontId="4" numFmtId="0" xfId="0" applyAlignment="1" applyBorder="1" applyFont="1">
      <alignment horizontal="center" vertical="bottom"/>
    </xf>
    <xf borderId="1" fillId="7" fontId="8" numFmtId="0" xfId="0" applyAlignment="1" applyBorder="1" applyFont="1">
      <alignment shrinkToFit="0" vertical="bottom" wrapText="1"/>
    </xf>
    <xf borderId="1" fillId="0" fontId="3" numFmtId="0" xfId="0" applyBorder="1" applyFont="1"/>
    <xf borderId="3" fillId="0" fontId="3" numFmtId="0" xfId="0" applyBorder="1" applyFont="1"/>
    <xf borderId="1" fillId="7" fontId="1" numFmtId="9" xfId="0" applyAlignment="1" applyBorder="1" applyFont="1" applyNumberFormat="1">
      <alignment vertical="bottom"/>
    </xf>
    <xf borderId="3" fillId="7" fontId="8" numFmtId="9" xfId="0" applyAlignment="1" applyBorder="1" applyFont="1" applyNumberFormat="1">
      <alignment horizontal="right" shrinkToFit="0" vertical="bottom" wrapText="1"/>
    </xf>
    <xf borderId="3" fillId="0" fontId="4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horizontal="center" vertical="bottom"/>
    </xf>
    <xf borderId="3" fillId="0" fontId="1" numFmtId="0" xfId="0" applyAlignment="1" applyBorder="1" applyFont="1">
      <alignment shrinkToFit="0" vertical="bottom" wrapText="1"/>
    </xf>
    <xf borderId="3" fillId="0" fontId="4" numFmtId="3" xfId="0" applyAlignment="1" applyBorder="1" applyFont="1" applyNumberFormat="1">
      <alignment horizontal="center" shrinkToFit="0" vertical="bottom" wrapText="1"/>
    </xf>
    <xf borderId="3" fillId="0" fontId="4" numFmtId="9" xfId="0" applyAlignment="1" applyBorder="1" applyFont="1" applyNumberFormat="1">
      <alignment horizontal="center" shrinkToFit="0" vertical="bottom" wrapText="1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4" fillId="0" fontId="10" numFmtId="0" xfId="0" applyBorder="1" applyFont="1"/>
    <xf borderId="4" fillId="0" fontId="10" numFmtId="0" xfId="0" applyAlignment="1" applyBorder="1" applyFont="1">
      <alignment readingOrder="0"/>
    </xf>
    <xf borderId="4" fillId="2" fontId="11" numFmtId="0" xfId="0" applyAlignment="1" applyBorder="1" applyFont="1">
      <alignment vertical="bottom"/>
    </xf>
    <xf borderId="4" fillId="0" fontId="10" numFmtId="164" xfId="0" applyBorder="1" applyFont="1" applyNumberFormat="1"/>
    <xf borderId="4" fillId="0" fontId="10" numFmtId="10" xfId="0" applyBorder="1" applyFont="1" applyNumberFormat="1"/>
    <xf borderId="0" fillId="2" fontId="12" numFmtId="0" xfId="0" applyAlignment="1" applyFont="1">
      <alignment horizontal="right" vertical="bottom"/>
    </xf>
    <xf borderId="0" fillId="0" fontId="10" numFmtId="164" xfId="0" applyAlignment="1" applyFont="1" applyNumberFormat="1">
      <alignment readingOrder="0"/>
    </xf>
    <xf borderId="4" fillId="0" fontId="10" numFmtId="0" xfId="0" applyAlignment="1" applyBorder="1" applyFont="1">
      <alignment readingOrder="0" shrinkToFit="0" wrapText="1"/>
    </xf>
    <xf borderId="0" fillId="2" fontId="13" numFmtId="0" xfId="0" applyAlignment="1" applyFont="1">
      <alignment horizontal="center"/>
    </xf>
    <xf borderId="8" fillId="8" fontId="14" numFmtId="0" xfId="0" applyAlignment="1" applyBorder="1" applyFill="1" applyFont="1">
      <alignment horizontal="center" readingOrder="0" vertical="center"/>
    </xf>
    <xf borderId="9" fillId="0" fontId="3" numFmtId="0" xfId="0" applyBorder="1" applyFont="1"/>
    <xf borderId="9" fillId="2" fontId="14" numFmtId="0" xfId="0" applyAlignment="1" applyBorder="1" applyFont="1">
      <alignment horizontal="center" readingOrder="0" vertical="center"/>
    </xf>
    <xf borderId="10" fillId="2" fontId="14" numFmtId="0" xfId="0" applyAlignment="1" applyBorder="1" applyFont="1">
      <alignment horizontal="center" readingOrder="0" vertical="center"/>
    </xf>
    <xf borderId="0" fillId="2" fontId="14" numFmtId="0" xfId="0" applyAlignment="1" applyFont="1">
      <alignment horizontal="center" readingOrder="0" vertical="center"/>
    </xf>
    <xf borderId="0" fillId="2" fontId="13" numFmtId="0" xfId="0" applyAlignment="1" applyFont="1">
      <alignment horizontal="center" readingOrder="0"/>
    </xf>
    <xf borderId="11" fillId="0" fontId="3" numFmtId="0" xfId="0" applyBorder="1" applyFont="1"/>
    <xf borderId="2" fillId="2" fontId="14" numFmtId="0" xfId="0" applyAlignment="1" applyBorder="1" applyFont="1">
      <alignment horizontal="center" readingOrder="0" vertical="center"/>
    </xf>
    <xf borderId="0" fillId="2" fontId="15" numFmtId="0" xfId="0" applyAlignment="1" applyFont="1">
      <alignment horizontal="right" readingOrder="0" vertical="center"/>
    </xf>
    <xf borderId="2" fillId="2" fontId="15" numFmtId="0" xfId="0" applyAlignment="1" applyBorder="1" applyFont="1">
      <alignment horizontal="right" readingOrder="0" vertical="center"/>
    </xf>
    <xf borderId="11" fillId="8" fontId="14" numFmtId="0" xfId="0" applyAlignment="1" applyBorder="1" applyFont="1">
      <alignment horizontal="center" readingOrder="0" vertical="center"/>
    </xf>
    <xf borderId="0" fillId="8" fontId="14" numFmtId="0" xfId="0" applyAlignment="1" applyFont="1">
      <alignment horizontal="center" readingOrder="0" vertical="center"/>
    </xf>
    <xf borderId="0" fillId="8" fontId="16" numFmtId="0" xfId="0" applyAlignment="1" applyFont="1">
      <alignment horizontal="right" readingOrder="0" vertical="center"/>
    </xf>
    <xf borderId="0" fillId="2" fontId="16" numFmtId="0" xfId="0" applyAlignment="1" applyFont="1">
      <alignment horizontal="right" readingOrder="0" vertical="center"/>
    </xf>
    <xf borderId="2" fillId="2" fontId="16" numFmtId="0" xfId="0" applyAlignment="1" applyBorder="1" applyFont="1">
      <alignment horizontal="right" readingOrder="0" vertical="center"/>
    </xf>
    <xf borderId="4" fillId="9" fontId="17" numFmtId="0" xfId="0" applyAlignment="1" applyBorder="1" applyFill="1" applyFont="1">
      <alignment horizontal="center" readingOrder="0" shrinkToFit="0" vertical="center" wrapText="1"/>
    </xf>
    <xf borderId="4" fillId="9" fontId="17" numFmtId="0" xfId="0" applyAlignment="1" applyBorder="1" applyFont="1">
      <alignment horizontal="center" readingOrder="0" vertical="center"/>
    </xf>
    <xf borderId="0" fillId="2" fontId="10" numFmtId="0" xfId="0" applyFont="1"/>
    <xf borderId="0" fillId="2" fontId="18" numFmtId="165" xfId="0" applyAlignment="1" applyFont="1" applyNumberFormat="1">
      <alignment horizontal="center" shrinkToFit="0" wrapText="1"/>
    </xf>
    <xf borderId="4" fillId="2" fontId="19" numFmtId="0" xfId="0" applyAlignment="1" applyBorder="1" applyFont="1">
      <alignment horizontal="center" readingOrder="0" shrinkToFit="0" wrapText="1"/>
    </xf>
    <xf borderId="4" fillId="10" fontId="19" numFmtId="166" xfId="0" applyAlignment="1" applyBorder="1" applyFill="1" applyFont="1" applyNumberFormat="1">
      <alignment horizontal="center" readingOrder="0" shrinkToFit="0" wrapText="1"/>
    </xf>
    <xf borderId="4" fillId="0" fontId="19" numFmtId="0" xfId="0" applyAlignment="1" applyBorder="1" applyFont="1">
      <alignment horizontal="center" readingOrder="0" shrinkToFit="0" wrapText="1"/>
    </xf>
    <xf borderId="4" fillId="0" fontId="20" numFmtId="164" xfId="0" applyAlignment="1" applyBorder="1" applyFont="1" applyNumberFormat="1">
      <alignment horizontal="right" readingOrder="0"/>
    </xf>
    <xf borderId="4" fillId="2" fontId="20" numFmtId="164" xfId="0" applyAlignment="1" applyBorder="1" applyFont="1" applyNumberFormat="1">
      <alignment horizontal="right" readingOrder="0"/>
    </xf>
    <xf borderId="4" fillId="0" fontId="20" numFmtId="164" xfId="0" applyAlignment="1" applyBorder="1" applyFont="1" applyNumberFormat="1">
      <alignment horizontal="right" readingOrder="0" shrinkToFit="0" wrapText="1"/>
    </xf>
    <xf borderId="4" fillId="2" fontId="19" numFmtId="166" xfId="0" applyAlignment="1" applyBorder="1" applyFont="1" applyNumberFormat="1">
      <alignment horizontal="center" readingOrder="0" shrinkToFit="0" wrapText="1"/>
    </xf>
    <xf borderId="4" fillId="0" fontId="20" numFmtId="164" xfId="0" applyAlignment="1" applyBorder="1" applyFont="1" applyNumberFormat="1">
      <alignment horizontal="right" shrinkToFit="0" wrapText="1"/>
    </xf>
    <xf borderId="4" fillId="0" fontId="10" numFmtId="164" xfId="0" applyAlignment="1" applyBorder="1" applyFont="1" applyNumberFormat="1">
      <alignment readingOrder="0"/>
    </xf>
    <xf borderId="4" fillId="8" fontId="19" numFmtId="0" xfId="0" applyAlignment="1" applyBorder="1" applyFont="1">
      <alignment horizontal="center" readingOrder="0" shrinkToFit="0" wrapText="1"/>
    </xf>
    <xf borderId="4" fillId="8" fontId="19" numFmtId="166" xfId="0" applyAlignment="1" applyBorder="1" applyFont="1" applyNumberFormat="1">
      <alignment horizontal="center" readingOrder="0" shrinkToFit="0" wrapText="1"/>
    </xf>
    <xf borderId="4" fillId="8" fontId="20" numFmtId="164" xfId="0" applyAlignment="1" applyBorder="1" applyFont="1" applyNumberFormat="1">
      <alignment horizontal="right" shrinkToFit="0" wrapText="1"/>
    </xf>
    <xf borderId="4" fillId="8" fontId="20" numFmtId="164" xfId="0" applyAlignment="1" applyBorder="1" applyFont="1" applyNumberFormat="1">
      <alignment horizontal="right" readingOrder="0" shrinkToFit="0" wrapText="1"/>
    </xf>
    <xf borderId="4" fillId="8" fontId="20" numFmtId="164" xfId="0" applyAlignment="1" applyBorder="1" applyFont="1" applyNumberFormat="1">
      <alignment horizontal="right" readingOrder="0"/>
    </xf>
    <xf borderId="0" fillId="2" fontId="10" numFmtId="10" xfId="0" applyFont="1" applyNumberFormat="1"/>
    <xf borderId="4" fillId="0" fontId="20" numFmtId="164" xfId="0" applyAlignment="1" applyBorder="1" applyFont="1" applyNumberFormat="1">
      <alignment readingOrder="0"/>
    </xf>
    <xf borderId="4" fillId="8" fontId="20" numFmtId="164" xfId="0" applyAlignment="1" applyBorder="1" applyFont="1" applyNumberFormat="1">
      <alignment readingOrder="0"/>
    </xf>
    <xf borderId="4" fillId="0" fontId="19" numFmtId="166" xfId="0" applyAlignment="1" applyBorder="1" applyFont="1" applyNumberFormat="1">
      <alignment horizontal="center" readingOrder="0" shrinkToFit="0" wrapText="1"/>
    </xf>
    <xf borderId="0" fillId="0" fontId="10" numFmtId="167" xfId="0" applyAlignment="1" applyFont="1" applyNumberFormat="1">
      <alignment readingOrder="0"/>
    </xf>
    <xf borderId="0" fillId="0" fontId="10" numFmtId="164" xfId="0" applyFont="1" applyNumberFormat="1"/>
    <xf borderId="10" fillId="0" fontId="3" numFmtId="0" xfId="0" applyBorder="1" applyFont="1"/>
    <xf borderId="2" fillId="0" fontId="3" numFmtId="0" xfId="0" applyBorder="1" applyFont="1"/>
    <xf borderId="12" fillId="8" fontId="14" numFmtId="0" xfId="0" applyAlignment="1" applyBorder="1" applyFont="1">
      <alignment horizontal="center" readingOrder="0" vertical="center"/>
    </xf>
    <xf borderId="1" fillId="8" fontId="14" numFmtId="0" xfId="0" applyAlignment="1" applyBorder="1" applyFont="1">
      <alignment horizontal="center" readingOrder="0" vertical="center"/>
    </xf>
    <xf borderId="3" fillId="8" fontId="16" numFmtId="0" xfId="0" applyAlignment="1" applyBorder="1" applyFont="1">
      <alignment horizontal="right" readingOrder="0" vertical="center"/>
    </xf>
    <xf borderId="4" fillId="2" fontId="19" numFmtId="164" xfId="0" applyAlignment="1" applyBorder="1" applyFont="1" applyNumberFormat="1">
      <alignment horizontal="right" readingOrder="0"/>
    </xf>
    <xf borderId="13" fillId="2" fontId="19" numFmtId="164" xfId="0" applyAlignment="1" applyBorder="1" applyFont="1" applyNumberFormat="1">
      <alignment horizontal="right" readingOrder="0"/>
    </xf>
    <xf borderId="14" fillId="10" fontId="3" numFmtId="0" xfId="0" applyBorder="1" applyFont="1"/>
    <xf borderId="14" fillId="2" fontId="3" numFmtId="0" xfId="0" applyBorder="1" applyFont="1"/>
    <xf borderId="15" fillId="10" fontId="3" numFmtId="0" xfId="0" applyBorder="1" applyFont="1"/>
    <xf borderId="4" fillId="8" fontId="19" numFmtId="164" xfId="0" applyAlignment="1" applyBorder="1" applyFont="1" applyNumberFormat="1">
      <alignment horizontal="right" readingOrder="0"/>
    </xf>
    <xf borderId="15" fillId="2" fontId="3" numFmtId="0" xfId="0" applyBorder="1" applyFont="1"/>
    <xf borderId="0" fillId="0" fontId="10" numFmtId="166" xfId="0" applyAlignment="1" applyFont="1" applyNumberFormat="1">
      <alignment readingOrder="0"/>
    </xf>
    <xf borderId="9" fillId="8" fontId="14" numFmtId="0" xfId="0" applyAlignment="1" applyBorder="1" applyFont="1">
      <alignment horizontal="center" readingOrder="0" vertical="center"/>
    </xf>
    <xf borderId="1" fillId="8" fontId="16" numFmtId="0" xfId="0" applyAlignment="1" applyBorder="1" applyFont="1">
      <alignment horizontal="right" readingOrder="0" vertical="center"/>
    </xf>
    <xf borderId="0" fillId="2" fontId="10" numFmtId="0" xfId="0" applyFont="1"/>
    <xf borderId="0" fillId="0" fontId="10" numFmtId="168" xfId="0" applyAlignment="1" applyFont="1" applyNumberFormat="1">
      <alignment readingOrder="0"/>
    </xf>
    <xf borderId="5" fillId="8" fontId="21" numFmtId="0" xfId="0" applyAlignment="1" applyBorder="1" applyFont="1">
      <alignment horizontal="right" readingOrder="0"/>
    </xf>
    <xf borderId="4" fillId="2" fontId="19" numFmtId="0" xfId="0" applyAlignment="1" applyBorder="1" applyFont="1">
      <alignment horizontal="center" readingOrder="0" shrinkToFit="0" wrapText="1"/>
    </xf>
    <xf borderId="4" fillId="2" fontId="19" numFmtId="164" xfId="0" applyAlignment="1" applyBorder="1" applyFont="1" applyNumberFormat="1">
      <alignment horizontal="center" readingOrder="0" shrinkToFit="0" wrapText="1"/>
    </xf>
    <xf borderId="4" fillId="2" fontId="22" numFmtId="164" xfId="0" applyAlignment="1" applyBorder="1" applyFont="1" applyNumberFormat="1">
      <alignment horizontal="center" shrinkToFit="0" vertical="bottom" wrapText="1"/>
    </xf>
    <xf borderId="15" fillId="2" fontId="1" numFmtId="164" xfId="0" applyAlignment="1" applyBorder="1" applyFont="1" applyNumberFormat="1">
      <alignment horizontal="center" shrinkToFit="0" vertical="bottom" wrapText="1"/>
    </xf>
    <xf borderId="4" fillId="2" fontId="10" numFmtId="164" xfId="0" applyAlignment="1" applyBorder="1" applyFont="1" applyNumberFormat="1">
      <alignment horizontal="center" readingOrder="0" shrinkToFit="0" wrapText="1"/>
    </xf>
    <xf borderId="4" fillId="2" fontId="1" numFmtId="164" xfId="0" applyAlignment="1" applyBorder="1" applyFont="1" applyNumberFormat="1">
      <alignment horizontal="center" shrinkToFit="0" vertical="bottom" wrapText="1"/>
    </xf>
    <xf borderId="4" fillId="2" fontId="19" numFmtId="0" xfId="0" applyAlignment="1" applyBorder="1" applyFont="1">
      <alignment horizontal="center" readingOrder="0" shrinkToFit="0" vertical="bottom" wrapText="1"/>
    </xf>
    <xf borderId="4" fillId="2" fontId="10" numFmtId="164" xfId="0" applyAlignment="1" applyBorder="1" applyFont="1" applyNumberFormat="1">
      <alignment horizontal="center" shrinkToFit="0" vertical="bottom" wrapText="1"/>
    </xf>
    <xf borderId="0" fillId="0" fontId="10" numFmtId="169" xfId="0" applyAlignment="1" applyFont="1" applyNumberFormat="1">
      <alignment readingOrder="0"/>
    </xf>
    <xf borderId="4" fillId="2" fontId="4" numFmtId="0" xfId="0" applyAlignment="1" applyBorder="1" applyFont="1">
      <alignment shrinkToFit="0" vertical="bottom" wrapText="1"/>
    </xf>
    <xf borderId="4" fillId="2" fontId="4" numFmtId="0" xfId="0" applyAlignment="1" applyBorder="1" applyFont="1">
      <alignment readingOrder="0" shrinkToFit="0" vertical="bottom" wrapText="1"/>
    </xf>
    <xf borderId="4" fillId="2" fontId="4" numFmtId="10" xfId="0" applyAlignment="1" applyBorder="1" applyFont="1" applyNumberFormat="1">
      <alignment readingOrder="0" shrinkToFit="0" vertical="bottom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readingOrder="0" shrinkToFit="0" vertical="bottom" wrapText="1"/>
    </xf>
    <xf borderId="0" fillId="2" fontId="4" numFmtId="0" xfId="0" applyAlignment="1" applyFont="1">
      <alignment readingOrder="0" shrinkToFit="0" vertical="bottom" wrapText="1"/>
    </xf>
    <xf borderId="4" fillId="2" fontId="4" numFmtId="9" xfId="0" applyAlignment="1" applyBorder="1" applyFont="1" applyNumberFormat="1">
      <alignment readingOrder="0" shrinkToFit="0" vertical="bottom" wrapText="1"/>
    </xf>
    <xf borderId="4" fillId="2" fontId="4" numFmtId="10" xfId="0" applyAlignment="1" applyBorder="1" applyFont="1" applyNumberFormat="1">
      <alignment readingOrder="0" shrinkToFit="0" vertical="bottom" wrapText="1"/>
    </xf>
    <xf borderId="12" fillId="0" fontId="3" numFmtId="0" xfId="0" applyBorder="1" applyFont="1"/>
    <xf borderId="4" fillId="8" fontId="14" numFmtId="0" xfId="0" applyAlignment="1" applyBorder="1" applyFont="1">
      <alignment horizontal="center" readingOrder="0" vertical="center"/>
    </xf>
    <xf borderId="5" fillId="8" fontId="16" numFmtId="0" xfId="0" applyAlignment="1" applyBorder="1" applyFont="1">
      <alignment horizontal="right" readingOrder="0" shrinkToFit="0" vertical="center" wrapText="1"/>
    </xf>
    <xf borderId="4" fillId="2" fontId="1" numFmtId="4" xfId="0" applyAlignment="1" applyBorder="1" applyFont="1" applyNumberFormat="1">
      <alignment vertical="bottom"/>
    </xf>
    <xf borderId="4" fillId="2" fontId="1" numFmtId="10" xfId="0" applyAlignment="1" applyBorder="1" applyFont="1" applyNumberFormat="1">
      <alignment vertical="bottom"/>
    </xf>
    <xf borderId="4" fillId="2" fontId="1" numFmtId="4" xfId="0" applyAlignment="1" applyBorder="1" applyFont="1" applyNumberFormat="1">
      <alignment horizontal="right" vertical="bottom"/>
    </xf>
    <xf borderId="4" fillId="2" fontId="1" numFmtId="10" xfId="0" applyAlignment="1" applyBorder="1" applyFont="1" applyNumberFormat="1">
      <alignment horizontal="right" vertical="bottom"/>
    </xf>
    <xf borderId="4" fillId="9" fontId="23" numFmtId="0" xfId="0" applyAlignment="1" applyBorder="1" applyFont="1">
      <alignment horizontal="center" shrinkToFit="0" vertical="center" wrapText="1"/>
    </xf>
    <xf borderId="4" fillId="9" fontId="23" numFmtId="0" xfId="0" applyAlignment="1" applyBorder="1" applyFont="1">
      <alignment horizontal="center" shrinkToFit="0" vertical="center" wrapText="1"/>
    </xf>
    <xf borderId="4" fillId="2" fontId="1" numFmtId="4" xfId="0" applyAlignment="1" applyBorder="1" applyFont="1" applyNumberFormat="1">
      <alignment vertical="bottom"/>
    </xf>
    <xf borderId="0" fillId="0" fontId="10" numFmtId="169" xfId="0" applyAlignment="1" applyFont="1" applyNumberFormat="1">
      <alignment horizontal="right" readingOrder="0"/>
    </xf>
    <xf borderId="0" fillId="0" fontId="10" numFmtId="4" xfId="0" applyFont="1" applyNumberFormat="1"/>
    <xf borderId="0" fillId="0" fontId="10" numFmtId="10" xfId="0" applyFont="1" applyNumberFormat="1"/>
    <xf borderId="6" fillId="8" fontId="16" numFmtId="0" xfId="0" applyAlignment="1" applyBorder="1" applyFont="1">
      <alignment horizontal="right" readingOrder="0" shrinkToFit="0" vertical="center" wrapText="1"/>
    </xf>
    <xf borderId="15" fillId="9" fontId="17" numFmtId="0" xfId="0" applyAlignment="1" applyBorder="1" applyFont="1">
      <alignment horizontal="center" readingOrder="0" shrinkToFit="0" vertical="center" wrapText="1"/>
    </xf>
    <xf borderId="4" fillId="2" fontId="1" numFmtId="3" xfId="0" applyAlignment="1" applyBorder="1" applyFont="1" applyNumberFormat="1">
      <alignment vertical="bottom"/>
    </xf>
    <xf borderId="0" fillId="2" fontId="1" numFmtId="3" xfId="0" applyAlignment="1" applyFont="1" applyNumberFormat="1">
      <alignment vertical="bottom"/>
    </xf>
    <xf borderId="0" fillId="2" fontId="1" numFmtId="3" xfId="0" applyAlignment="1" applyFont="1" applyNumberFormat="1">
      <alignment vertical="bottom"/>
    </xf>
    <xf borderId="4" fillId="10" fontId="19" numFmtId="0" xfId="0" applyAlignment="1" applyBorder="1" applyFont="1">
      <alignment horizontal="center" readingOrder="0" shrinkToFit="0" wrapText="1"/>
    </xf>
    <xf borderId="4" fillId="10" fontId="1" numFmtId="3" xfId="0" applyAlignment="1" applyBorder="1" applyFont="1" applyNumberFormat="1">
      <alignment vertical="bottom"/>
    </xf>
    <xf borderId="5" fillId="2" fontId="24" numFmtId="0" xfId="0" applyAlignment="1" applyBorder="1" applyFont="1">
      <alignment horizontal="center" readingOrder="0" shrinkToFit="0" wrapText="1"/>
    </xf>
    <xf borderId="7" fillId="2" fontId="3" numFmtId="0" xfId="0" applyBorder="1" applyFont="1"/>
    <xf borderId="4" fillId="2" fontId="10" numFmtId="3" xfId="0" applyBorder="1" applyFont="1" applyNumberFormat="1"/>
    <xf borderId="0" fillId="2" fontId="17" numFmtId="0" xfId="0" applyAlignment="1" applyFont="1">
      <alignment horizontal="center" readingOrder="0" vertical="center"/>
    </xf>
    <xf borderId="4" fillId="2" fontId="1" numFmtId="3" xfId="0" applyAlignment="1" applyBorder="1" applyFont="1" applyNumberFormat="1">
      <alignment horizontal="right" vertical="bottom"/>
    </xf>
    <xf borderId="0" fillId="2" fontId="1" numFmtId="3" xfId="0" applyAlignment="1" applyFont="1" applyNumberFormat="1">
      <alignment horizontal="right" vertical="bottom"/>
    </xf>
    <xf borderId="4" fillId="10" fontId="1" numFmtId="3" xfId="0" applyAlignment="1" applyBorder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7" fillId="9" fontId="23" numFmtId="0" xfId="0" applyAlignment="1" applyBorder="1" applyFont="1">
      <alignment horizontal="center" shrinkToFit="0" vertical="center" wrapText="1"/>
    </xf>
    <xf borderId="0" fillId="2" fontId="23" numFmtId="0" xfId="0" applyAlignment="1" applyFont="1">
      <alignment horizontal="center"/>
    </xf>
    <xf borderId="12" fillId="2" fontId="25" numFmtId="0" xfId="0" applyAlignment="1" applyBorder="1" applyFont="1">
      <alignment horizontal="center" readingOrder="0" shrinkToFit="0" vertical="bottom" wrapText="1"/>
    </xf>
    <xf borderId="3" fillId="2" fontId="3" numFmtId="0" xfId="0" applyBorder="1" applyFont="1"/>
    <xf borderId="7" fillId="9" fontId="23" numFmtId="0" xfId="0" applyAlignment="1" applyBorder="1" applyFont="1">
      <alignment horizontal="center" shrinkToFit="0" vertical="center" wrapText="1"/>
    </xf>
    <xf borderId="4" fillId="2" fontId="10" numFmtId="3" xfId="0" applyAlignment="1" applyBorder="1" applyFont="1" applyNumberFormat="1">
      <alignment readingOrder="0"/>
    </xf>
    <xf borderId="0" fillId="2" fontId="10" numFmtId="169" xfId="0" applyAlignment="1" applyFont="1" applyNumberFormat="1">
      <alignment readingOrder="0"/>
    </xf>
    <xf borderId="0" fillId="2" fontId="10" numFmtId="3" xfId="0" applyFont="1" applyNumberFormat="1"/>
    <xf borderId="4" fillId="2" fontId="1" numFmtId="10" xfId="0" applyAlignment="1" applyBorder="1" applyFont="1" applyNumberFormat="1">
      <alignment vertical="bottom"/>
    </xf>
    <xf borderId="5" fillId="8" fontId="16" numFmtId="0" xfId="0" applyAlignment="1" applyBorder="1" applyFont="1">
      <alignment horizontal="right" readingOrder="0" vertical="center"/>
    </xf>
    <xf borderId="4" fillId="2" fontId="4" numFmtId="3" xfId="0" applyAlignment="1" applyBorder="1" applyFont="1" applyNumberFormat="1">
      <alignment readingOrder="0" shrinkToFit="0" vertical="bottom" wrapText="1"/>
    </xf>
    <xf borderId="11" fillId="2" fontId="1" numFmtId="3" xfId="0" applyAlignment="1" applyBorder="1" applyFont="1" applyNumberFormat="1">
      <alignment horizontal="right" vertical="bottom"/>
    </xf>
    <xf borderId="0" fillId="0" fontId="10" numFmtId="3" xfId="0" applyFont="1" applyNumberFormat="1"/>
    <xf borderId="5" fillId="9" fontId="17" numFmtId="0" xfId="0" applyAlignment="1" applyBorder="1" applyFont="1">
      <alignment horizontal="center" readingOrder="0" vertical="center"/>
    </xf>
    <xf borderId="6" fillId="11" fontId="3" numFmtId="0" xfId="0" applyBorder="1" applyFill="1" applyFont="1"/>
    <xf borderId="7" fillId="11" fontId="3" numFmtId="0" xfId="0" applyBorder="1" applyFont="1"/>
    <xf borderId="16" fillId="2" fontId="26" numFmtId="0" xfId="0" applyAlignment="1" applyBorder="1" applyFont="1">
      <alignment horizontal="left" readingOrder="0"/>
    </xf>
    <xf borderId="5" fillId="2" fontId="19" numFmtId="9" xfId="0" applyAlignment="1" applyBorder="1" applyFont="1" applyNumberFormat="1">
      <alignment horizontal="center" readingOrder="0" shrinkToFit="0" wrapText="1"/>
    </xf>
    <xf borderId="6" fillId="2" fontId="3" numFmtId="0" xfId="0" applyBorder="1" applyFont="1"/>
    <xf borderId="17" fillId="10" fontId="26" numFmtId="0" xfId="0" applyAlignment="1" applyBorder="1" applyFont="1">
      <alignment horizontal="left" readingOrder="0"/>
    </xf>
    <xf borderId="5" fillId="10" fontId="19" numFmtId="9" xfId="0" applyAlignment="1" applyBorder="1" applyFont="1" applyNumberFormat="1">
      <alignment horizontal="center" readingOrder="0" shrinkToFit="0" wrapText="1"/>
    </xf>
    <xf borderId="6" fillId="10" fontId="3" numFmtId="0" xfId="0" applyBorder="1" applyFont="1"/>
    <xf borderId="7" fillId="10" fontId="3" numFmtId="0" xfId="0" applyBorder="1" applyFont="1"/>
    <xf borderId="17" fillId="2" fontId="26" numFmtId="0" xfId="0" applyAlignment="1" applyBorder="1" applyFont="1">
      <alignment horizontal="left" readingOrder="0"/>
    </xf>
    <xf borderId="16" fillId="10" fontId="26" numFmtId="0" xfId="0" applyAlignment="1" applyBorder="1" applyFont="1">
      <alignment horizontal="left" readingOrder="0"/>
    </xf>
    <xf borderId="0" fillId="8" fontId="16" numFmtId="0" xfId="0" applyAlignment="1" applyFont="1">
      <alignment horizontal="right" readingOrder="0" shrinkToFit="0" vertical="center" wrapText="1"/>
    </xf>
    <xf borderId="4" fillId="2" fontId="27" numFmtId="3" xfId="0" applyAlignment="1" applyBorder="1" applyFont="1" applyNumberFormat="1">
      <alignment readingOrder="0"/>
    </xf>
    <xf borderId="5" fillId="2" fontId="1" numFmtId="10" xfId="0" applyAlignment="1" applyBorder="1" applyFont="1" applyNumberFormat="1">
      <alignment vertical="bottom"/>
    </xf>
    <xf borderId="4" fillId="10" fontId="27" numFmtId="3" xfId="0" applyAlignment="1" applyBorder="1" applyFont="1" applyNumberFormat="1">
      <alignment readingOrder="0"/>
    </xf>
    <xf borderId="5" fillId="10" fontId="1" numFmtId="10" xfId="0" applyAlignment="1" applyBorder="1" applyFont="1" applyNumberFormat="1">
      <alignment vertical="bottom"/>
    </xf>
    <xf borderId="4" fillId="10" fontId="10" numFmtId="3" xfId="0" applyAlignment="1" applyBorder="1" applyFont="1" applyNumberFormat="1">
      <alignment readingOrder="0"/>
    </xf>
    <xf borderId="4" fillId="10" fontId="26" numFmtId="3" xfId="0" applyAlignment="1" applyBorder="1" applyFont="1" applyNumberFormat="1">
      <alignment horizontal="left" readingOrder="0"/>
    </xf>
    <xf borderId="1" fillId="10" fontId="1" numFmtId="10" xfId="0" applyAlignment="1" applyBorder="1" applyFont="1" applyNumberFormat="1">
      <alignment vertical="bottom"/>
    </xf>
    <xf borderId="1" fillId="10" fontId="3" numFmtId="0" xfId="0" applyBorder="1" applyFont="1"/>
    <xf borderId="3" fillId="10" fontId="3" numFmtId="0" xfId="0" applyBorder="1" applyFont="1"/>
    <xf borderId="1" fillId="2" fontId="1" numFmtId="10" xfId="0" applyAlignment="1" applyBorder="1" applyFont="1" applyNumberFormat="1">
      <alignment vertical="bottom"/>
    </xf>
    <xf borderId="4" fillId="9" fontId="23" numFmtId="0" xfId="0" applyAlignment="1" applyBorder="1" applyFont="1">
      <alignment horizontal="center" shrinkToFit="0" wrapText="1"/>
    </xf>
    <xf borderId="7" fillId="9" fontId="23" numFmtId="0" xfId="0" applyAlignment="1" applyBorder="1" applyFont="1">
      <alignment horizontal="center"/>
    </xf>
    <xf borderId="7" fillId="9" fontId="23" numFmtId="0" xfId="0" applyAlignment="1" applyBorder="1" applyFont="1">
      <alignment horizontal="center" shrinkToFit="0" wrapText="1"/>
    </xf>
    <xf borderId="6" fillId="9" fontId="23" numFmtId="0" xfId="0" applyAlignment="1" applyBorder="1" applyFont="1">
      <alignment horizontal="center"/>
    </xf>
    <xf borderId="3" fillId="2" fontId="22" numFmtId="0" xfId="0" applyAlignment="1" applyBorder="1" applyFont="1">
      <alignment horizontal="center" shrinkToFit="0" vertical="bottom" wrapText="1"/>
    </xf>
    <xf borderId="3" fillId="2" fontId="1" numFmtId="3" xfId="0" applyAlignment="1" applyBorder="1" applyFont="1" applyNumberFormat="1">
      <alignment readingOrder="0" vertical="bottom"/>
    </xf>
    <xf borderId="3" fillId="10" fontId="22" numFmtId="0" xfId="0" applyAlignment="1" applyBorder="1" applyFont="1">
      <alignment horizontal="center" shrinkToFit="0" vertical="bottom" wrapText="1"/>
    </xf>
    <xf borderId="3" fillId="10" fontId="1" numFmtId="3" xfId="0" applyAlignment="1" applyBorder="1" applyFont="1" applyNumberFormat="1">
      <alignment readingOrder="0" vertical="bottom"/>
    </xf>
    <xf borderId="3" fillId="10" fontId="22" numFmtId="0" xfId="0" applyAlignment="1" applyBorder="1" applyFont="1">
      <alignment horizontal="center" shrinkToFit="0" vertical="bottom" wrapText="1"/>
    </xf>
    <xf borderId="4" fillId="9" fontId="23" numFmtId="0" xfId="0" applyAlignment="1" applyBorder="1" applyFont="1">
      <alignment horizontal="center" shrinkToFit="0" wrapText="1"/>
    </xf>
    <xf borderId="7" fillId="9" fontId="23" numFmtId="0" xfId="0" applyAlignment="1" applyBorder="1" applyFont="1">
      <alignment horizontal="center"/>
    </xf>
    <xf borderId="7" fillId="9" fontId="23" numFmtId="0" xfId="0" applyAlignment="1" applyBorder="1" applyFont="1">
      <alignment horizontal="center" shrinkToFit="0" wrapText="1"/>
    </xf>
    <xf borderId="4" fillId="10" fontId="1" numFmtId="3" xfId="0" applyAlignment="1" applyBorder="1" applyFont="1" applyNumberFormat="1">
      <alignment readingOrder="0" vertical="bottom"/>
    </xf>
    <xf borderId="3" fillId="2" fontId="22" numFmtId="0" xfId="0" applyAlignment="1" applyBorder="1" applyFont="1">
      <alignment horizontal="center" shrinkToFit="0" vertical="bottom" wrapText="1"/>
    </xf>
    <xf borderId="4" fillId="2" fontId="1" numFmtId="3" xfId="0" applyAlignment="1" applyBorder="1" applyFont="1" applyNumberFormat="1">
      <alignment readingOrder="0" vertical="bottom"/>
    </xf>
    <xf borderId="8" fillId="8" fontId="14" numFmtId="0" xfId="0" applyAlignment="1" applyBorder="1" applyFont="1">
      <alignment horizontal="center" readingOrder="0" shrinkToFit="0" vertical="center" wrapText="1"/>
    </xf>
    <xf borderId="4" fillId="9" fontId="17" numFmtId="4" xfId="0" applyAlignment="1" applyBorder="1" applyFont="1" applyNumberFormat="1">
      <alignment horizontal="center" readingOrder="0" shrinkToFit="0" vertical="center" wrapText="1"/>
    </xf>
    <xf borderId="4" fillId="9" fontId="17" numFmtId="4" xfId="0" applyAlignment="1" applyBorder="1" applyFont="1" applyNumberFormat="1">
      <alignment horizontal="center" readingOrder="0" vertical="center"/>
    </xf>
    <xf borderId="5" fillId="9" fontId="17" numFmtId="4" xfId="0" applyAlignment="1" applyBorder="1" applyFont="1" applyNumberFormat="1">
      <alignment horizontal="center" readingOrder="0" vertical="center"/>
    </xf>
    <xf borderId="4" fillId="2" fontId="26" numFmtId="3" xfId="0" applyAlignment="1" applyBorder="1" applyFont="1" applyNumberFormat="1">
      <alignment horizontal="left" readingOrder="0"/>
    </xf>
    <xf borderId="4" fillId="2" fontId="19" numFmtId="3" xfId="0" applyAlignment="1" applyBorder="1" applyFont="1" applyNumberFormat="1">
      <alignment horizontal="center" readingOrder="0" shrinkToFit="0" wrapText="1"/>
    </xf>
    <xf borderId="5" fillId="2" fontId="19" numFmtId="0" xfId="0" applyAlignment="1" applyBorder="1" applyFont="1">
      <alignment horizontal="center" readingOrder="0" shrinkToFit="0" wrapText="1"/>
    </xf>
    <xf borderId="4" fillId="10" fontId="19" numFmtId="3" xfId="0" applyAlignment="1" applyBorder="1" applyFont="1" applyNumberFormat="1">
      <alignment horizontal="center" readingOrder="0" shrinkToFit="0" wrapText="1"/>
    </xf>
    <xf borderId="5" fillId="10" fontId="19" numFmtId="0" xfId="0" applyAlignment="1" applyBorder="1" applyFont="1">
      <alignment horizontal="center" shrinkToFit="0" wrapText="1"/>
    </xf>
    <xf borderId="5" fillId="2" fontId="19" numFmtId="0" xfId="0" applyAlignment="1" applyBorder="1" applyFont="1">
      <alignment horizontal="center" shrinkToFit="0" wrapText="1"/>
    </xf>
    <xf borderId="4" fillId="10" fontId="26" numFmtId="1" xfId="0" applyAlignment="1" applyBorder="1" applyFont="1" applyNumberFormat="1">
      <alignment horizontal="left" readingOrder="0"/>
    </xf>
    <xf borderId="4" fillId="10" fontId="19" numFmtId="1" xfId="0" applyAlignment="1" applyBorder="1" applyFont="1" applyNumberFormat="1">
      <alignment horizontal="center" readingOrder="0" shrinkToFit="0" wrapText="1"/>
    </xf>
    <xf borderId="5" fillId="10" fontId="19" numFmtId="1" xfId="0" applyAlignment="1" applyBorder="1" applyFont="1" applyNumberFormat="1">
      <alignment horizontal="center" readingOrder="0" shrinkToFit="0" wrapText="1"/>
    </xf>
    <xf borderId="4" fillId="2" fontId="26" numFmtId="1" xfId="0" applyAlignment="1" applyBorder="1" applyFont="1" applyNumberFormat="1">
      <alignment horizontal="left" readingOrder="0"/>
    </xf>
    <xf borderId="4" fillId="2" fontId="19" numFmtId="1" xfId="0" applyAlignment="1" applyBorder="1" applyFont="1" applyNumberFormat="1">
      <alignment horizontal="center" readingOrder="0" shrinkToFit="0" wrapText="1"/>
    </xf>
    <xf borderId="5" fillId="2" fontId="19" numFmtId="1" xfId="0" applyAlignment="1" applyBorder="1" applyFont="1" applyNumberFormat="1">
      <alignment horizontal="center" readingOrder="0" shrinkToFit="0" wrapText="1"/>
    </xf>
    <xf borderId="4" fillId="2" fontId="26" numFmtId="0" xfId="0" applyAlignment="1" applyBorder="1" applyFont="1">
      <alignment horizontal="left" readingOrder="0"/>
    </xf>
    <xf borderId="4" fillId="10" fontId="26" numFmtId="0" xfId="0" applyAlignment="1" applyBorder="1" applyFont="1">
      <alignment horizontal="left" readingOrder="0"/>
    </xf>
    <xf borderId="5" fillId="10" fontId="19" numFmtId="0" xfId="0" applyAlignment="1" applyBorder="1" applyFont="1">
      <alignment horizontal="center" readingOrder="0" shrinkToFit="0" wrapText="1"/>
    </xf>
    <xf borderId="4" fillId="2" fontId="22" numFmtId="3" xfId="0" applyAlignment="1" applyBorder="1" applyFont="1" applyNumberFormat="1">
      <alignment horizontal="right" vertical="top"/>
    </xf>
    <xf borderId="5" fillId="2" fontId="19" numFmtId="3" xfId="0" applyAlignment="1" applyBorder="1" applyFont="1" applyNumberFormat="1">
      <alignment horizontal="center" readingOrder="0" shrinkToFit="0" wrapText="1"/>
    </xf>
    <xf borderId="15" fillId="10" fontId="22" numFmtId="3" xfId="0" applyAlignment="1" applyBorder="1" applyFont="1" applyNumberFormat="1">
      <alignment horizontal="right" vertical="top"/>
    </xf>
    <xf borderId="5" fillId="10" fontId="19" numFmtId="3" xfId="0" applyAlignment="1" applyBorder="1" applyFont="1" applyNumberFormat="1">
      <alignment horizontal="center" readingOrder="0" shrinkToFit="0" wrapText="1"/>
    </xf>
    <xf borderId="15" fillId="2" fontId="22" numFmtId="3" xfId="0" applyAlignment="1" applyBorder="1" applyFont="1" applyNumberFormat="1">
      <alignment horizontal="right" vertical="top"/>
    </xf>
    <xf borderId="15" fillId="0" fontId="19" numFmtId="3" xfId="0" applyAlignment="1" applyBorder="1" applyFont="1" applyNumberFormat="1">
      <alignment horizontal="right" vertical="top"/>
    </xf>
    <xf borderId="5" fillId="2" fontId="19" numFmtId="3" xfId="0" applyAlignment="1" applyBorder="1" applyFont="1" applyNumberFormat="1">
      <alignment horizontal="center" readingOrder="0" shrinkToFit="0" vertical="center" wrapText="1"/>
    </xf>
    <xf borderId="15" fillId="2" fontId="19" numFmtId="3" xfId="0" applyAlignment="1" applyBorder="1" applyFont="1" applyNumberFormat="1">
      <alignment horizontal="right" vertical="top"/>
    </xf>
    <xf borderId="15" fillId="10" fontId="19" numFmtId="3" xfId="0" applyAlignment="1" applyBorder="1" applyFont="1" applyNumberFormat="1">
      <alignment horizontal="right" vertical="top"/>
    </xf>
    <xf borderId="4" fillId="10" fontId="19" numFmtId="0" xfId="0" applyAlignment="1" applyBorder="1" applyFont="1">
      <alignment readingOrder="0"/>
    </xf>
    <xf borderId="4" fillId="2" fontId="19" numFmtId="3" xfId="0" applyAlignment="1" applyBorder="1" applyFont="1" applyNumberFormat="1">
      <alignment horizontal="right" vertical="bottom"/>
    </xf>
    <xf borderId="4" fillId="10" fontId="19" numFmtId="3" xfId="0" applyAlignment="1" applyBorder="1" applyFont="1" applyNumberFormat="1">
      <alignment horizontal="right" vertical="bottom"/>
    </xf>
    <xf borderId="17" fillId="10" fontId="26" numFmtId="3" xfId="0" applyAlignment="1" applyBorder="1" applyFont="1" applyNumberFormat="1">
      <alignment horizontal="left" readingOrder="0"/>
    </xf>
    <xf borderId="17" fillId="2" fontId="26" numFmtId="3" xfId="0" applyAlignment="1" applyBorder="1" applyFont="1" applyNumberFormat="1">
      <alignment horizontal="left" readingOrder="0"/>
    </xf>
    <xf borderId="4" fillId="2" fontId="10" numFmtId="0" xfId="0" applyAlignment="1" applyBorder="1" applyFont="1">
      <alignment readingOrder="0"/>
    </xf>
    <xf borderId="4" fillId="2" fontId="10" numFmtId="164" xfId="0" applyBorder="1" applyFont="1" applyNumberFormat="1"/>
    <xf borderId="0" fillId="2" fontId="4" numFmtId="164" xfId="0" applyAlignment="1" applyFont="1" applyNumberFormat="1">
      <alignment readingOrder="0" shrinkToFit="0" vertical="bottom" wrapText="1"/>
    </xf>
    <xf borderId="0" fillId="0" fontId="10" numFmtId="0" xfId="0" applyAlignment="1" applyFont="1">
      <alignment readingOrder="0" shrinkToFit="0" wrapText="1"/>
    </xf>
    <xf borderId="4" fillId="0" fontId="10" numFmtId="10" xfId="0" applyAlignment="1" applyBorder="1" applyFont="1" applyNumberFormat="1">
      <alignment readingOrder="0"/>
    </xf>
    <xf borderId="0" fillId="0" fontId="14" numFmtId="0" xfId="0" applyAlignment="1" applyFont="1">
      <alignment horizontal="center" readingOrder="0"/>
    </xf>
    <xf borderId="0" fillId="0" fontId="28" numFmtId="0" xfId="0" applyAlignment="1" applyFont="1">
      <alignment readingOrder="0"/>
    </xf>
    <xf borderId="4" fillId="2" fontId="10" numFmtId="164" xfId="0" applyAlignment="1" applyBorder="1" applyFont="1" applyNumberFormat="1">
      <alignment horizontal="center" readingOrder="0"/>
    </xf>
    <xf borderId="0" fillId="0" fontId="20" numFmtId="0" xfId="0" applyFont="1"/>
    <xf borderId="0" fillId="2" fontId="29" numFmtId="164" xfId="0" applyAlignment="1" applyFont="1" applyNumberFormat="1">
      <alignment horizontal="center" readingOrder="0"/>
    </xf>
    <xf borderId="5" fillId="7" fontId="24" numFmtId="0" xfId="0" applyAlignment="1" applyBorder="1" applyFont="1">
      <alignment horizontal="center" readingOrder="0" shrinkToFit="0" wrapText="1"/>
    </xf>
    <xf borderId="4" fillId="7" fontId="30" numFmtId="164" xfId="0" applyAlignment="1" applyBorder="1" applyFont="1" applyNumberFormat="1">
      <alignment horizontal="right" readingOrder="0" shrinkToFit="0" wrapText="1"/>
    </xf>
    <xf borderId="4" fillId="7" fontId="30" numFmtId="10" xfId="0" applyAlignment="1" applyBorder="1" applyFont="1" applyNumberFormat="1">
      <alignment horizontal="right" shrinkToFit="0" wrapText="1"/>
    </xf>
    <xf borderId="4" fillId="2" fontId="10" numFmtId="164" xfId="0" applyAlignment="1" applyBorder="1" applyFont="1" applyNumberFormat="1">
      <alignment horizontal="center" readingOrder="0" shrinkToFit="0" vertical="bottom" wrapText="1"/>
    </xf>
    <xf borderId="5" fillId="7" fontId="24" numFmtId="0" xfId="0" applyAlignment="1" applyBorder="1" applyFont="1">
      <alignment horizontal="center" readingOrder="0" shrinkToFit="0" vertical="bottom" wrapText="1"/>
    </xf>
    <xf borderId="4" fillId="7" fontId="30" numFmtId="164" xfId="0" applyAlignment="1" applyBorder="1" applyFont="1" applyNumberFormat="1">
      <alignment horizontal="right" readingOrder="0" shrinkToFit="0" vertical="bottom" wrapText="1"/>
    </xf>
    <xf borderId="4" fillId="7" fontId="30" numFmtId="10" xfId="0" applyAlignment="1" applyBorder="1" applyFont="1" applyNumberFormat="1">
      <alignment horizontal="right" shrinkToFit="0" vertical="bottom" wrapText="1"/>
    </xf>
    <xf borderId="4" fillId="2" fontId="22" numFmtId="0" xfId="0" applyAlignment="1" applyBorder="1" applyFont="1">
      <alignment horizontal="center" shrinkToFit="0" vertical="bottom" wrapText="1"/>
    </xf>
    <xf borderId="7" fillId="2" fontId="22" numFmtId="0" xfId="0" applyAlignment="1" applyBorder="1" applyFont="1">
      <alignment horizontal="center" shrinkToFit="0" vertical="bottom" wrapText="1"/>
    </xf>
    <xf borderId="5" fillId="2" fontId="19" numFmtId="0" xfId="0" applyAlignment="1" applyBorder="1" applyFont="1">
      <alignment horizontal="center" readingOrder="0" shrinkToFit="0" vertical="bottom" wrapText="1"/>
    </xf>
    <xf borderId="4" fillId="2" fontId="20" numFmtId="164" xfId="0" applyAlignment="1" applyBorder="1" applyFont="1" applyNumberFormat="1">
      <alignment horizontal="center" readingOrder="0"/>
    </xf>
    <xf borderId="0" fillId="2" fontId="20" numFmtId="164" xfId="0" applyAlignment="1" applyFont="1" applyNumberFormat="1">
      <alignment horizontal="center" readingOrder="0"/>
    </xf>
    <xf borderId="4" fillId="2" fontId="29" numFmtId="164" xfId="0" applyAlignment="1" applyBorder="1" applyFont="1" applyNumberFormat="1">
      <alignment horizontal="center" readingOrder="0"/>
    </xf>
    <xf borderId="4" fillId="7" fontId="30" numFmtId="10" xfId="0" applyAlignment="1" applyBorder="1" applyFont="1" applyNumberFormat="1">
      <alignment horizontal="right" readingOrder="0" shrinkToFit="0" wrapText="1"/>
    </xf>
    <xf borderId="4" fillId="7" fontId="30" numFmtId="10" xfId="0" applyAlignment="1" applyBorder="1" applyFont="1" applyNumberFormat="1">
      <alignment horizontal="right" readingOrder="0" shrinkToFit="0" vertical="bottom" wrapText="1"/>
    </xf>
    <xf borderId="5" fillId="2" fontId="22" numFmtId="0" xfId="0" applyAlignment="1" applyBorder="1" applyFont="1">
      <alignment horizontal="center" readingOrder="0" shrinkToFit="0" vertical="bottom" wrapText="1"/>
    </xf>
    <xf borderId="4" fillId="0" fontId="10" numFmtId="164" xfId="0" applyAlignment="1" applyBorder="1" applyFont="1" applyNumberFormat="1">
      <alignment horizontal="center" readingOrder="0"/>
    </xf>
    <xf borderId="0" fillId="2" fontId="31" numFmtId="0" xfId="0" applyAlignment="1" applyFont="1">
      <alignment horizontal="center" readingOrder="0"/>
    </xf>
    <xf borderId="0" fillId="2" fontId="31" numFmtId="0" xfId="0" applyAlignment="1" applyFont="1">
      <alignment horizontal="center"/>
    </xf>
    <xf borderId="0" fillId="2" fontId="1" numFmtId="169" xfId="0" applyAlignment="1" applyFont="1" applyNumberFormat="1">
      <alignment horizontal="center" readingOrder="0" shrinkToFit="0" vertical="bottom" wrapText="1"/>
    </xf>
    <xf borderId="0" fillId="2" fontId="1" numFmtId="164" xfId="0" applyAlignment="1" applyFont="1" applyNumberFormat="1">
      <alignment horizontal="center" shrinkToFit="0" vertical="bottom" wrapText="1"/>
    </xf>
    <xf borderId="0" fillId="2" fontId="1" numFmtId="164" xfId="0" applyAlignment="1" applyFont="1" applyNumberFormat="1">
      <alignment horizontal="center" vertical="bottom"/>
    </xf>
    <xf borderId="0" fillId="2" fontId="32" numFmtId="169" xfId="0" applyAlignment="1" applyFont="1" applyNumberFormat="1">
      <alignment horizontal="center" readingOrder="0" vertical="bottom"/>
    </xf>
    <xf borderId="0" fillId="2" fontId="32" numFmtId="164" xfId="0" applyAlignment="1" applyFont="1" applyNumberFormat="1">
      <alignment horizontal="center" vertical="bottom"/>
    </xf>
    <xf borderId="0" fillId="2" fontId="1" numFmtId="169" xfId="0" applyAlignment="1" applyFont="1" applyNumberFormat="1">
      <alignment horizontal="center" readingOrder="0" vertical="bottom"/>
    </xf>
    <xf borderId="0" fillId="2" fontId="17" numFmtId="0" xfId="0" applyAlignment="1" applyFont="1">
      <alignment horizontal="center" readingOrder="0" vertical="center"/>
    </xf>
    <xf borderId="0" fillId="2" fontId="10" numFmtId="169" xfId="0" applyAlignment="1" applyFont="1" applyNumberFormat="1">
      <alignment horizontal="center" readingOrder="0"/>
    </xf>
    <xf borderId="0" fillId="2" fontId="10" numFmtId="164" xfId="0" applyAlignment="1" applyFont="1" applyNumberFormat="1">
      <alignment horizontal="center" readingOrder="0"/>
    </xf>
    <xf borderId="0" fillId="2" fontId="19" numFmtId="169" xfId="0" applyAlignment="1" applyFont="1" applyNumberFormat="1">
      <alignment horizontal="center" readingOrder="0" shrinkToFit="0" vertical="bottom" wrapText="1"/>
    </xf>
    <xf borderId="0" fillId="2" fontId="22" numFmtId="169" xfId="0" applyAlignment="1" applyFont="1" applyNumberFormat="1">
      <alignment horizontal="center" readingOrder="0" shrinkToFit="0" vertical="bottom" wrapText="1"/>
    </xf>
    <xf borderId="0" fillId="2" fontId="17" numFmtId="164" xfId="0" applyAlignment="1" applyFont="1" applyNumberFormat="1">
      <alignment horizontal="center" readingOrder="0" vertical="center"/>
    </xf>
    <xf borderId="0" fillId="2" fontId="20" numFmtId="169" xfId="0" applyAlignment="1" applyFont="1" applyNumberFormat="1">
      <alignment horizontal="center" readingOrder="0" shrinkToFit="0" wrapText="1"/>
    </xf>
    <xf borderId="0" fillId="2" fontId="33" numFmtId="164" xfId="0" applyAlignment="1" applyFont="1" applyNumberFormat="1">
      <alignment horizontal="left" readingOrder="0"/>
    </xf>
    <xf borderId="0" fillId="2" fontId="34" numFmtId="164" xfId="0" applyAlignment="1" applyFont="1" applyNumberFormat="1">
      <alignment horizontal="left" readingOrder="0"/>
    </xf>
    <xf borderId="0" fillId="2" fontId="29" numFmtId="169" xfId="0" applyAlignment="1" applyFont="1" applyNumberFormat="1">
      <alignment horizontal="center" readingOrder="0"/>
    </xf>
    <xf borderId="0" fillId="2" fontId="20" numFmtId="169" xfId="0" applyAlignment="1" applyFont="1" applyNumberFormat="1">
      <alignment horizontal="center" readingOrder="0"/>
    </xf>
    <xf borderId="0" fillId="2" fontId="34" numFmtId="0" xfId="0" applyAlignment="1" applyFont="1">
      <alignment horizontal="center" readingOrder="0" vertical="bottom"/>
    </xf>
    <xf borderId="0" fillId="2" fontId="34" numFmtId="164" xfId="0" applyAlignment="1" applyFont="1" applyNumberFormat="1">
      <alignment horizontal="center" readingOrder="0" vertical="bottom"/>
    </xf>
    <xf borderId="0" fillId="2" fontId="34" numFmtId="170" xfId="0" applyAlignment="1" applyFont="1" applyNumberFormat="1">
      <alignment horizontal="left" readingOrder="0"/>
    </xf>
    <xf borderId="0" fillId="2" fontId="35" numFmtId="0" xfId="0" applyAlignment="1" applyFont="1">
      <alignment horizontal="left" readingOrder="0"/>
    </xf>
    <xf borderId="0" fillId="11" fontId="17" numFmtId="164" xfId="0" applyAlignment="1" applyFont="1" applyNumberFormat="1">
      <alignment horizontal="center" readingOrder="0" vertical="center"/>
    </xf>
    <xf borderId="17" fillId="2" fontId="34" numFmtId="164" xfId="0" applyAlignment="1" applyBorder="1" applyFont="1" applyNumberFormat="1">
      <alignment horizontal="left" readingOrder="0"/>
    </xf>
    <xf borderId="16" fillId="2" fontId="34" numFmtId="164" xfId="0" applyAlignment="1" applyBorder="1" applyFont="1" applyNumberFormat="1">
      <alignment horizontal="left" readingOrder="0"/>
    </xf>
    <xf borderId="0" fillId="2" fontId="10" numFmtId="164" xfId="0" applyFont="1" applyNumberFormat="1"/>
    <xf borderId="0" fillId="10" fontId="10" numFmtId="164" xfId="0" applyFont="1" applyNumberFormat="1"/>
    <xf borderId="18" fillId="2" fontId="34" numFmtId="0" xfId="0" applyAlignment="1" applyBorder="1" applyFont="1">
      <alignment horizontal="center" readingOrder="0" vertical="bottom"/>
    </xf>
    <xf borderId="19" fillId="2" fontId="34" numFmtId="164" xfId="0" applyAlignment="1" applyBorder="1" applyFont="1" applyNumberFormat="1">
      <alignment horizontal="center" readingOrder="0" vertical="bottom"/>
    </xf>
    <xf borderId="17" fillId="2" fontId="34" numFmtId="0" xfId="0" applyAlignment="1" applyBorder="1" applyFont="1">
      <alignment horizontal="left" readingOrder="0"/>
    </xf>
    <xf borderId="17" fillId="2" fontId="34" numFmtId="3" xfId="0" applyAlignment="1" applyBorder="1" applyFont="1" applyNumberFormat="1">
      <alignment horizontal="left" readingOrder="0"/>
    </xf>
    <xf borderId="0" fillId="2" fontId="36" numFmtId="0" xfId="0" applyFont="1"/>
    <xf borderId="0" fillId="2" fontId="36" numFmtId="0" xfId="0" applyAlignment="1" applyFont="1">
      <alignment readingOrder="0"/>
    </xf>
    <xf borderId="0" fillId="2" fontId="10" numFmtId="0" xfId="0" applyAlignment="1" applyFont="1">
      <alignment readingOrder="0"/>
    </xf>
    <xf borderId="4" fillId="2" fontId="4" numFmtId="4" xfId="0" applyAlignment="1" applyBorder="1" applyFont="1" applyNumberFormat="1">
      <alignment readingOrder="0" shrinkToFit="0" vertical="bottom" wrapText="1"/>
    </xf>
    <xf borderId="4" fillId="2" fontId="4" numFmtId="10" xfId="0" applyAlignment="1" applyBorder="1" applyFont="1" applyNumberFormat="1">
      <alignment shrinkToFit="0" vertical="bottom" wrapText="1"/>
    </xf>
    <xf borderId="2" fillId="8" fontId="16" numFmtId="0" xfId="0" applyAlignment="1" applyBorder="1" applyFont="1">
      <alignment horizontal="right" readingOrder="0" vertical="center"/>
    </xf>
    <xf borderId="4" fillId="2" fontId="10" numFmtId="49" xfId="0" applyAlignment="1" applyBorder="1" applyFont="1" applyNumberFormat="1">
      <alignment horizontal="center" readingOrder="0"/>
    </xf>
    <xf borderId="0" fillId="0" fontId="19" numFmtId="0" xfId="0" applyFont="1"/>
    <xf borderId="4" fillId="2" fontId="19" numFmtId="0" xfId="0" applyAlignment="1" applyBorder="1" applyFont="1">
      <alignment horizontal="center" readingOrder="0" shrinkToFit="0" vertical="center" wrapText="1"/>
    </xf>
    <xf borderId="13" fillId="2" fontId="30" numFmtId="49" xfId="0" applyAlignment="1" applyBorder="1" applyFont="1" applyNumberFormat="1">
      <alignment horizontal="center" readingOrder="0" vertical="center"/>
    </xf>
    <xf borderId="4" fillId="2" fontId="19" numFmtId="171" xfId="0" applyAlignment="1" applyBorder="1" applyFont="1" applyNumberFormat="1">
      <alignment horizontal="center" readingOrder="0" shrinkToFit="0" vertical="center" wrapText="1"/>
    </xf>
    <xf borderId="4" fillId="2" fontId="10" numFmtId="49" xfId="0" applyAlignment="1" applyBorder="1" applyFont="1" applyNumberFormat="1">
      <alignment horizontal="center" readingOrder="0" shrinkToFit="0" wrapText="1"/>
    </xf>
    <xf borderId="4" fillId="10" fontId="10" numFmtId="0" xfId="0" applyAlignment="1" applyBorder="1" applyFont="1">
      <alignment horizontal="center" readingOrder="0" shrinkToFit="0" wrapText="1"/>
    </xf>
    <xf borderId="4" fillId="10" fontId="10" numFmtId="49" xfId="0" applyAlignment="1" applyBorder="1" applyFont="1" applyNumberFormat="1">
      <alignment horizontal="center" shrinkToFit="0" wrapText="1"/>
    </xf>
    <xf borderId="4" fillId="10" fontId="10" numFmtId="49" xfId="0" applyAlignment="1" applyBorder="1" applyFont="1" applyNumberFormat="1">
      <alignment horizontal="center" readingOrder="0"/>
    </xf>
    <xf borderId="4" fillId="10" fontId="19" numFmtId="0" xfId="0" applyAlignment="1" applyBorder="1" applyFont="1">
      <alignment horizontal="center" readingOrder="0" shrinkToFit="0" vertical="center" wrapText="1"/>
    </xf>
    <xf borderId="4" fillId="10" fontId="19" numFmtId="171" xfId="0" applyAlignment="1" applyBorder="1" applyFont="1" applyNumberFormat="1">
      <alignment horizontal="center" readingOrder="0" shrinkToFit="0" vertical="center" wrapText="1"/>
    </xf>
    <xf borderId="4" fillId="10" fontId="10" numFmtId="49" xfId="0" applyAlignment="1" applyBorder="1" applyFont="1" applyNumberFormat="1">
      <alignment horizontal="center" readingOrder="0" shrinkToFit="0" wrapText="1"/>
    </xf>
    <xf borderId="4" fillId="10" fontId="4" numFmtId="10" xfId="0" applyAlignment="1" applyBorder="1" applyFont="1" applyNumberFormat="1">
      <alignment readingOrder="0" shrinkToFit="0" vertical="bottom" wrapText="1"/>
    </xf>
    <xf borderId="4" fillId="2" fontId="10" numFmtId="0" xfId="0" applyAlignment="1" applyBorder="1" applyFont="1">
      <alignment horizontal="center" readingOrder="0" shrinkToFit="0" wrapText="1"/>
    </xf>
    <xf borderId="4" fillId="2" fontId="10" numFmtId="49" xfId="0" applyAlignment="1" applyBorder="1" applyFont="1" applyNumberFormat="1">
      <alignment horizontal="center" shrinkToFit="0" wrapText="1"/>
    </xf>
    <xf borderId="5" fillId="2" fontId="8" numFmtId="0" xfId="0" applyAlignment="1" applyBorder="1" applyFont="1">
      <alignment readingOrder="0" shrinkToFit="0" vertical="bottom" wrapText="1"/>
    </xf>
    <xf borderId="4" fillId="2" fontId="30" numFmtId="0" xfId="0" applyAlignment="1" applyBorder="1" applyFont="1">
      <alignment readingOrder="0"/>
    </xf>
    <xf borderId="4" fillId="2" fontId="8" numFmtId="0" xfId="0" applyAlignment="1" applyBorder="1" applyFont="1">
      <alignment readingOrder="0" shrinkToFit="0" vertical="bottom" wrapText="1"/>
    </xf>
    <xf borderId="4" fillId="2" fontId="8" numFmtId="10" xfId="0" applyAlignment="1" applyBorder="1" applyFont="1" applyNumberFormat="1">
      <alignment readingOrder="0" shrinkToFit="0" vertical="bottom" wrapText="1"/>
    </xf>
    <xf borderId="4" fillId="10" fontId="10" numFmtId="0" xfId="0" applyAlignment="1" applyBorder="1" applyFont="1">
      <alignment horizontal="center" shrinkToFit="0" wrapText="1"/>
    </xf>
    <xf borderId="4" fillId="10" fontId="10" numFmtId="0" xfId="0" applyAlignment="1" applyBorder="1" applyFont="1">
      <alignment horizontal="center" readingOrder="0"/>
    </xf>
    <xf borderId="4" fillId="2" fontId="10" numFmtId="0" xfId="0" applyAlignment="1" applyBorder="1" applyFont="1">
      <alignment horizontal="center" shrinkToFit="0" wrapText="1"/>
    </xf>
    <xf borderId="4" fillId="2" fontId="10" numFmtId="0" xfId="0" applyAlignment="1" applyBorder="1" applyFont="1">
      <alignment horizontal="center" readingOrder="0"/>
    </xf>
    <xf borderId="5" fillId="10" fontId="24" numFmtId="0" xfId="0" applyAlignment="1" applyBorder="1" applyFont="1">
      <alignment horizontal="center" readingOrder="0" shrinkToFit="0" wrapText="1"/>
    </xf>
    <xf borderId="5" fillId="10" fontId="30" numFmtId="0" xfId="0" applyAlignment="1" applyBorder="1" applyFont="1">
      <alignment horizontal="right" shrinkToFit="0" wrapText="1"/>
    </xf>
    <xf borderId="4" fillId="10" fontId="30" numFmtId="0" xfId="0" applyAlignment="1" applyBorder="1" applyFont="1">
      <alignment readingOrder="0"/>
    </xf>
    <xf borderId="4" fillId="10" fontId="30" numFmtId="0" xfId="0" applyAlignment="1" applyBorder="1" applyFont="1">
      <alignment horizontal="right" shrinkToFit="0" wrapText="1"/>
    </xf>
    <xf borderId="4" fillId="10" fontId="8" numFmtId="10" xfId="0" applyAlignment="1" applyBorder="1" applyFont="1" applyNumberFormat="1">
      <alignment readingOrder="0" shrinkToFit="0" vertical="bottom" wrapText="1"/>
    </xf>
    <xf borderId="4" fillId="2" fontId="22" numFmtId="0" xfId="0" applyAlignment="1" applyBorder="1" applyFont="1">
      <alignment horizontal="center" readingOrder="0" shrinkToFit="0" vertical="bottom" wrapText="1"/>
    </xf>
    <xf borderId="7" fillId="2" fontId="22" numFmtId="0" xfId="0" applyAlignment="1" applyBorder="1" applyFont="1">
      <alignment horizontal="center" readingOrder="0" shrinkToFit="0" vertical="bottom" wrapText="1"/>
    </xf>
    <xf borderId="7" fillId="2" fontId="1" numFmtId="0" xfId="0" applyAlignment="1" applyBorder="1" applyFont="1">
      <alignment horizontal="center" shrinkToFit="0" vertical="bottom" wrapText="1"/>
    </xf>
    <xf borderId="7" fillId="2" fontId="1" numFmtId="0" xfId="0" applyAlignment="1" applyBorder="1" applyFont="1">
      <alignment horizontal="center" readingOrder="0" vertical="bottom"/>
    </xf>
    <xf borderId="4" fillId="2" fontId="1" numFmtId="0" xfId="0" applyAlignment="1" applyBorder="1" applyFont="1">
      <alignment horizontal="center" readingOrder="0" shrinkToFit="0" vertical="bottom" wrapText="1"/>
    </xf>
    <xf borderId="15" fillId="10" fontId="22" numFmtId="0" xfId="0" applyAlignment="1" applyBorder="1" applyFont="1">
      <alignment horizontal="center" readingOrder="0" shrinkToFit="0" vertical="bottom" wrapText="1"/>
    </xf>
    <xf borderId="3" fillId="10" fontId="22" numFmtId="0" xfId="0" applyAlignment="1" applyBorder="1" applyFont="1">
      <alignment horizontal="center" readingOrder="0" shrinkToFit="0" vertical="bottom" wrapText="1"/>
    </xf>
    <xf borderId="3" fillId="10" fontId="1" numFmtId="0" xfId="0" applyAlignment="1" applyBorder="1" applyFont="1">
      <alignment horizontal="center" shrinkToFit="0" vertical="bottom" wrapText="1"/>
    </xf>
    <xf borderId="3" fillId="10" fontId="1" numFmtId="0" xfId="0" applyAlignment="1" applyBorder="1" applyFont="1">
      <alignment horizontal="center" readingOrder="0" vertical="bottom"/>
    </xf>
    <xf borderId="4" fillId="10" fontId="22" numFmtId="0" xfId="0" applyAlignment="1" applyBorder="1" applyFont="1">
      <alignment horizontal="center" readingOrder="0" shrinkToFit="0" vertical="bottom" wrapText="1"/>
    </xf>
    <xf borderId="4" fillId="10" fontId="1" numFmtId="0" xfId="0" applyAlignment="1" applyBorder="1" applyFont="1">
      <alignment horizontal="center" readingOrder="0" shrinkToFit="0" vertical="bottom" wrapText="1"/>
    </xf>
    <xf borderId="15" fillId="2" fontId="22" numFmtId="0" xfId="0" applyAlignment="1" applyBorder="1" applyFont="1">
      <alignment horizontal="center" readingOrder="0" shrinkToFit="0" vertical="bottom" wrapText="1"/>
    </xf>
    <xf borderId="3" fillId="2" fontId="22" numFmtId="0" xfId="0" applyAlignment="1" applyBorder="1" applyFont="1">
      <alignment horizontal="center" readingOrder="0" shrinkToFit="0" vertical="bottom" wrapText="1"/>
    </xf>
    <xf borderId="3" fillId="2" fontId="1" numFmtId="0" xfId="0" applyAlignment="1" applyBorder="1" applyFont="1">
      <alignment horizontal="center" shrinkToFit="0" vertical="bottom" wrapText="1"/>
    </xf>
    <xf borderId="3" fillId="2" fontId="1" numFmtId="0" xfId="0" applyAlignment="1" applyBorder="1" applyFont="1">
      <alignment horizontal="center" readingOrder="0" vertical="bottom"/>
    </xf>
    <xf borderId="4" fillId="2" fontId="8" numFmtId="0" xfId="0" applyAlignment="1" applyBorder="1" applyFont="1">
      <alignment horizontal="center" readingOrder="0" shrinkToFit="0" vertical="center" wrapText="1"/>
    </xf>
    <xf borderId="4" fillId="2" fontId="30" numFmtId="49" xfId="0" applyAlignment="1" applyBorder="1" applyFont="1" applyNumberFormat="1">
      <alignment horizontal="center" readingOrder="0" vertical="center"/>
    </xf>
    <xf borderId="4" fillId="2" fontId="19" numFmtId="2" xfId="0" applyAlignment="1" applyBorder="1" applyFont="1" applyNumberFormat="1">
      <alignment horizontal="center" readingOrder="0" shrinkToFit="0" vertical="center" wrapText="1"/>
    </xf>
    <xf borderId="4" fillId="10" fontId="22" numFmtId="0" xfId="0" applyAlignment="1" applyBorder="1" applyFont="1">
      <alignment horizontal="center" shrinkToFit="0" vertical="bottom" wrapText="1"/>
    </xf>
    <xf borderId="4" fillId="10" fontId="22" numFmtId="0" xfId="0" applyAlignment="1" applyBorder="1" applyFont="1">
      <alignment horizontal="center" readingOrder="0" shrinkToFit="0" vertical="center" wrapText="1"/>
    </xf>
    <xf borderId="13" fillId="10" fontId="37" numFmtId="49" xfId="0" applyAlignment="1" applyBorder="1" applyFont="1" applyNumberFormat="1">
      <alignment horizontal="center" readingOrder="0" vertical="center"/>
    </xf>
    <xf borderId="4" fillId="10" fontId="22" numFmtId="171" xfId="0" applyAlignment="1" applyBorder="1" applyFont="1" applyNumberFormat="1">
      <alignment horizontal="center" shrinkToFit="0" vertical="center" wrapText="1"/>
    </xf>
    <xf borderId="5" fillId="2" fontId="25" numFmtId="0" xfId="0" applyAlignment="1" applyBorder="1" applyFont="1">
      <alignment horizontal="center" readingOrder="0" shrinkToFit="0" vertical="bottom" wrapText="1"/>
    </xf>
    <xf borderId="5" fillId="2" fontId="37" numFmtId="0" xfId="0" applyAlignment="1" applyBorder="1" applyFont="1">
      <alignment horizontal="right" shrinkToFit="0" vertical="bottom" wrapText="1"/>
    </xf>
    <xf borderId="4" fillId="2" fontId="22" numFmtId="0" xfId="0" applyAlignment="1" applyBorder="1" applyFont="1">
      <alignment horizontal="center" readingOrder="0" shrinkToFit="0" vertical="center" wrapText="1"/>
    </xf>
    <xf borderId="4" fillId="2" fontId="22" numFmtId="171" xfId="0" applyAlignment="1" applyBorder="1" applyFont="1" applyNumberFormat="1">
      <alignment horizontal="center" shrinkToFit="0" vertical="center" wrapText="1"/>
    </xf>
    <xf borderId="4" fillId="2" fontId="37" numFmtId="0" xfId="0" applyAlignment="1" applyBorder="1" applyFont="1">
      <alignment horizontal="right" shrinkToFit="0" vertical="bottom" wrapText="1"/>
    </xf>
    <xf borderId="7" fillId="10" fontId="22" numFmtId="0" xfId="0" applyAlignment="1" applyBorder="1" applyFont="1">
      <alignment horizontal="center" readingOrder="0" shrinkToFit="0" vertical="bottom" wrapText="1"/>
    </xf>
    <xf borderId="7" fillId="10" fontId="1" numFmtId="0" xfId="0" applyAlignment="1" applyBorder="1" applyFont="1">
      <alignment horizontal="center" shrinkToFit="0" vertical="bottom" wrapText="1"/>
    </xf>
    <xf borderId="7" fillId="10" fontId="1" numFmtId="0" xfId="0" applyAlignment="1" applyBorder="1" applyFont="1">
      <alignment horizontal="center" readingOrder="0" vertical="bottom"/>
    </xf>
    <xf borderId="5" fillId="10" fontId="25" numFmtId="0" xfId="0" applyAlignment="1" applyBorder="1" applyFont="1">
      <alignment horizontal="center" readingOrder="0" shrinkToFit="0" vertical="bottom" wrapText="1"/>
    </xf>
    <xf borderId="5" fillId="10" fontId="37" numFmtId="0" xfId="0" applyAlignment="1" applyBorder="1" applyFont="1">
      <alignment horizontal="right" shrinkToFit="0" vertical="bottom" wrapText="1"/>
    </xf>
    <xf borderId="4" fillId="10" fontId="37" numFmtId="0" xfId="0" applyAlignment="1" applyBorder="1" applyFont="1">
      <alignment horizontal="right" shrinkToFit="0" vertical="bottom" wrapText="1"/>
    </xf>
    <xf borderId="0" fillId="2" fontId="19" numFmtId="0" xfId="0" applyAlignment="1" applyFont="1">
      <alignment horizontal="center" readingOrder="0" shrinkToFit="0" wrapText="1"/>
    </xf>
    <xf borderId="0" fillId="2" fontId="19" numFmtId="166" xfId="0" applyAlignment="1" applyFont="1" applyNumberFormat="1">
      <alignment horizontal="center" readingOrder="0" shrinkToFit="0" wrapText="1"/>
    </xf>
    <xf borderId="0" fillId="2" fontId="10" numFmtId="164" xfId="0" applyAlignment="1" applyFont="1" applyNumberFormat="1">
      <alignment horizontal="right" shrinkToFit="0" wrapText="1"/>
    </xf>
    <xf borderId="0" fillId="2" fontId="10" numFmtId="164" xfId="0" applyAlignment="1" applyFont="1" applyNumberFormat="1">
      <alignment readingOrder="0"/>
    </xf>
    <xf borderId="9" fillId="2" fontId="3" numFmtId="0" xfId="0" applyBorder="1" applyFont="1"/>
    <xf borderId="10" fillId="2" fontId="3" numFmtId="0" xfId="0" applyBorder="1" applyFont="1"/>
    <xf borderId="11" fillId="10" fontId="3" numFmtId="0" xfId="0" applyBorder="1" applyFont="1"/>
    <xf borderId="2" fillId="10" fontId="3" numFmtId="0" xfId="0" applyBorder="1" applyFont="1"/>
    <xf borderId="11" fillId="2" fontId="3" numFmtId="0" xfId="0" applyBorder="1" applyFont="1"/>
    <xf borderId="2" fillId="2" fontId="3" numFmtId="0" xfId="0" applyBorder="1" applyFont="1"/>
    <xf borderId="12" fillId="10" fontId="3" numFmtId="0" xfId="0" applyBorder="1" applyFont="1"/>
    <xf borderId="4" fillId="10" fontId="30" numFmtId="0" xfId="0" applyAlignment="1" applyBorder="1" applyFont="1">
      <alignment horizontal="center" readingOrder="0" shrinkToFit="0" vertical="center" wrapText="1"/>
    </xf>
    <xf borderId="4" fillId="10" fontId="30" numFmtId="2" xfId="0" applyAlignment="1" applyBorder="1" applyFont="1" applyNumberFormat="1">
      <alignment horizontal="center" shrinkToFit="0" vertical="center" wrapText="1"/>
    </xf>
    <xf borderId="4" fillId="10" fontId="22" numFmtId="0" xfId="0" applyAlignment="1" applyBorder="1" applyFont="1">
      <alignment horizontal="center" readingOrder="0" shrinkToFit="0" vertical="bottom" wrapText="1"/>
    </xf>
    <xf borderId="4" fillId="10" fontId="22" numFmtId="0" xfId="0" applyAlignment="1" applyBorder="1" applyFont="1">
      <alignment horizontal="center" shrinkToFit="0" vertical="bottom" wrapText="1"/>
    </xf>
    <xf borderId="4" fillId="10" fontId="22" numFmtId="0" xfId="0" applyAlignment="1" applyBorder="1" applyFont="1">
      <alignment horizontal="center" readingOrder="0" shrinkToFit="0" vertical="center" wrapText="1"/>
    </xf>
    <xf borderId="13" fillId="10" fontId="37" numFmtId="49" xfId="0" applyAlignment="1" applyBorder="1" applyFont="1" applyNumberFormat="1">
      <alignment horizontal="center" readingOrder="0" vertical="center"/>
    </xf>
    <xf borderId="4" fillId="10" fontId="22" numFmtId="171" xfId="0" applyAlignment="1" applyBorder="1" applyFont="1" applyNumberFormat="1">
      <alignment horizontal="center" shrinkToFit="0" vertical="center" wrapText="1"/>
    </xf>
    <xf borderId="4" fillId="10" fontId="19" numFmtId="10" xfId="0" applyAlignment="1" applyBorder="1" applyFont="1" applyNumberFormat="1">
      <alignment horizontal="center" readingOrder="0" shrinkToFit="0" vertical="center" wrapText="1"/>
    </xf>
    <xf borderId="4" fillId="2" fontId="22" numFmtId="0" xfId="0" applyAlignment="1" applyBorder="1" applyFont="1">
      <alignment horizontal="center" readingOrder="0" shrinkToFit="0" vertical="bottom" wrapText="1"/>
    </xf>
    <xf borderId="4" fillId="2" fontId="22" numFmtId="0" xfId="0" applyAlignment="1" applyBorder="1" applyFont="1">
      <alignment horizontal="center" shrinkToFit="0" vertical="bottom" wrapText="1"/>
    </xf>
    <xf borderId="4" fillId="2" fontId="22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4" fillId="2" fontId="22" numFmtId="171" xfId="0" applyAlignment="1" applyBorder="1" applyFont="1" applyNumberFormat="1">
      <alignment horizontal="center" shrinkToFit="0" vertical="center" wrapText="1"/>
    </xf>
    <xf borderId="4" fillId="2" fontId="19" numFmtId="10" xfId="0" applyAlignment="1" applyBorder="1" applyFont="1" applyNumberFormat="1">
      <alignment horizontal="center" readingOrder="0" shrinkToFit="0" vertical="center" wrapText="1"/>
    </xf>
    <xf borderId="15" fillId="0" fontId="3" numFmtId="0" xfId="0" applyBorder="1" applyFont="1"/>
    <xf borderId="5" fillId="2" fontId="25" numFmtId="0" xfId="0" applyAlignment="1" applyBorder="1" applyFont="1">
      <alignment horizontal="center" readingOrder="0" shrinkToFit="0" vertical="bottom" wrapText="1"/>
    </xf>
    <xf borderId="4" fillId="2" fontId="37" numFmtId="0" xfId="0" applyAlignment="1" applyBorder="1" applyFont="1">
      <alignment horizontal="center" readingOrder="0" shrinkToFit="0" vertical="center" wrapText="1"/>
    </xf>
    <xf borderId="4" fillId="0" fontId="10" numFmtId="2" xfId="0" applyAlignment="1" applyBorder="1" applyFont="1" applyNumberFormat="1">
      <alignment horizontal="center" vertical="center"/>
    </xf>
    <xf borderId="4" fillId="2" fontId="8" numFmtId="2" xfId="0" applyAlignment="1" applyBorder="1" applyFont="1" applyNumberFormat="1">
      <alignment horizontal="center" readingOrder="0" shrinkToFit="0" vertical="center" wrapText="1"/>
    </xf>
    <xf borderId="7" fillId="2" fontId="22" numFmtId="0" xfId="0" applyAlignment="1" applyBorder="1" applyFont="1">
      <alignment horizontal="center" readingOrder="0" shrinkToFit="0" vertical="center" wrapText="1"/>
    </xf>
    <xf borderId="10" fillId="2" fontId="37" numFmtId="49" xfId="0" applyAlignment="1" applyBorder="1" applyFont="1" applyNumberFormat="1">
      <alignment horizontal="center" readingOrder="0" vertical="center"/>
    </xf>
    <xf borderId="7" fillId="2" fontId="22" numFmtId="171" xfId="0" applyAlignment="1" applyBorder="1" applyFont="1" applyNumberFormat="1">
      <alignment horizontal="center" shrinkToFit="0" vertical="center" wrapText="1"/>
    </xf>
    <xf borderId="15" fillId="10" fontId="22" numFmtId="0" xfId="0" applyAlignment="1" applyBorder="1" applyFont="1">
      <alignment horizontal="center" readingOrder="0" shrinkToFit="0" vertical="bottom" wrapText="1"/>
    </xf>
    <xf borderId="15" fillId="10" fontId="22" numFmtId="0" xfId="0" applyAlignment="1" applyBorder="1" applyFont="1">
      <alignment horizontal="center" shrinkToFit="0" vertical="bottom" wrapText="1"/>
    </xf>
    <xf borderId="3" fillId="10" fontId="22" numFmtId="0" xfId="0" applyAlignment="1" applyBorder="1" applyFont="1">
      <alignment horizontal="center" readingOrder="0" shrinkToFit="0" vertical="center" wrapText="1"/>
    </xf>
    <xf borderId="3" fillId="10" fontId="22" numFmtId="171" xfId="0" applyAlignment="1" applyBorder="1" applyFont="1" applyNumberFormat="1">
      <alignment horizontal="center" shrinkToFit="0" vertical="center" wrapText="1"/>
    </xf>
    <xf borderId="15" fillId="2" fontId="22" numFmtId="0" xfId="0" applyAlignment="1" applyBorder="1" applyFont="1">
      <alignment horizontal="center" shrinkToFit="0" vertical="bottom" wrapText="1"/>
    </xf>
    <xf borderId="3" fillId="2" fontId="22" numFmtId="0" xfId="0" applyAlignment="1" applyBorder="1" applyFont="1">
      <alignment horizontal="center" readingOrder="0" shrinkToFit="0" vertical="center" wrapText="1"/>
    </xf>
    <xf borderId="3" fillId="2" fontId="22" numFmtId="171" xfId="0" applyAlignment="1" applyBorder="1" applyFont="1" applyNumberFormat="1">
      <alignment horizontal="center" shrinkToFit="0" vertical="center" wrapText="1"/>
    </xf>
    <xf borderId="4" fillId="2" fontId="37" numFmtId="2" xfId="0" applyAlignment="1" applyBorder="1" applyFont="1" applyNumberFormat="1">
      <alignment horizontal="center" shrinkToFit="0" vertical="center" wrapText="1"/>
    </xf>
    <xf borderId="4" fillId="2" fontId="30" numFmtId="2" xfId="0" applyAlignment="1" applyBorder="1" applyFont="1" applyNumberFormat="1">
      <alignment horizontal="center" readingOrder="0" shrinkToFit="0" vertical="center" wrapText="1"/>
    </xf>
    <xf borderId="4" fillId="10" fontId="37" numFmtId="2" xfId="0" applyAlignment="1" applyBorder="1" applyFont="1" applyNumberFormat="1">
      <alignment horizontal="center" readingOrder="0" shrinkToFit="0" vertical="center" wrapText="1"/>
    </xf>
    <xf borderId="4" fillId="2" fontId="37" numFmtId="2" xfId="0" applyAlignment="1" applyBorder="1" applyFont="1" applyNumberFormat="1">
      <alignment horizontal="center" readingOrder="0" shrinkToFit="0" vertical="center" wrapText="1"/>
    </xf>
    <xf borderId="7" fillId="2" fontId="1" numFmtId="0" xfId="0" applyAlignment="1" applyBorder="1" applyFont="1">
      <alignment horizontal="center" readingOrder="0" shrinkToFit="0" vertical="bottom" wrapText="1"/>
    </xf>
    <xf borderId="3" fillId="10" fontId="1" numFmtId="0" xfId="0" applyAlignment="1" applyBorder="1" applyFont="1">
      <alignment horizontal="center" readingOrder="0" shrinkToFit="0" vertical="bottom" wrapText="1"/>
    </xf>
    <xf borderId="3" fillId="2" fontId="1" numFmtId="0" xfId="0" applyAlignment="1" applyBorder="1" applyFont="1">
      <alignment horizontal="center" readingOrder="0" shrinkToFit="0" vertical="bottom" wrapText="1"/>
    </xf>
    <xf borderId="7" fillId="10" fontId="1" numFmtId="0" xfId="0" applyAlignment="1" applyBorder="1" applyFont="1">
      <alignment horizontal="center" readingOrder="0" shrinkToFit="0" vertical="bottom" wrapText="1"/>
    </xf>
    <xf borderId="0" fillId="0" fontId="10" numFmtId="3" xfId="0" applyAlignment="1" applyFont="1" applyNumberFormat="1">
      <alignment readingOrder="0"/>
    </xf>
    <xf borderId="5" fillId="12" fontId="17" numFmtId="0" xfId="0" applyAlignment="1" applyBorder="1" applyFill="1" applyFont="1">
      <alignment horizontal="center" readingOrder="0" shrinkToFit="0" vertical="center" wrapText="1"/>
    </xf>
    <xf borderId="0" fillId="2" fontId="25" numFmtId="0" xfId="0" applyAlignment="1" applyFont="1">
      <alignment horizontal="center" readingOrder="0" shrinkToFit="0" vertical="bottom" wrapText="1"/>
    </xf>
    <xf borderId="0" fillId="2" fontId="37" numFmtId="2" xfId="0" applyAlignment="1" applyFont="1" applyNumberFormat="1">
      <alignment horizontal="center" readingOrder="0" shrinkToFit="0" vertical="center" wrapText="1"/>
    </xf>
    <xf borderId="0" fillId="0" fontId="10" numFmtId="172" xfId="0" applyAlignment="1" applyFont="1" applyNumberFormat="1">
      <alignment readingOrder="0"/>
    </xf>
    <xf borderId="13" fillId="10" fontId="30" numFmtId="49" xfId="0" applyAlignment="1" applyBorder="1" applyFont="1" applyNumberFormat="1">
      <alignment horizontal="center" readingOrder="0" vertical="center"/>
    </xf>
    <xf borderId="13" fillId="2" fontId="37" numFmtId="49" xfId="0" applyAlignment="1" applyBorder="1" applyFont="1" applyNumberFormat="1">
      <alignment horizontal="center" readingOrder="0" vertical="center"/>
    </xf>
    <xf borderId="0" fillId="0" fontId="10" numFmtId="49" xfId="0" applyAlignment="1" applyFont="1" applyNumberFormat="1">
      <alignment readingOrder="0"/>
    </xf>
    <xf borderId="0" fillId="0" fontId="30" numFmtId="0" xfId="0" applyAlignment="1" applyFont="1">
      <alignment horizontal="center"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29">
    <tableStyle count="3" pivot="0" name="FIN - KP1 NPM-style">
      <tableStyleElement dxfId="1" type="headerRow"/>
      <tableStyleElement dxfId="2" type="firstRowStripe"/>
      <tableStyleElement dxfId="3" type="secondRowStripe"/>
    </tableStyle>
    <tableStyle count="3" pivot="0" name="FIN - KP1 NPM-style 2">
      <tableStyleElement dxfId="1" type="headerRow"/>
      <tableStyleElement dxfId="2" type="firstRowStripe"/>
      <tableStyleElement dxfId="3" type="secondRowStripe"/>
    </tableStyle>
    <tableStyle count="3" pivot="0" name="FIN - KP2 ROE-style">
      <tableStyleElement dxfId="1" type="headerRow"/>
      <tableStyleElement dxfId="2" type="firstRowStripe"/>
      <tableStyleElement dxfId="3" type="secondRowStripe"/>
    </tableStyle>
    <tableStyle count="3" pivot="0" name="FIN - KP3 EBITDA-style">
      <tableStyleElement dxfId="1" type="headerRow"/>
      <tableStyleElement dxfId="2" type="firstRowStripe"/>
      <tableStyleElement dxfId="3" type="secondRowStripe"/>
    </tableStyle>
    <tableStyle count="3" pivot="0" name="FIN - KP3 EBITDA-style 2">
      <tableStyleElement dxfId="1" type="headerRow"/>
      <tableStyleElement dxfId="2" type="firstRowStripe"/>
      <tableStyleElement dxfId="3" type="secondRowStripe"/>
    </tableStyle>
    <tableStyle count="3" pivot="0" name="FIN - KP4 ROIC-style">
      <tableStyleElement dxfId="1" type="headerRow"/>
      <tableStyleElement dxfId="2" type="firstRowStripe"/>
      <tableStyleElement dxfId="3" type="secondRowStripe"/>
    </tableStyle>
    <tableStyle count="2" pivot="0" name="FIN - KP4 ROIC-style 2">
      <tableStyleElement dxfId="2" type="firstRowStripe"/>
      <tableStyleElement dxfId="3" type="secondRowStripe"/>
    </tableStyle>
    <tableStyle count="2" pivot="0" name="Data Customer-style">
      <tableStyleElement dxfId="2" type="firstRowStripe"/>
      <tableStyleElement dxfId="4" type="secondRowStripe"/>
    </tableStyle>
    <tableStyle count="3" pivot="0" name="CU-KP1 Kepuasan Pelanggan-style">
      <tableStyleElement dxfId="1" type="headerRow"/>
      <tableStyleElement dxfId="2" type="firstRowStripe"/>
      <tableStyleElement dxfId="3" type="secondRowStripe"/>
    </tableStyle>
    <tableStyle count="3" pivot="0" name="CU-KP2 BI Pangsa Pasar-style">
      <tableStyleElement dxfId="1" type="headerRow"/>
      <tableStyleElement dxfId="2" type="firstRowStripe"/>
      <tableStyleElement dxfId="3" type="secondRowStripe"/>
    </tableStyle>
    <tableStyle count="3" pivot="0" name="CU-KP3 NPS-style">
      <tableStyleElement dxfId="1" type="headerRow"/>
      <tableStyleElement dxfId="2" type="firstRowStripe"/>
      <tableStyleElement dxfId="3" type="secondRowStripe"/>
    </tableStyle>
    <tableStyle count="3" pivot="0" name="CU-KP4 Penurunan Pengaduan-style">
      <tableStyleElement dxfId="1" type="headerRow"/>
      <tableStyleElement dxfId="2" type="firstRowStripe"/>
      <tableStyleElement dxfId="3" type="secondRowStripe"/>
    </tableStyle>
    <tableStyle count="2" pivot="0" name="Data Bisnis Internal-style">
      <tableStyleElement dxfId="4" type="firstRowStripe"/>
      <tableStyleElement dxfId="2" type="secondRowStripe"/>
    </tableStyle>
    <tableStyle count="2" pivot="0" name="Mockup Bisnis Internal-style">
      <tableStyleElement dxfId="2" type="firstRowStripe"/>
      <tableStyleElement dxfId="3" type="secondRowStripe"/>
    </tableStyle>
    <tableStyle count="2" pivot="0" name="Mockup Bisnis Internal-style 2">
      <tableStyleElement dxfId="2" type="firstRowStripe"/>
      <tableStyleElement dxfId="3" type="secondRowStripe"/>
    </tableStyle>
    <tableStyle count="3" pivot="0" name="IB-KP1 Asset Turnover Ratio-style">
      <tableStyleElement dxfId="1" type="headerRow"/>
      <tableStyleElement dxfId="2" type="firstRowStripe"/>
      <tableStyleElement dxfId="3" type="secondRowStripe"/>
    </tableStyle>
    <tableStyle count="2" pivot="0" name="IB-KP1 Asset Turnover Ratio-style 2">
      <tableStyleElement dxfId="2" type="firstRowStripe"/>
      <tableStyleElement dxfId="3" type="secondRowStripe"/>
    </tableStyle>
    <tableStyle count="3" pivot="0" name="IB-KP1 BI Asset Turnover Ratio-style">
      <tableStyleElement dxfId="1" type="headerRow"/>
      <tableStyleElement dxfId="2" type="firstRowStripe"/>
      <tableStyleElement dxfId="3" type="secondRowStripe"/>
    </tableStyle>
    <tableStyle count="3" pivot="0" name="IB-KP2 BI Operating Margin-style">
      <tableStyleElement dxfId="1" type="headerRow"/>
      <tableStyleElement dxfId="2" type="firstRowStripe"/>
      <tableStyleElement dxfId="3" type="secondRowStripe"/>
    </tableStyle>
    <tableStyle count="2" pivot="0" name="IB-KP2 BI Operating Margin-style 2">
      <tableStyleElement dxfId="2" type="firstRowStripe"/>
      <tableStyleElement dxfId="3" type="secondRowStripe"/>
    </tableStyle>
    <tableStyle count="2" pivot="0" name="IB-KP3 Laba  Rugi Operasional-style">
      <tableStyleElement dxfId="2" type="firstRowStripe"/>
      <tableStyleElement dxfId="3" type="secondRowStripe"/>
    </tableStyle>
    <tableStyle count="3" pivot="0" name="IB-KP3 BI Laba  Rugi Operasiona-style">
      <tableStyleElement dxfId="1" type="headerRow"/>
      <tableStyleElement dxfId="2" type="firstRowStripe"/>
      <tableStyleElement dxfId="3" type="secondRowStripe"/>
    </tableStyle>
    <tableStyle count="2" pivot="0" name="IB-KP4 Beban Penjualan dan Pema-style">
      <tableStyleElement dxfId="2" type="firstRowStripe"/>
      <tableStyleElement dxfId="3" type="secondRowStripe"/>
    </tableStyle>
    <tableStyle count="2" pivot="0" name="IB-KP4 Beban Penjualan dan Pema-style 2">
      <tableStyleElement dxfId="2" type="firstRowStripe"/>
      <tableStyleElement dxfId="3" type="secondRowStripe"/>
    </tableStyle>
    <tableStyle count="3" pivot="0" name="IB-KP4 BI Beban Penjualan dan P-style">
      <tableStyleElement dxfId="1" type="headerRow"/>
      <tableStyleElement dxfId="2" type="firstRowStripe"/>
      <tableStyleElement dxfId="3" type="secondRowStripe"/>
    </tableStyle>
    <tableStyle count="2" pivot="0" name="IB-KP4 BI Beban Penjualan dan P-style 2">
      <tableStyleElement dxfId="2" type="firstRowStripe"/>
      <tableStyleElement dxfId="3" type="secondRowStripe"/>
    </tableStyle>
    <tableStyle count="2" pivot="0" name="IB-KP4 BI Beban Penjualan dan P-style 3">
      <tableStyleElement dxfId="2" type="firstRowStripe"/>
      <tableStyleElement dxfId="3" type="secondRowStripe"/>
    </tableStyle>
    <tableStyle count="2" pivot="0" name="Data Innovation and Learning -style">
      <tableStyleElement dxfId="2" type="firstRowStripe"/>
      <tableStyleElement dxfId="4" type="secondRowStripe"/>
    </tableStyle>
    <tableStyle count="2" pivot="0" name="Data Innovation and Learning -style 2"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2.png"/><Relationship Id="rId10" Type="http://schemas.openxmlformats.org/officeDocument/2006/relationships/image" Target="../media/image25.png"/><Relationship Id="rId13" Type="http://schemas.openxmlformats.org/officeDocument/2006/relationships/image" Target="../media/image21.png"/><Relationship Id="rId12" Type="http://schemas.openxmlformats.org/officeDocument/2006/relationships/image" Target="../media/image32.png"/><Relationship Id="rId1" Type="http://schemas.openxmlformats.org/officeDocument/2006/relationships/image" Target="../media/image20.png"/><Relationship Id="rId2" Type="http://schemas.openxmlformats.org/officeDocument/2006/relationships/image" Target="../media/image10.png"/><Relationship Id="rId3" Type="http://schemas.openxmlformats.org/officeDocument/2006/relationships/image" Target="../media/image24.jpg"/><Relationship Id="rId4" Type="http://schemas.openxmlformats.org/officeDocument/2006/relationships/image" Target="../media/image9.jpg"/><Relationship Id="rId9" Type="http://schemas.openxmlformats.org/officeDocument/2006/relationships/image" Target="../media/image29.png"/><Relationship Id="rId15" Type="http://schemas.openxmlformats.org/officeDocument/2006/relationships/image" Target="../media/image18.png"/><Relationship Id="rId14" Type="http://schemas.openxmlformats.org/officeDocument/2006/relationships/image" Target="../media/image15.png"/><Relationship Id="rId17" Type="http://schemas.openxmlformats.org/officeDocument/2006/relationships/image" Target="../media/image44.png"/><Relationship Id="rId16" Type="http://schemas.openxmlformats.org/officeDocument/2006/relationships/image" Target="../media/image23.png"/><Relationship Id="rId5" Type="http://schemas.openxmlformats.org/officeDocument/2006/relationships/image" Target="../media/image19.jpg"/><Relationship Id="rId6" Type="http://schemas.openxmlformats.org/officeDocument/2006/relationships/image" Target="../media/image31.png"/><Relationship Id="rId7" Type="http://schemas.openxmlformats.org/officeDocument/2006/relationships/image" Target="../media/image5.png"/><Relationship Id="rId8" Type="http://schemas.openxmlformats.org/officeDocument/2006/relationships/image" Target="../media/image11.png"/></Relationships>
</file>

<file path=xl/drawings/_rels/drawing25.xml.rels><?xml version="1.0" encoding="UTF-8" standalone="yes"?><Relationships xmlns="http://schemas.openxmlformats.org/package/2006/relationships"><Relationship Id="rId11" Type="http://schemas.openxmlformats.org/officeDocument/2006/relationships/image" Target="../media/image30.png"/><Relationship Id="rId10" Type="http://schemas.openxmlformats.org/officeDocument/2006/relationships/image" Target="../media/image28.png"/><Relationship Id="rId13" Type="http://schemas.openxmlformats.org/officeDocument/2006/relationships/image" Target="../media/image41.jpg"/><Relationship Id="rId12" Type="http://schemas.openxmlformats.org/officeDocument/2006/relationships/image" Target="../media/image27.jpg"/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22.png"/><Relationship Id="rId4" Type="http://schemas.openxmlformats.org/officeDocument/2006/relationships/image" Target="../media/image49.png"/><Relationship Id="rId9" Type="http://schemas.openxmlformats.org/officeDocument/2006/relationships/image" Target="../media/image26.png"/><Relationship Id="rId5" Type="http://schemas.openxmlformats.org/officeDocument/2006/relationships/image" Target="../media/image40.png"/><Relationship Id="rId6" Type="http://schemas.openxmlformats.org/officeDocument/2006/relationships/image" Target="../media/image33.png"/><Relationship Id="rId7" Type="http://schemas.openxmlformats.org/officeDocument/2006/relationships/image" Target="../media/image43.png"/><Relationship Id="rId8" Type="http://schemas.openxmlformats.org/officeDocument/2006/relationships/image" Target="../media/image48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8.png"/><Relationship Id="rId3" Type="http://schemas.openxmlformats.org/officeDocument/2006/relationships/image" Target="../media/image4.png"/><Relationship Id="rId4" Type="http://schemas.openxmlformats.org/officeDocument/2006/relationships/image" Target="../media/image13.png"/><Relationship Id="rId11" Type="http://schemas.openxmlformats.org/officeDocument/2006/relationships/image" Target="../media/image17.png"/><Relationship Id="rId10" Type="http://schemas.openxmlformats.org/officeDocument/2006/relationships/image" Target="../media/image6.png"/><Relationship Id="rId9" Type="http://schemas.openxmlformats.org/officeDocument/2006/relationships/image" Target="../media/image7.png"/><Relationship Id="rId5" Type="http://schemas.openxmlformats.org/officeDocument/2006/relationships/image" Target="../media/image16.png"/><Relationship Id="rId6" Type="http://schemas.openxmlformats.org/officeDocument/2006/relationships/image" Target="../media/image2.png"/><Relationship Id="rId7" Type="http://schemas.openxmlformats.org/officeDocument/2006/relationships/image" Target="../media/image3.png"/><Relationship Id="rId8" Type="http://schemas.openxmlformats.org/officeDocument/2006/relationships/image" Target="../media/image14.png"/></Relationships>
</file>

<file path=xl/drawings/_rels/drawing35.xml.rels><?xml version="1.0" encoding="UTF-8" standalone="yes"?><Relationships xmlns="http://schemas.openxmlformats.org/package/2006/relationships"><Relationship Id="rId10" Type="http://schemas.openxmlformats.org/officeDocument/2006/relationships/image" Target="../media/image37.png"/><Relationship Id="rId1" Type="http://schemas.openxmlformats.org/officeDocument/2006/relationships/image" Target="../media/image38.png"/><Relationship Id="rId2" Type="http://schemas.openxmlformats.org/officeDocument/2006/relationships/image" Target="../media/image39.png"/><Relationship Id="rId3" Type="http://schemas.openxmlformats.org/officeDocument/2006/relationships/image" Target="../media/image35.png"/><Relationship Id="rId4" Type="http://schemas.openxmlformats.org/officeDocument/2006/relationships/image" Target="../media/image46.png"/><Relationship Id="rId9" Type="http://schemas.openxmlformats.org/officeDocument/2006/relationships/image" Target="../media/image42.png"/><Relationship Id="rId5" Type="http://schemas.openxmlformats.org/officeDocument/2006/relationships/image" Target="../media/image34.png"/><Relationship Id="rId6" Type="http://schemas.openxmlformats.org/officeDocument/2006/relationships/image" Target="../media/image45.png"/><Relationship Id="rId7" Type="http://schemas.openxmlformats.org/officeDocument/2006/relationships/image" Target="../media/image36.png"/><Relationship Id="rId8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657225</xdr:colOff>
      <xdr:row>10</xdr:row>
      <xdr:rowOff>47625</xdr:rowOff>
    </xdr:from>
    <xdr:ext cx="4333875" cy="1952625"/>
    <xdr:pic>
      <xdr:nvPicPr>
        <xdr:cNvPr id="0" name="image2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342900</xdr:colOff>
      <xdr:row>10</xdr:row>
      <xdr:rowOff>47625</xdr:rowOff>
    </xdr:from>
    <xdr:ext cx="3781425" cy="17430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314325</xdr:colOff>
      <xdr:row>6</xdr:row>
      <xdr:rowOff>152400</xdr:rowOff>
    </xdr:from>
    <xdr:ext cx="3695700" cy="2228850"/>
    <xdr:pic>
      <xdr:nvPicPr>
        <xdr:cNvPr id="0" name="image2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647700</xdr:colOff>
      <xdr:row>6</xdr:row>
      <xdr:rowOff>38100</xdr:rowOff>
    </xdr:from>
    <xdr:ext cx="2705100" cy="2143125"/>
    <xdr:pic>
      <xdr:nvPicPr>
        <xdr:cNvPr id="0" name="image9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6</xdr:row>
      <xdr:rowOff>152400</xdr:rowOff>
    </xdr:from>
    <xdr:ext cx="2705100" cy="2076450"/>
    <xdr:pic>
      <xdr:nvPicPr>
        <xdr:cNvPr id="0" name="image19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695325</xdr:colOff>
      <xdr:row>8</xdr:row>
      <xdr:rowOff>533400</xdr:rowOff>
    </xdr:from>
    <xdr:ext cx="3162300" cy="1495425"/>
    <xdr:pic>
      <xdr:nvPicPr>
        <xdr:cNvPr id="0" name="image3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2</xdr:row>
      <xdr:rowOff>19050</xdr:rowOff>
    </xdr:from>
    <xdr:ext cx="4276725" cy="2305050"/>
    <xdr:pic>
      <xdr:nvPicPr>
        <xdr:cNvPr id="0" name="image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714375</xdr:colOff>
      <xdr:row>2</xdr:row>
      <xdr:rowOff>19050</xdr:rowOff>
    </xdr:from>
    <xdr:ext cx="5381625" cy="2476500"/>
    <xdr:pic>
      <xdr:nvPicPr>
        <xdr:cNvPr id="0" name="image1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657225</xdr:colOff>
      <xdr:row>15</xdr:row>
      <xdr:rowOff>142875</xdr:rowOff>
    </xdr:from>
    <xdr:ext cx="4019550" cy="2743200"/>
    <xdr:pic>
      <xdr:nvPicPr>
        <xdr:cNvPr id="0" name="image2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847725</xdr:colOff>
      <xdr:row>16</xdr:row>
      <xdr:rowOff>219075</xdr:rowOff>
    </xdr:from>
    <xdr:ext cx="4152900" cy="2476500"/>
    <xdr:pic>
      <xdr:nvPicPr>
        <xdr:cNvPr id="0" name="image25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581025</xdr:colOff>
      <xdr:row>15</xdr:row>
      <xdr:rowOff>9525</xdr:rowOff>
    </xdr:from>
    <xdr:ext cx="5191125" cy="3333750"/>
    <xdr:pic>
      <xdr:nvPicPr>
        <xdr:cNvPr id="0" name="image12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180975</xdr:colOff>
      <xdr:row>16</xdr:row>
      <xdr:rowOff>171450</xdr:rowOff>
    </xdr:from>
    <xdr:ext cx="4152900" cy="4724400"/>
    <xdr:pic>
      <xdr:nvPicPr>
        <xdr:cNvPr id="0" name="image32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523875</xdr:colOff>
      <xdr:row>7</xdr:row>
      <xdr:rowOff>57150</xdr:rowOff>
    </xdr:from>
    <xdr:ext cx="2105025" cy="1123950"/>
    <xdr:pic>
      <xdr:nvPicPr>
        <xdr:cNvPr id="0" name="image21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962025</xdr:colOff>
      <xdr:row>8</xdr:row>
      <xdr:rowOff>238125</xdr:rowOff>
    </xdr:from>
    <xdr:ext cx="2266950" cy="1390650"/>
    <xdr:pic>
      <xdr:nvPicPr>
        <xdr:cNvPr id="0" name="image15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914400</xdr:colOff>
      <xdr:row>6</xdr:row>
      <xdr:rowOff>190500</xdr:rowOff>
    </xdr:from>
    <xdr:ext cx="2428875" cy="1123950"/>
    <xdr:pic>
      <xdr:nvPicPr>
        <xdr:cNvPr id="0" name="image18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914400</xdr:colOff>
      <xdr:row>8</xdr:row>
      <xdr:rowOff>295275</xdr:rowOff>
    </xdr:from>
    <xdr:ext cx="2105025" cy="1123950"/>
    <xdr:pic>
      <xdr:nvPicPr>
        <xdr:cNvPr id="0" name="image23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466725</xdr:colOff>
      <xdr:row>8</xdr:row>
      <xdr:rowOff>1209675</xdr:rowOff>
    </xdr:from>
    <xdr:ext cx="2200275" cy="1038225"/>
    <xdr:pic>
      <xdr:nvPicPr>
        <xdr:cNvPr id="0" name="image44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904875</xdr:colOff>
      <xdr:row>10</xdr:row>
      <xdr:rowOff>47625</xdr:rowOff>
    </xdr:from>
    <xdr:ext cx="4943475" cy="21336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657225</xdr:colOff>
      <xdr:row>10</xdr:row>
      <xdr:rowOff>47625</xdr:rowOff>
    </xdr:from>
    <xdr:ext cx="5162550" cy="19907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904875</xdr:colOff>
      <xdr:row>20</xdr:row>
      <xdr:rowOff>180975</xdr:rowOff>
    </xdr:from>
    <xdr:ext cx="1562100" cy="2657475"/>
    <xdr:pic>
      <xdr:nvPicPr>
        <xdr:cNvPr id="0" name="image2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</xdr:colOff>
      <xdr:row>21</xdr:row>
      <xdr:rowOff>38100</xdr:rowOff>
    </xdr:from>
    <xdr:ext cx="3686175" cy="1314450"/>
    <xdr:pic>
      <xdr:nvPicPr>
        <xdr:cNvPr id="0" name="image4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41</xdr:row>
      <xdr:rowOff>76200</xdr:rowOff>
    </xdr:from>
    <xdr:ext cx="3743325" cy="285750"/>
    <xdr:pic>
      <xdr:nvPicPr>
        <xdr:cNvPr id="0" name="image40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42</xdr:row>
      <xdr:rowOff>209550</xdr:rowOff>
    </xdr:from>
    <xdr:ext cx="3743325" cy="219075"/>
    <xdr:pic>
      <xdr:nvPicPr>
        <xdr:cNvPr id="0" name="image3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43</xdr:row>
      <xdr:rowOff>28575</xdr:rowOff>
    </xdr:from>
    <xdr:ext cx="1066800" cy="180975"/>
    <xdr:pic>
      <xdr:nvPicPr>
        <xdr:cNvPr id="0" name="image4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371475</xdr:colOff>
      <xdr:row>10</xdr:row>
      <xdr:rowOff>171450</xdr:rowOff>
    </xdr:from>
    <xdr:ext cx="3762375" cy="2114550"/>
    <xdr:pic>
      <xdr:nvPicPr>
        <xdr:cNvPr id="0" name="image4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619125</xdr:colOff>
      <xdr:row>9</xdr:row>
      <xdr:rowOff>161925</xdr:rowOff>
    </xdr:from>
    <xdr:ext cx="3495675" cy="685800"/>
    <xdr:pic>
      <xdr:nvPicPr>
        <xdr:cNvPr id="0" name="image26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657225</xdr:colOff>
      <xdr:row>13</xdr:row>
      <xdr:rowOff>19050</xdr:rowOff>
    </xdr:from>
    <xdr:ext cx="3419475" cy="342900"/>
    <xdr:pic>
      <xdr:nvPicPr>
        <xdr:cNvPr id="0" name="image28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638175</xdr:colOff>
      <xdr:row>15</xdr:row>
      <xdr:rowOff>19050</xdr:rowOff>
    </xdr:from>
    <xdr:ext cx="3448050" cy="1876425"/>
    <xdr:pic>
      <xdr:nvPicPr>
        <xdr:cNvPr id="0" name="image3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42</xdr:row>
      <xdr:rowOff>161925</xdr:rowOff>
    </xdr:from>
    <xdr:ext cx="3448050" cy="1876425"/>
    <xdr:pic>
      <xdr:nvPicPr>
        <xdr:cNvPr id="0" name="image3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571500</xdr:colOff>
      <xdr:row>42</xdr:row>
      <xdr:rowOff>85725</xdr:rowOff>
    </xdr:from>
    <xdr:ext cx="3762375" cy="2114550"/>
    <xdr:pic>
      <xdr:nvPicPr>
        <xdr:cNvPr id="0" name="image4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819150</xdr:colOff>
      <xdr:row>46</xdr:row>
      <xdr:rowOff>133350</xdr:rowOff>
    </xdr:from>
    <xdr:ext cx="5734050" cy="3933825"/>
    <xdr:pic>
      <xdr:nvPicPr>
        <xdr:cNvPr id="0" name="image27.jpg" title="Gambar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67</xdr:row>
      <xdr:rowOff>152400</xdr:rowOff>
    </xdr:from>
    <xdr:ext cx="5000625" cy="3714750"/>
    <xdr:pic>
      <xdr:nvPicPr>
        <xdr:cNvPr id="0" name="image41.jpg" title="Gambar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26</xdr:row>
      <xdr:rowOff>95250</xdr:rowOff>
    </xdr:from>
    <xdr:ext cx="5162550" cy="1990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17</xdr:row>
      <xdr:rowOff>57150</xdr:rowOff>
    </xdr:from>
    <xdr:ext cx="5648325" cy="1809750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6</xdr:row>
      <xdr:rowOff>85725</xdr:rowOff>
    </xdr:from>
    <xdr:ext cx="4943475" cy="213360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952500</xdr:colOff>
      <xdr:row>6</xdr:row>
      <xdr:rowOff>85725</xdr:rowOff>
    </xdr:from>
    <xdr:ext cx="5686425" cy="3533775"/>
    <xdr:pic>
      <xdr:nvPicPr>
        <xdr:cNvPr id="0" name="image1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952500</xdr:colOff>
      <xdr:row>25</xdr:row>
      <xdr:rowOff>47625</xdr:rowOff>
    </xdr:from>
    <xdr:ext cx="5743575" cy="390525"/>
    <xdr:pic>
      <xdr:nvPicPr>
        <xdr:cNvPr id="0" name="image1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</xdr:colOff>
      <xdr:row>27</xdr:row>
      <xdr:rowOff>28575</xdr:rowOff>
    </xdr:from>
    <xdr:ext cx="3924300" cy="152400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914400</xdr:colOff>
      <xdr:row>22</xdr:row>
      <xdr:rowOff>200025</xdr:rowOff>
    </xdr:from>
    <xdr:ext cx="4933950" cy="1438275"/>
    <xdr:pic>
      <xdr:nvPicPr>
        <xdr:cNvPr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914400</xdr:colOff>
      <xdr:row>6</xdr:row>
      <xdr:rowOff>95250</xdr:rowOff>
    </xdr:from>
    <xdr:ext cx="4933950" cy="3276600"/>
    <xdr:pic>
      <xdr:nvPicPr>
        <xdr:cNvPr id="0" name="image1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42</xdr:row>
      <xdr:rowOff>47625</xdr:rowOff>
    </xdr:from>
    <xdr:ext cx="7800975" cy="400050"/>
    <xdr:pic>
      <xdr:nvPicPr>
        <xdr:cNvPr id="0" name="image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</xdr:colOff>
      <xdr:row>44</xdr:row>
      <xdr:rowOff>38100</xdr:rowOff>
    </xdr:from>
    <xdr:ext cx="3867150" cy="247650"/>
    <xdr:pic>
      <xdr:nvPicPr>
        <xdr:cNvPr id="0" name="image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133350</xdr:colOff>
      <xdr:row>44</xdr:row>
      <xdr:rowOff>38100</xdr:rowOff>
    </xdr:from>
    <xdr:ext cx="1819275" cy="238125"/>
    <xdr:pic>
      <xdr:nvPicPr>
        <xdr:cNvPr id="0" name="image17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914400</xdr:colOff>
      <xdr:row>8</xdr:row>
      <xdr:rowOff>9525</xdr:rowOff>
    </xdr:from>
    <xdr:ext cx="1971675" cy="1143000"/>
    <xdr:pic>
      <xdr:nvPicPr>
        <xdr:cNvPr id="0" name="image3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5</xdr:row>
      <xdr:rowOff>114300</xdr:rowOff>
    </xdr:from>
    <xdr:ext cx="4895850" cy="647700"/>
    <xdr:pic>
      <xdr:nvPicPr>
        <xdr:cNvPr id="0" name="image3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7</xdr:row>
      <xdr:rowOff>200025</xdr:rowOff>
    </xdr:from>
    <xdr:ext cx="2114550" cy="1200150"/>
    <xdr:pic>
      <xdr:nvPicPr>
        <xdr:cNvPr id="0" name="image3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15</xdr:row>
      <xdr:rowOff>190500</xdr:rowOff>
    </xdr:from>
    <xdr:ext cx="4438650" cy="333375"/>
    <xdr:pic>
      <xdr:nvPicPr>
        <xdr:cNvPr id="0" name="image4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14</xdr:row>
      <xdr:rowOff>28575</xdr:rowOff>
    </xdr:from>
    <xdr:ext cx="4533900" cy="361950"/>
    <xdr:pic>
      <xdr:nvPicPr>
        <xdr:cNvPr id="0" name="image3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</xdr:colOff>
      <xdr:row>17</xdr:row>
      <xdr:rowOff>104775</xdr:rowOff>
    </xdr:from>
    <xdr:ext cx="4476750" cy="238125"/>
    <xdr:pic>
      <xdr:nvPicPr>
        <xdr:cNvPr id="0" name="image4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5</xdr:row>
      <xdr:rowOff>133350</xdr:rowOff>
    </xdr:from>
    <xdr:ext cx="4695825" cy="600075"/>
    <xdr:pic>
      <xdr:nvPicPr>
        <xdr:cNvPr id="0" name="image3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57150</xdr:colOff>
      <xdr:row>22</xdr:row>
      <xdr:rowOff>123825</xdr:rowOff>
    </xdr:from>
    <xdr:ext cx="4867275" cy="1171575"/>
    <xdr:pic>
      <xdr:nvPicPr>
        <xdr:cNvPr id="0" name="image4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27</xdr:row>
      <xdr:rowOff>133350</xdr:rowOff>
    </xdr:from>
    <xdr:ext cx="5248275" cy="1504950"/>
    <xdr:pic>
      <xdr:nvPicPr>
        <xdr:cNvPr id="0" name="image4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35</xdr:row>
      <xdr:rowOff>19050</xdr:rowOff>
    </xdr:from>
    <xdr:ext cx="5248275" cy="1695450"/>
    <xdr:pic>
      <xdr:nvPicPr>
        <xdr:cNvPr id="0" name="image37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180975</xdr:rowOff>
    </xdr:from>
    <xdr:ext cx="4867275" cy="200025"/>
    <xdr:pic>
      <xdr:nvPicPr>
        <xdr:cNvPr id="0" name="image4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38100</xdr:rowOff>
    </xdr:from>
    <xdr:ext cx="4895850" cy="647700"/>
    <xdr:pic>
      <xdr:nvPicPr>
        <xdr:cNvPr id="0" name="image3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76200</xdr:rowOff>
    </xdr:from>
    <xdr:ext cx="4867275" cy="295275"/>
    <xdr:pic>
      <xdr:nvPicPr>
        <xdr:cNvPr id="0" name="image3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57150</xdr:rowOff>
    </xdr:from>
    <xdr:ext cx="4895850" cy="600075"/>
    <xdr:pic>
      <xdr:nvPicPr>
        <xdr:cNvPr id="0" name="image3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F64" displayName="Table_1" name="Table_1" id="1">
  <tableColumns count="5">
    <tableColumn name="No. Invoice" id="1"/>
    <tableColumn name="Tanggal Invoice" id="2"/>
    <tableColumn name="Deskripsi" id="3"/>
    <tableColumn name="Debit" id="4"/>
    <tableColumn name="Credit" id="5"/>
  </tableColumns>
  <tableStyleInfo name="FIN - KP1 NPM-style" showColumnStripes="0" showFirstColumn="1" showLastColumn="1" showRowStripes="1"/>
</table>
</file>

<file path=xl/tables/table10.xml><?xml version="1.0" encoding="utf-8"?>
<table xmlns="http://schemas.openxmlformats.org/spreadsheetml/2006/main" headerRowCount="0" ref="A7:E30" displayName="Table_10" 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CU-KP2 BI Pangsa Pasa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B7:E26" displayName="Table_11" name="Table_11" id="11">
  <tableColumns count="4">
    <tableColumn name="Tahun" id="1"/>
    <tableColumn name="Kuartal" id="2"/>
    <tableColumn name="Promotors" id="3"/>
    <tableColumn name="Detractors" id="4"/>
  </tableColumns>
  <tableStyleInfo name="CU-KP3 NPS-style" showColumnStripes="0" showFirstColumn="1" showLastColumn="1" showRowStripes="1"/>
</table>
</file>

<file path=xl/tables/table12.xml><?xml version="1.0" encoding="utf-8"?>
<table xmlns="http://schemas.openxmlformats.org/spreadsheetml/2006/main" headerRowCount="0" ref="E13:G13" displayName="Table_12" name="Table_12" id="12">
  <tableColumns count="3">
    <tableColumn name="Column1" id="1"/>
    <tableColumn name="Column2" id="2"/>
    <tableColumn name="Column3" id="3"/>
  </tableColumns>
  <tableStyleInfo name="CU-KP4 Penurunan Pengadua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M2:R7" displayName="Table_13" name="Table_13" id="1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ata Bisnis Internal-style" showColumnStripes="0" showFirstColumn="1" showLastColumn="1" showRowStripes="1"/>
</table>
</file>

<file path=xl/tables/table14.xml><?xml version="1.0" encoding="utf-8"?>
<table xmlns="http://schemas.openxmlformats.org/spreadsheetml/2006/main" headerRowCount="0" ref="F20:F23" displayName="Table_14" name="Table_14" id="14">
  <tableColumns count="1">
    <tableColumn name="Column1" id="1"/>
  </tableColumns>
  <tableStyleInfo name="Mockup Bisnis Internal-style" showColumnStripes="0" showFirstColumn="1" showLastColumn="1" showRowStripes="1"/>
</table>
</file>

<file path=xl/tables/table15.xml><?xml version="1.0" encoding="utf-8"?>
<table xmlns="http://schemas.openxmlformats.org/spreadsheetml/2006/main" headerRowCount="0" ref="A51:A54" displayName="Table_15" name="Table_15" id="15">
  <tableColumns count="1">
    <tableColumn name="Column1" id="1"/>
  </tableColumns>
  <tableStyleInfo name="Mockup Bisnis Internal-style 2" showColumnStripes="0" showFirstColumn="1" showLastColumn="1" showRowStripes="1"/>
</table>
</file>

<file path=xl/tables/table16.xml><?xml version="1.0" encoding="utf-8"?>
<table xmlns="http://schemas.openxmlformats.org/spreadsheetml/2006/main" ref="B6:E18" displayName="Table_16" name="Table_16" id="16">
  <tableColumns count="4">
    <tableColumn name="Number" id="1"/>
    <tableColumn name="Kuartal" id="2"/>
    <tableColumn name="Total Asset" id="3"/>
    <tableColumn name="Net Revenue" id="4"/>
  </tableColumns>
  <tableStyleInfo name="IB-KP1 Asset Turnover Ratio-style" showColumnStripes="0" showFirstColumn="1" showLastColumn="1" showRowStripes="1"/>
</table>
</file>

<file path=xl/tables/table17.xml><?xml version="1.0" encoding="utf-8"?>
<table xmlns="http://schemas.openxmlformats.org/spreadsheetml/2006/main" headerRowCount="0" ref="B19:B22" displayName="Table_17" name="Table_17" id="17">
  <tableColumns count="1">
    <tableColumn name="Column1" id="1"/>
  </tableColumns>
  <tableStyleInfo name="IB-KP1 Asset Turnover Ratio-style 2" showColumnStripes="0" showFirstColumn="1" showLastColumn="1" showRowStripes="1"/>
</table>
</file>

<file path=xl/tables/table18.xml><?xml version="1.0" encoding="utf-8"?>
<table xmlns="http://schemas.openxmlformats.org/spreadsheetml/2006/main" ref="A1:C13" displayName="Table_18" name="Table_18" id="18">
  <tableColumns count="3">
    <tableColumn name="Tanggal" id="1"/>
    <tableColumn name="Total Asset" id="2"/>
    <tableColumn name="Net Revenue" id="3"/>
  </tableColumns>
  <tableStyleInfo name="IB-KP1 BI Asset Turnover Ratio-style" showColumnStripes="0" showFirstColumn="1" showLastColumn="1" showRowStripes="1"/>
</table>
</file>

<file path=xl/tables/table19.xml><?xml version="1.0" encoding="utf-8"?>
<table xmlns="http://schemas.openxmlformats.org/spreadsheetml/2006/main" ref="A1:C13" displayName="Table_19" name="Table_19" id="19">
  <tableColumns count="3">
    <tableColumn name="Tanggal" id="1"/>
    <tableColumn name="Laba Operasional" id="2"/>
    <tableColumn name="Pendapatan Operasional" id="3"/>
  </tableColumns>
  <tableStyleInfo name="IB-KP2 BI Operating Margin-style" showColumnStripes="0" showFirstColumn="1" showLastColumn="1" showRowStripes="1"/>
</table>
</file>

<file path=xl/tables/table2.xml><?xml version="1.0" encoding="utf-8"?>
<table xmlns="http://schemas.openxmlformats.org/spreadsheetml/2006/main" headerRowCount="0" ref="G5:H64" displayName="Table_2" name="Table_2" id="2">
  <tableColumns count="2">
    <tableColumn name="Column1" id="1"/>
    <tableColumn name="Column2" id="2"/>
  </tableColumns>
  <tableStyleInfo name="FIN - KP1 NPM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A14:A17" displayName="Table_20" name="Table_20" id="20">
  <tableColumns count="1">
    <tableColumn name="Column1" id="1"/>
  </tableColumns>
  <tableStyleInfo name="IB-KP2 BI Operating Margin-style 2" showColumnStripes="0" showFirstColumn="1" showLastColumn="1" showRowStripes="1"/>
</table>
</file>

<file path=xl/tables/table21.xml><?xml version="1.0" encoding="utf-8"?>
<table xmlns="http://schemas.openxmlformats.org/spreadsheetml/2006/main" headerRowCount="0" ref="B21:B24" displayName="Table_21" name="Table_21" id="21">
  <tableColumns count="1">
    <tableColumn name="Column1" id="1"/>
  </tableColumns>
  <tableStyleInfo name="IB-KP3 Laba  Rugi Operasional-style" showColumnStripes="0" showFirstColumn="1" showLastColumn="1" showRowStripes="1"/>
</table>
</file>

<file path=xl/tables/table22.xml><?xml version="1.0" encoding="utf-8"?>
<table xmlns="http://schemas.openxmlformats.org/spreadsheetml/2006/main" ref="A1:C13" displayName="Table_22" name="Table_22" id="22">
  <tableColumns count="3">
    <tableColumn name="Tanggal" id="1"/>
    <tableColumn name="Laba kotor" id="2"/>
    <tableColumn name="Biaya operasional" id="3"/>
  </tableColumns>
  <tableStyleInfo name="IB-KP3 BI Laba  Rugi Operasiona-style" showColumnStripes="0" showFirstColumn="1" showLastColumn="1" showRowStripes="1"/>
</table>
</file>

<file path=xl/tables/table23.xml><?xml version="1.0" encoding="utf-8"?>
<table xmlns="http://schemas.openxmlformats.org/spreadsheetml/2006/main" headerRowCount="0" ref="B21:B24" displayName="Table_23" name="Table_23" id="23">
  <tableColumns count="1">
    <tableColumn name="Column1" id="1"/>
  </tableColumns>
  <tableStyleInfo name="IB-KP4 Beban Penjualan dan Pema-style" showColumnStripes="0" showFirstColumn="1" showLastColumn="1" showRowStripes="1"/>
</table>
</file>

<file path=xl/tables/table24.xml><?xml version="1.0" encoding="utf-8"?>
<table xmlns="http://schemas.openxmlformats.org/spreadsheetml/2006/main" headerRowCount="0" ref="F24:G24" displayName="Table_24" name="Table_24" id="24">
  <tableColumns count="2">
    <tableColumn name="Column1" id="1"/>
    <tableColumn name="Column2" id="2"/>
  </tableColumns>
  <tableStyleInfo name="IB-KP4 Beban Penjualan dan Pema-style 2" showColumnStripes="0" showFirstColumn="1" showLastColumn="1" showRowStripes="1"/>
</table>
</file>

<file path=xl/tables/table25.xml><?xml version="1.0" encoding="utf-8"?>
<table xmlns="http://schemas.openxmlformats.org/spreadsheetml/2006/main" ref="A1:C13" displayName="Table_25" name="Table_25" id="25">
  <tableColumns count="3">
    <tableColumn name="Tanggal" id="1"/>
    <tableColumn name="Biaya pemasaran" id="2"/>
    <tableColumn name="Biaya penjulaan" id="3"/>
  </tableColumns>
  <tableStyleInfo name="IB-KP4 BI Beban Penjualan dan P-style" showColumnStripes="0" showFirstColumn="1" showLastColumn="1" showRowStripes="1"/>
</table>
</file>

<file path=xl/tables/table26.xml><?xml version="1.0" encoding="utf-8"?>
<table xmlns="http://schemas.openxmlformats.org/spreadsheetml/2006/main" headerRowCount="0" ref="A14:A17" displayName="Table_26" name="Table_26" id="26">
  <tableColumns count="1">
    <tableColumn name="Column1" id="1"/>
  </tableColumns>
  <tableStyleInfo name="IB-KP4 BI Beban Penjualan dan P-style 2" showColumnStripes="0" showFirstColumn="1" showLastColumn="1" showRowStripes="1"/>
</table>
</file>

<file path=xl/tables/table27.xml><?xml version="1.0" encoding="utf-8"?>
<table xmlns="http://schemas.openxmlformats.org/spreadsheetml/2006/main" headerRowCount="0" ref="B17:C17" displayName="Table_27" name="Table_27" id="27">
  <tableColumns count="2">
    <tableColumn name="Column1" id="1"/>
    <tableColumn name="Column2" id="2"/>
  </tableColumns>
  <tableStyleInfo name="IB-KP4 BI Beban Penjualan dan P-style 3" showColumnStripes="0" showFirstColumn="1" showLastColumn="1" showRowStripes="1"/>
</table>
</file>

<file path=xl/tables/table28.xml><?xml version="1.0" encoding="utf-8"?>
<table xmlns="http://schemas.openxmlformats.org/spreadsheetml/2006/main" headerRowCount="0" ref="A4:E23" displayName="Table_28" name="Table_28" id="28">
  <tableColumns count="5">
    <tableColumn name="Column1" id="1"/>
    <tableColumn name="Column2" id="2"/>
    <tableColumn name="Column3" id="3"/>
    <tableColumn name="Column4" id="4"/>
    <tableColumn name="Column5" id="5"/>
  </tableColumns>
  <tableStyleInfo name="Data Innovation and Learning -style" showColumnStripes="0" showFirstColumn="1" showLastColumn="1" showRowStripes="1"/>
</table>
</file>

<file path=xl/tables/table29.xml><?xml version="1.0" encoding="utf-8"?>
<table xmlns="http://schemas.openxmlformats.org/spreadsheetml/2006/main" headerRowCount="0" ref="G4:K22" displayName="Table_29" name="Table_29" id="29">
  <tableColumns count="5">
    <tableColumn name="Column1" id="1"/>
    <tableColumn name="Column2" id="2"/>
    <tableColumn name="Column3" id="3"/>
    <tableColumn name="Column4" id="4"/>
    <tableColumn name="Column5" id="5"/>
  </tableColumns>
  <tableStyleInfo name="Data Innovation and Learning -style 2" showColumnStripes="0" showFirstColumn="1" showLastColumn="1" showRowStripes="1"/>
</table>
</file>

<file path=xl/tables/table3.xml><?xml version="1.0" encoding="utf-8"?>
<table xmlns="http://schemas.openxmlformats.org/spreadsheetml/2006/main" ref="B5:C64" displayName="Table_3" name="Table_3" id="3">
  <tableColumns count="2">
    <tableColumn name="No. Invoice" id="1"/>
    <tableColumn name="Tanggal Invoice" id="2"/>
  </tableColumns>
  <tableStyleInfo name="FIN - KP2 ROE-style" showColumnStripes="0" showFirstColumn="1" showLastColumn="1" showRowStripes="1"/>
</table>
</file>

<file path=xl/tables/table4.xml><?xml version="1.0" encoding="utf-8"?>
<table xmlns="http://schemas.openxmlformats.org/spreadsheetml/2006/main" ref="B5:F64" displayName="Table_4" name="Table_4" id="4">
  <tableColumns count="5">
    <tableColumn name="No. Invoice" id="1"/>
    <tableColumn name="Tanggal Invoice" id="2"/>
    <tableColumn name="Deskripsi" id="3"/>
    <tableColumn name="Debit" id="4"/>
    <tableColumn name="Credit" id="5"/>
  </tableColumns>
  <tableStyleInfo name="FIN - KP3 EBITDA-style" showColumnStripes="0" showFirstColumn="1" showLastColumn="1" showRowStripes="1"/>
</table>
</file>

<file path=xl/tables/table5.xml><?xml version="1.0" encoding="utf-8"?>
<table xmlns="http://schemas.openxmlformats.org/spreadsheetml/2006/main" headerRowCount="0" ref="G5:H64" displayName="Table_5" name="Table_5" id="5">
  <tableColumns count="2">
    <tableColumn name="Column1" id="1"/>
    <tableColumn name="Column2" id="2"/>
  </tableColumns>
  <tableStyleInfo name="FIN - KP3 EBITD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B6:E22" displayName="Table_6" name="Table_6" id="6">
  <tableColumns count="4">
    <tableColumn name="Number" id="1"/>
    <tableColumn name="Kuartil" id="2"/>
    <tableColumn name="Keuntungan Perusahaan" id="3"/>
    <tableColumn name="Capital Invested / Taken" id="4"/>
  </tableColumns>
  <tableStyleInfo name="FIN - KP4 ROIC-style" showColumnStripes="0" showFirstColumn="1" showLastColumn="1" showRowStripes="1"/>
</table>
</file>

<file path=xl/tables/table7.xml><?xml version="1.0" encoding="utf-8"?>
<table xmlns="http://schemas.openxmlformats.org/spreadsheetml/2006/main" headerRowCount="0" ref="C23:C26" displayName="Table_7" name="Table_7" id="7">
  <tableColumns count="1">
    <tableColumn name="Column1" id="1"/>
  </tableColumns>
  <tableStyleInfo name="FIN - KP4 ROIC-style 2" showColumnStripes="0" showFirstColumn="1" showLastColumn="1" showRowStripes="1"/>
</table>
</file>

<file path=xl/tables/table8.xml><?xml version="1.0" encoding="utf-8"?>
<table xmlns="http://schemas.openxmlformats.org/spreadsheetml/2006/main" headerRowCount="0" ref="A4:E18" displayName="Table_8" name="Table_8" id="8">
  <tableColumns count="5">
    <tableColumn name="Column1" id="1"/>
    <tableColumn name="Column2" id="2"/>
    <tableColumn name="Column3" id="3"/>
    <tableColumn name="Column4" id="4"/>
    <tableColumn name="Column5" id="5"/>
  </tableColumns>
  <tableStyleInfo name="Data Customer-style" showColumnStripes="0" showFirstColumn="1" showLastColumn="1" showRowStripes="1"/>
</table>
</file>

<file path=xl/tables/table9.xml><?xml version="1.0" encoding="utf-8"?>
<table xmlns="http://schemas.openxmlformats.org/spreadsheetml/2006/main" ref="B6:E25" displayName="Table_9" name="Table_9" id="9">
  <tableColumns count="4">
    <tableColumn name="Tahun" id="1"/>
    <tableColumn name="Kuartal" id="2"/>
    <tableColumn name="Nilai Kepuasan Pelanggan" id="3"/>
    <tableColumn name="Persentase Kepuasan Pelanggan" id="4"/>
  </tableColumns>
  <tableStyleInfo name="CU-KP1 Kepuasan Pelangg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8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0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1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Relationship Id="rId3" Type="http://schemas.openxmlformats.org/officeDocument/2006/relationships/table" Target="../tables/table13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Relationship Id="rId3" Type="http://schemas.openxmlformats.org/officeDocument/2006/relationships/table" Target="../tables/table1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Relationship Id="rId3" Type="http://schemas.openxmlformats.org/officeDocument/2006/relationships/table" Target="../tables/table2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Relationship Id="rId3" Type="http://schemas.openxmlformats.org/officeDocument/2006/relationships/table" Target="../tables/table2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Relationship Id="rId4" Type="http://schemas.openxmlformats.org/officeDocument/2006/relationships/table" Target="../tables/table23.xml"/><Relationship Id="rId5" Type="http://schemas.openxmlformats.org/officeDocument/2006/relationships/table" Target="../tables/table24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Relationship Id="rId5" Type="http://schemas.openxmlformats.org/officeDocument/2006/relationships/table" Target="../tables/table25.xml"/><Relationship Id="rId6" Type="http://schemas.openxmlformats.org/officeDocument/2006/relationships/table" Target="../tables/table26.xml"/><Relationship Id="rId7" Type="http://schemas.openxmlformats.org/officeDocument/2006/relationships/table" Target="../tables/table27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Relationship Id="rId4" Type="http://schemas.openxmlformats.org/officeDocument/2006/relationships/table" Target="../tables/table28.xml"/><Relationship Id="rId5" Type="http://schemas.openxmlformats.org/officeDocument/2006/relationships/table" Target="../tables/table29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3" max="3" width="23.0"/>
    <col customWidth="1" min="4" max="6" width="16.38"/>
    <col customWidth="1" min="7" max="7" width="32.75"/>
    <col customWidth="1" min="8" max="9" width="16.38"/>
    <col customWidth="1" min="10" max="10" width="10.38"/>
    <col customWidth="1" min="11" max="11" width="22.75"/>
    <col customWidth="1" min="12" max="12" width="13.88"/>
    <col customWidth="1" min="13" max="13" width="23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3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5" t="s">
        <v>12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6"/>
      <c r="B4" s="7" t="s">
        <v>13</v>
      </c>
      <c r="C4" s="8"/>
      <c r="D4" s="8"/>
      <c r="E4" s="8"/>
      <c r="F4" s="8"/>
      <c r="G4" s="8"/>
      <c r="H4" s="8"/>
      <c r="I4" s="8"/>
      <c r="J4" s="8"/>
      <c r="K4" s="8"/>
      <c r="L4" s="9"/>
      <c r="M4" s="10"/>
      <c r="N4" s="10">
        <v>0.25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6"/>
      <c r="B5" s="11" t="s">
        <v>14</v>
      </c>
      <c r="C5" s="12" t="s">
        <v>15</v>
      </c>
      <c r="D5" s="13" t="s">
        <v>16</v>
      </c>
      <c r="E5" s="11" t="s">
        <v>17</v>
      </c>
      <c r="F5" s="11" t="s">
        <v>18</v>
      </c>
      <c r="G5" s="11" t="s">
        <v>19</v>
      </c>
      <c r="H5" s="11" t="s">
        <v>20</v>
      </c>
      <c r="I5" s="11" t="s">
        <v>21</v>
      </c>
      <c r="J5" s="11" t="s">
        <v>22</v>
      </c>
      <c r="K5" s="14" t="s">
        <v>23</v>
      </c>
      <c r="L5" s="15" t="s">
        <v>24</v>
      </c>
      <c r="M5" s="16" t="s">
        <v>25</v>
      </c>
      <c r="N5" s="17">
        <v>0.4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6"/>
      <c r="B6" s="11" t="s">
        <v>26</v>
      </c>
      <c r="C6" s="12" t="s">
        <v>15</v>
      </c>
      <c r="D6" s="13" t="s">
        <v>16</v>
      </c>
      <c r="E6" s="11" t="s">
        <v>17</v>
      </c>
      <c r="F6" s="11" t="s">
        <v>27</v>
      </c>
      <c r="G6" s="11" t="s">
        <v>28</v>
      </c>
      <c r="H6" s="11" t="s">
        <v>29</v>
      </c>
      <c r="I6" s="11" t="s">
        <v>30</v>
      </c>
      <c r="J6" s="11" t="s">
        <v>22</v>
      </c>
      <c r="K6" s="14" t="s">
        <v>31</v>
      </c>
      <c r="L6" s="15" t="s">
        <v>24</v>
      </c>
      <c r="M6" s="18" t="s">
        <v>32</v>
      </c>
      <c r="N6" s="17">
        <v>0.1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6"/>
      <c r="B7" s="11" t="s">
        <v>33</v>
      </c>
      <c r="C7" s="12" t="s">
        <v>15</v>
      </c>
      <c r="D7" s="13" t="s">
        <v>16</v>
      </c>
      <c r="E7" s="11" t="s">
        <v>17</v>
      </c>
      <c r="F7" s="11" t="s">
        <v>34</v>
      </c>
      <c r="G7" s="11" t="s">
        <v>35</v>
      </c>
      <c r="H7" s="11" t="s">
        <v>36</v>
      </c>
      <c r="I7" s="11" t="s">
        <v>37</v>
      </c>
      <c r="J7" s="11" t="s">
        <v>22</v>
      </c>
      <c r="K7" s="14" t="s">
        <v>38</v>
      </c>
      <c r="L7" s="15" t="s">
        <v>39</v>
      </c>
      <c r="M7" s="11" t="s">
        <v>40</v>
      </c>
      <c r="N7" s="17">
        <v>0.25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6"/>
      <c r="B8" s="11" t="s">
        <v>41</v>
      </c>
      <c r="C8" s="12" t="s">
        <v>42</v>
      </c>
      <c r="D8" s="13" t="s">
        <v>43</v>
      </c>
      <c r="E8" s="11" t="s">
        <v>17</v>
      </c>
      <c r="F8" s="11" t="s">
        <v>44</v>
      </c>
      <c r="G8" s="11" t="s">
        <v>45</v>
      </c>
      <c r="H8" s="11" t="s">
        <v>46</v>
      </c>
      <c r="I8" s="11" t="s">
        <v>47</v>
      </c>
      <c r="J8" s="11" t="s">
        <v>22</v>
      </c>
      <c r="K8" s="14" t="s">
        <v>48</v>
      </c>
      <c r="L8" s="15" t="s">
        <v>24</v>
      </c>
      <c r="M8" s="16" t="s">
        <v>49</v>
      </c>
      <c r="N8" s="17">
        <v>0.25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6"/>
      <c r="B9" s="19" t="s">
        <v>50</v>
      </c>
      <c r="C9" s="20"/>
      <c r="D9" s="20"/>
      <c r="E9" s="20"/>
      <c r="F9" s="20"/>
      <c r="G9" s="20"/>
      <c r="H9" s="20"/>
      <c r="I9" s="20"/>
      <c r="J9" s="20"/>
      <c r="K9" s="20"/>
      <c r="L9" s="9"/>
      <c r="M9" s="10"/>
      <c r="N9" s="10">
        <v>0.3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6"/>
      <c r="B10" s="11" t="s">
        <v>51</v>
      </c>
      <c r="C10" s="13" t="s">
        <v>52</v>
      </c>
      <c r="D10" s="13" t="s">
        <v>43</v>
      </c>
      <c r="E10" s="11" t="s">
        <v>53</v>
      </c>
      <c r="F10" s="11" t="s">
        <v>54</v>
      </c>
      <c r="G10" s="21" t="s">
        <v>55</v>
      </c>
      <c r="H10" s="11" t="s">
        <v>56</v>
      </c>
      <c r="I10" s="11" t="s">
        <v>57</v>
      </c>
      <c r="J10" s="11" t="s">
        <v>22</v>
      </c>
      <c r="K10" s="14" t="s">
        <v>58</v>
      </c>
      <c r="L10" s="11" t="s">
        <v>24</v>
      </c>
      <c r="M10" s="22" t="s">
        <v>59</v>
      </c>
      <c r="N10" s="17">
        <v>0.35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6"/>
      <c r="B11" s="11" t="s">
        <v>60</v>
      </c>
      <c r="C11" s="13" t="s">
        <v>61</v>
      </c>
      <c r="D11" s="13" t="s">
        <v>62</v>
      </c>
      <c r="E11" s="11" t="s">
        <v>53</v>
      </c>
      <c r="F11" s="11" t="s">
        <v>63</v>
      </c>
      <c r="G11" s="11" t="s">
        <v>64</v>
      </c>
      <c r="H11" s="23" t="s">
        <v>65</v>
      </c>
      <c r="I11" s="11" t="s">
        <v>66</v>
      </c>
      <c r="J11" s="11" t="s">
        <v>22</v>
      </c>
      <c r="K11" s="14" t="s">
        <v>67</v>
      </c>
      <c r="L11" s="11" t="s">
        <v>24</v>
      </c>
      <c r="M11" s="18" t="s">
        <v>68</v>
      </c>
      <c r="N11" s="17">
        <v>0.25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6"/>
      <c r="B12" s="11" t="s">
        <v>69</v>
      </c>
      <c r="C12" s="13" t="s">
        <v>61</v>
      </c>
      <c r="D12" s="13" t="s">
        <v>70</v>
      </c>
      <c r="E12" s="11" t="s">
        <v>53</v>
      </c>
      <c r="F12" s="24" t="s">
        <v>71</v>
      </c>
      <c r="G12" s="11" t="s">
        <v>72</v>
      </c>
      <c r="H12" s="11" t="s">
        <v>73</v>
      </c>
      <c r="I12" s="11" t="s">
        <v>74</v>
      </c>
      <c r="J12" s="11" t="s">
        <v>22</v>
      </c>
      <c r="K12" s="14" t="s">
        <v>75</v>
      </c>
      <c r="L12" s="11" t="s">
        <v>24</v>
      </c>
      <c r="M12" s="18" t="s">
        <v>76</v>
      </c>
      <c r="N12" s="17">
        <v>0.25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6"/>
      <c r="B13" s="11" t="s">
        <v>77</v>
      </c>
      <c r="C13" s="13" t="s">
        <v>61</v>
      </c>
      <c r="D13" s="13" t="s">
        <v>78</v>
      </c>
      <c r="E13" s="11" t="s">
        <v>53</v>
      </c>
      <c r="F13" s="11" t="s">
        <v>79</v>
      </c>
      <c r="G13" s="11" t="s">
        <v>80</v>
      </c>
      <c r="H13" s="11" t="s">
        <v>81</v>
      </c>
      <c r="I13" s="11" t="s">
        <v>82</v>
      </c>
      <c r="J13" s="11" t="s">
        <v>22</v>
      </c>
      <c r="K13" s="14" t="s">
        <v>75</v>
      </c>
      <c r="L13" s="11" t="s">
        <v>24</v>
      </c>
      <c r="M13" s="18" t="s">
        <v>83</v>
      </c>
      <c r="N13" s="17">
        <v>0.15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6"/>
      <c r="B14" s="19" t="s">
        <v>84</v>
      </c>
      <c r="C14" s="8"/>
      <c r="D14" s="8"/>
      <c r="E14" s="8"/>
      <c r="F14" s="8"/>
      <c r="G14" s="8"/>
      <c r="H14" s="8"/>
      <c r="I14" s="8"/>
      <c r="J14" s="8"/>
      <c r="K14" s="8"/>
      <c r="L14" s="9"/>
      <c r="M14" s="10"/>
      <c r="N14" s="10">
        <v>0.2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6"/>
      <c r="B15" s="11" t="s">
        <v>85</v>
      </c>
      <c r="C15" s="13" t="s">
        <v>86</v>
      </c>
      <c r="D15" s="13" t="s">
        <v>87</v>
      </c>
      <c r="E15" s="11" t="s">
        <v>88</v>
      </c>
      <c r="F15" s="11" t="s">
        <v>89</v>
      </c>
      <c r="G15" s="11" t="s">
        <v>90</v>
      </c>
      <c r="H15" s="11" t="s">
        <v>91</v>
      </c>
      <c r="I15" s="11" t="s">
        <v>92</v>
      </c>
      <c r="J15" s="11" t="s">
        <v>22</v>
      </c>
      <c r="K15" s="14" t="s">
        <v>93</v>
      </c>
      <c r="L15" s="11" t="s">
        <v>24</v>
      </c>
      <c r="M15" s="18" t="s">
        <v>94</v>
      </c>
      <c r="N15" s="17">
        <v>0.3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6"/>
      <c r="B16" s="11" t="s">
        <v>95</v>
      </c>
      <c r="C16" s="12" t="s">
        <v>86</v>
      </c>
      <c r="D16" s="13" t="s">
        <v>96</v>
      </c>
      <c r="E16" s="11" t="s">
        <v>88</v>
      </c>
      <c r="F16" s="11" t="s">
        <v>97</v>
      </c>
      <c r="G16" s="11" t="s">
        <v>98</v>
      </c>
      <c r="H16" s="11" t="s">
        <v>99</v>
      </c>
      <c r="I16" s="11" t="s">
        <v>100</v>
      </c>
      <c r="J16" s="11" t="s">
        <v>22</v>
      </c>
      <c r="K16" s="14" t="s">
        <v>101</v>
      </c>
      <c r="L16" s="11" t="s">
        <v>24</v>
      </c>
      <c r="M16" s="18" t="s">
        <v>102</v>
      </c>
      <c r="N16" s="17">
        <v>0.2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6"/>
      <c r="B17" s="11" t="s">
        <v>103</v>
      </c>
      <c r="C17" s="12" t="s">
        <v>86</v>
      </c>
      <c r="D17" s="11" t="s">
        <v>96</v>
      </c>
      <c r="E17" s="11" t="s">
        <v>88</v>
      </c>
      <c r="F17" s="21" t="s">
        <v>104</v>
      </c>
      <c r="G17" s="11" t="s">
        <v>105</v>
      </c>
      <c r="H17" s="21" t="s">
        <v>106</v>
      </c>
      <c r="I17" s="11" t="s">
        <v>107</v>
      </c>
      <c r="J17" s="11" t="s">
        <v>22</v>
      </c>
      <c r="K17" s="14" t="s">
        <v>108</v>
      </c>
      <c r="L17" s="11" t="s">
        <v>39</v>
      </c>
      <c r="M17" s="11" t="s">
        <v>109</v>
      </c>
      <c r="N17" s="17">
        <v>0.35</v>
      </c>
      <c r="O17" s="1" t="s">
        <v>110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6"/>
      <c r="B18" s="11" t="s">
        <v>111</v>
      </c>
      <c r="C18" s="11" t="s">
        <v>86</v>
      </c>
      <c r="D18" s="11" t="s">
        <v>112</v>
      </c>
      <c r="E18" s="25" t="s">
        <v>88</v>
      </c>
      <c r="F18" s="11" t="s">
        <v>113</v>
      </c>
      <c r="G18" s="11" t="s">
        <v>114</v>
      </c>
      <c r="H18" s="11" t="s">
        <v>115</v>
      </c>
      <c r="I18" s="11" t="s">
        <v>116</v>
      </c>
      <c r="J18" s="11" t="s">
        <v>22</v>
      </c>
      <c r="K18" s="26" t="s">
        <v>117</v>
      </c>
      <c r="L18" s="11" t="s">
        <v>39</v>
      </c>
      <c r="M18" s="27" t="s">
        <v>118</v>
      </c>
      <c r="N18" s="17">
        <v>0.15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6"/>
      <c r="B19" s="19" t="s">
        <v>119</v>
      </c>
      <c r="C19" s="20"/>
      <c r="D19" s="20"/>
      <c r="E19" s="20"/>
      <c r="F19" s="20"/>
      <c r="G19" s="20"/>
      <c r="H19" s="20"/>
      <c r="I19" s="20"/>
      <c r="J19" s="20"/>
      <c r="K19" s="20"/>
      <c r="L19" s="28"/>
      <c r="M19" s="10"/>
      <c r="N19" s="10">
        <v>0.25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6"/>
      <c r="B20" s="11" t="s">
        <v>120</v>
      </c>
      <c r="C20" s="13" t="s">
        <v>121</v>
      </c>
      <c r="D20" s="24" t="s">
        <v>122</v>
      </c>
      <c r="E20" s="11" t="s">
        <v>123</v>
      </c>
      <c r="F20" s="11" t="s">
        <v>124</v>
      </c>
      <c r="G20" s="11" t="s">
        <v>125</v>
      </c>
      <c r="H20" s="11" t="s">
        <v>126</v>
      </c>
      <c r="I20" s="11" t="s">
        <v>127</v>
      </c>
      <c r="J20" s="11" t="s">
        <v>22</v>
      </c>
      <c r="K20" s="14" t="s">
        <v>128</v>
      </c>
      <c r="L20" s="11" t="s">
        <v>24</v>
      </c>
      <c r="M20" s="18" t="s">
        <v>129</v>
      </c>
      <c r="N20" s="17">
        <v>0.25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6"/>
      <c r="B21" s="11" t="s">
        <v>130</v>
      </c>
      <c r="C21" s="13" t="s">
        <v>121</v>
      </c>
      <c r="D21" s="24" t="s">
        <v>122</v>
      </c>
      <c r="E21" s="11" t="s">
        <v>123</v>
      </c>
      <c r="F21" s="11" t="s">
        <v>131</v>
      </c>
      <c r="G21" s="11" t="s">
        <v>132</v>
      </c>
      <c r="H21" s="11" t="s">
        <v>133</v>
      </c>
      <c r="I21" s="11" t="s">
        <v>134</v>
      </c>
      <c r="J21" s="11" t="s">
        <v>22</v>
      </c>
      <c r="K21" s="14" t="s">
        <v>135</v>
      </c>
      <c r="L21" s="11" t="s">
        <v>24</v>
      </c>
      <c r="M21" s="18" t="s">
        <v>136</v>
      </c>
      <c r="N21" s="17">
        <v>0.15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6"/>
      <c r="B22" s="11" t="s">
        <v>137</v>
      </c>
      <c r="C22" s="13" t="s">
        <v>121</v>
      </c>
      <c r="D22" s="24" t="s">
        <v>122</v>
      </c>
      <c r="E22" s="11" t="s">
        <v>123</v>
      </c>
      <c r="F22" s="11" t="s">
        <v>138</v>
      </c>
      <c r="G22" s="11" t="s">
        <v>139</v>
      </c>
      <c r="H22" s="11" t="s">
        <v>140</v>
      </c>
      <c r="I22" s="11" t="s">
        <v>141</v>
      </c>
      <c r="J22" s="11" t="s">
        <v>22</v>
      </c>
      <c r="K22" s="14" t="s">
        <v>142</v>
      </c>
      <c r="L22" s="11" t="s">
        <v>143</v>
      </c>
      <c r="M22" s="18" t="s">
        <v>144</v>
      </c>
      <c r="N22" s="17">
        <v>0.3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6"/>
      <c r="B23" s="11" t="s">
        <v>145</v>
      </c>
      <c r="C23" s="13" t="s">
        <v>121</v>
      </c>
      <c r="D23" s="24" t="s">
        <v>122</v>
      </c>
      <c r="E23" s="11" t="s">
        <v>123</v>
      </c>
      <c r="F23" s="11" t="s">
        <v>146</v>
      </c>
      <c r="G23" s="11" t="s">
        <v>147</v>
      </c>
      <c r="H23" s="11" t="s">
        <v>148</v>
      </c>
      <c r="I23" s="11" t="s">
        <v>149</v>
      </c>
      <c r="J23" s="11" t="s">
        <v>22</v>
      </c>
      <c r="K23" s="14" t="s">
        <v>150</v>
      </c>
      <c r="L23" s="11" t="s">
        <v>151</v>
      </c>
      <c r="M23" s="18" t="s">
        <v>152</v>
      </c>
      <c r="N23" s="17">
        <v>0.3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</sheetData>
  <mergeCells count="4">
    <mergeCell ref="B4:K4"/>
    <mergeCell ref="B9:K9"/>
    <mergeCell ref="B14:K14"/>
    <mergeCell ref="B19:K1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9.38"/>
    <col customWidth="1" min="3" max="7" width="27.38"/>
    <col customWidth="1" min="9" max="9" width="11.88"/>
    <col customWidth="1" min="10" max="11" width="25.13"/>
    <col customWidth="1" min="12" max="12" width="12.63"/>
    <col customWidth="1" min="13" max="14" width="25.13"/>
    <col customWidth="1" min="15" max="15" width="21.25"/>
    <col customWidth="1" min="16" max="16" width="19.75"/>
    <col customWidth="1" min="17" max="17" width="19.13"/>
    <col customWidth="1" min="20" max="20" width="19.75"/>
    <col customWidth="1" min="22" max="22" width="20.63"/>
  </cols>
  <sheetData>
    <row r="2">
      <c r="F2" s="85"/>
    </row>
    <row r="3">
      <c r="B3" s="68" t="s">
        <v>292</v>
      </c>
      <c r="C3" s="69"/>
      <c r="D3" s="69"/>
      <c r="E3" s="107"/>
      <c r="F3" s="72"/>
    </row>
    <row r="4">
      <c r="B4" s="74"/>
      <c r="E4" s="108"/>
      <c r="F4" s="72"/>
    </row>
    <row r="5">
      <c r="B5" s="124" t="s">
        <v>273</v>
      </c>
      <c r="C5" s="37"/>
      <c r="D5" s="37"/>
      <c r="E5" s="38"/>
      <c r="F5" s="72"/>
    </row>
    <row r="6">
      <c r="B6" s="83" t="s">
        <v>293</v>
      </c>
      <c r="C6" s="84" t="s">
        <v>294</v>
      </c>
      <c r="D6" s="84" t="s">
        <v>295</v>
      </c>
      <c r="E6" s="84" t="s">
        <v>296</v>
      </c>
      <c r="F6" s="85"/>
    </row>
    <row r="7">
      <c r="B7" s="125">
        <v>1.0</v>
      </c>
      <c r="C7" s="125">
        <v>1.0</v>
      </c>
      <c r="D7" s="126">
        <f>-922079</f>
        <v>-922079</v>
      </c>
      <c r="E7" s="127">
        <f>450000</f>
        <v>450000</v>
      </c>
    </row>
    <row r="8">
      <c r="B8" s="125">
        <v>2.0</v>
      </c>
      <c r="C8" s="125">
        <v>2.0</v>
      </c>
      <c r="D8" s="126">
        <f>-468247</f>
        <v>-468247</v>
      </c>
      <c r="E8" s="128">
        <f>300000</f>
        <v>300000</v>
      </c>
    </row>
    <row r="9">
      <c r="B9" s="125">
        <v>3.0</v>
      </c>
      <c r="C9" s="125">
        <v>3.0</v>
      </c>
      <c r="D9" s="126">
        <f>461269</f>
        <v>461269</v>
      </c>
      <c r="E9" s="128">
        <f>200000</f>
        <v>200000</v>
      </c>
    </row>
    <row r="10">
      <c r="B10" s="125">
        <v>4.0</v>
      </c>
      <c r="C10" s="125">
        <v>4.0</v>
      </c>
      <c r="D10" s="126">
        <f>-1755943</f>
        <v>-1755943</v>
      </c>
      <c r="E10" s="128">
        <f>1840000</f>
        <v>1840000</v>
      </c>
    </row>
    <row r="11">
      <c r="B11" s="125">
        <v>5.0</v>
      </c>
      <c r="C11" s="125">
        <v>1.0</v>
      </c>
      <c r="D11" s="129">
        <f>-91049</f>
        <v>-91049</v>
      </c>
      <c r="E11" s="130">
        <f>-856000</f>
        <v>-856000</v>
      </c>
    </row>
    <row r="12">
      <c r="B12" s="125">
        <v>6.0</v>
      </c>
      <c r="C12" s="125">
        <v>2.0</v>
      </c>
      <c r="D12" s="129">
        <f>1534557</f>
        <v>1534557</v>
      </c>
      <c r="E12" s="128">
        <f>-1230000</f>
        <v>-1230000</v>
      </c>
    </row>
    <row r="13">
      <c r="B13" s="125">
        <v>7.0</v>
      </c>
      <c r="C13" s="125">
        <v>3.0</v>
      </c>
      <c r="D13" s="129">
        <f>1538099</f>
        <v>1538099</v>
      </c>
      <c r="E13" s="128">
        <f>-1234500</f>
        <v>-1234500</v>
      </c>
    </row>
    <row r="14">
      <c r="B14" s="125">
        <v>8.0</v>
      </c>
      <c r="C14" s="125">
        <v>4.0</v>
      </c>
      <c r="D14" s="129">
        <f>-1331613</f>
        <v>-1331613</v>
      </c>
      <c r="E14" s="128">
        <f>-9100000</f>
        <v>-9100000</v>
      </c>
    </row>
    <row r="15">
      <c r="B15" s="131">
        <v>11.0</v>
      </c>
      <c r="C15" s="131">
        <v>1.0</v>
      </c>
      <c r="D15" s="132">
        <f>-280947</f>
        <v>-280947</v>
      </c>
      <c r="E15" s="130">
        <f>9856000</f>
        <v>9856000</v>
      </c>
    </row>
    <row r="16">
      <c r="B16" s="131">
        <v>12.0</v>
      </c>
      <c r="C16" s="131">
        <v>2.0</v>
      </c>
      <c r="D16" s="132">
        <f>-99493</f>
        <v>-99493</v>
      </c>
      <c r="E16" s="128">
        <f>-1245700</f>
        <v>-1245700</v>
      </c>
    </row>
    <row r="17">
      <c r="B17" s="131">
        <v>13.0</v>
      </c>
      <c r="C17" s="131">
        <v>3.0</v>
      </c>
      <c r="D17" s="132">
        <f>2400852</f>
        <v>2400852</v>
      </c>
      <c r="E17" s="128">
        <f>-323749</f>
        <v>-323749</v>
      </c>
    </row>
    <row r="18">
      <c r="B18" s="131">
        <v>14.0</v>
      </c>
      <c r="C18" s="131">
        <v>4.0</v>
      </c>
      <c r="D18" s="132">
        <f>-619722</f>
        <v>-619722</v>
      </c>
      <c r="E18" s="128">
        <f>9134000</f>
        <v>9134000</v>
      </c>
    </row>
    <row r="19">
      <c r="B19" s="131">
        <v>16.0</v>
      </c>
      <c r="C19" s="131">
        <v>1.0</v>
      </c>
      <c r="D19" s="132">
        <f>204822</f>
        <v>204822</v>
      </c>
      <c r="E19" s="130">
        <f>-5673490</f>
        <v>-5673490</v>
      </c>
    </row>
    <row r="20">
      <c r="B20" s="131">
        <v>17.0</v>
      </c>
      <c r="C20" s="131">
        <v>2.0</v>
      </c>
      <c r="D20" s="132">
        <f>-60529</f>
        <v>-60529</v>
      </c>
      <c r="E20" s="128">
        <f>-8324700</f>
        <v>-8324700</v>
      </c>
    </row>
    <row r="21">
      <c r="B21" s="131">
        <v>18.0</v>
      </c>
      <c r="C21" s="131">
        <v>3.0</v>
      </c>
      <c r="D21" s="132">
        <f>249788</f>
        <v>249788</v>
      </c>
      <c r="E21" s="128">
        <f>2500000</f>
        <v>2500000</v>
      </c>
    </row>
    <row r="22">
      <c r="B22" s="131">
        <v>19.0</v>
      </c>
      <c r="C22" s="131">
        <v>4.0</v>
      </c>
      <c r="D22" s="132">
        <f>616049</f>
        <v>616049</v>
      </c>
      <c r="E22" s="128">
        <f>-7239012</f>
        <v>-7239012</v>
      </c>
    </row>
    <row r="23">
      <c r="B23" s="131">
        <v>21.0</v>
      </c>
      <c r="C23" s="131">
        <v>1.0</v>
      </c>
      <c r="D23" s="132">
        <f>-164734</f>
        <v>-164734</v>
      </c>
      <c r="E23" s="130">
        <f>-9889304</f>
        <v>-9889304</v>
      </c>
    </row>
    <row r="24">
      <c r="B24" s="131">
        <v>21.0</v>
      </c>
      <c r="C24" s="131">
        <v>2.0</v>
      </c>
      <c r="D24" s="132">
        <f>-174996</f>
        <v>-174996</v>
      </c>
      <c r="E24" s="128">
        <f>-14859403</f>
        <v>-14859403</v>
      </c>
    </row>
    <row r="25">
      <c r="B25" s="131">
        <v>22.0</v>
      </c>
      <c r="C25" s="131">
        <v>3.0</v>
      </c>
      <c r="D25" s="132">
        <f>-264176</f>
        <v>-264176</v>
      </c>
      <c r="E25" s="128">
        <f>2500000</f>
        <v>2500000</v>
      </c>
    </row>
    <row r="26">
      <c r="B26" s="131">
        <v>23.0</v>
      </c>
      <c r="C26" s="131">
        <v>4.0</v>
      </c>
      <c r="D26" s="132">
        <f>1238697</f>
        <v>1238697</v>
      </c>
      <c r="E26" s="128">
        <f>-12850349</f>
        <v>-12850349</v>
      </c>
    </row>
  </sheetData>
  <mergeCells count="4">
    <mergeCell ref="B3:E4"/>
    <mergeCell ref="B5:E5"/>
    <mergeCell ref="B27:C27"/>
    <mergeCell ref="B31:C31"/>
  </mergeCells>
  <drawing r:id="rId1"/>
  <tableParts count="2"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8.75"/>
    <col customWidth="1" min="3" max="3" width="36.75"/>
  </cols>
  <sheetData>
    <row r="1">
      <c r="A1" s="58" t="s">
        <v>288</v>
      </c>
      <c r="B1" s="58" t="s">
        <v>295</v>
      </c>
      <c r="C1" s="58" t="s">
        <v>296</v>
      </c>
    </row>
    <row r="2">
      <c r="A2" s="133">
        <v>43466.0</v>
      </c>
      <c r="B2" s="65">
        <v>-922079.0</v>
      </c>
      <c r="C2" s="106">
        <v>450000.0</v>
      </c>
    </row>
    <row r="3">
      <c r="A3" s="133">
        <v>43556.0</v>
      </c>
      <c r="B3" s="65">
        <v>-468247.0</v>
      </c>
      <c r="C3" s="106">
        <v>300000.0</v>
      </c>
    </row>
    <row r="4">
      <c r="A4" s="133">
        <v>43647.0</v>
      </c>
      <c r="B4" s="65">
        <v>461269.0</v>
      </c>
      <c r="C4" s="106">
        <v>200000.0</v>
      </c>
    </row>
    <row r="5">
      <c r="A5" s="133">
        <v>43739.0</v>
      </c>
      <c r="B5" s="65">
        <v>-1755943.0</v>
      </c>
      <c r="C5" s="106">
        <v>1840000.0</v>
      </c>
    </row>
    <row r="6">
      <c r="A6" s="133">
        <v>43831.0</v>
      </c>
      <c r="B6" s="65">
        <v>-91049.0</v>
      </c>
      <c r="C6" s="106">
        <v>-856000.0</v>
      </c>
    </row>
    <row r="7">
      <c r="A7" s="133">
        <v>43922.0</v>
      </c>
      <c r="B7" s="65">
        <v>1534557.0</v>
      </c>
      <c r="C7" s="106">
        <v>-1230000.0</v>
      </c>
    </row>
    <row r="8">
      <c r="A8" s="133">
        <v>44013.0</v>
      </c>
      <c r="B8" s="65">
        <v>1538099.0</v>
      </c>
      <c r="C8" s="106">
        <v>-1234500.0</v>
      </c>
    </row>
    <row r="9">
      <c r="A9" s="133">
        <v>44105.0</v>
      </c>
      <c r="B9" s="65">
        <v>-1331613.0</v>
      </c>
      <c r="C9" s="106">
        <v>-9100000.0</v>
      </c>
    </row>
    <row r="10">
      <c r="A10" s="133">
        <v>44197.0</v>
      </c>
      <c r="B10" s="106">
        <v>-280947.0</v>
      </c>
      <c r="C10" s="106">
        <v>9856000.0</v>
      </c>
    </row>
    <row r="11">
      <c r="A11" s="133">
        <v>44287.0</v>
      </c>
      <c r="B11" s="106">
        <v>-99493.0</v>
      </c>
      <c r="C11" s="106">
        <v>-1245700.0</v>
      </c>
    </row>
    <row r="12">
      <c r="A12" s="133">
        <v>44378.0</v>
      </c>
      <c r="B12" s="106">
        <v>2400852.0</v>
      </c>
      <c r="C12" s="106">
        <v>-323749.0</v>
      </c>
    </row>
    <row r="13">
      <c r="A13" s="133">
        <v>44470.0</v>
      </c>
      <c r="B13" s="106">
        <v>-619722.0</v>
      </c>
      <c r="C13" s="106">
        <v>9134000.0</v>
      </c>
    </row>
    <row r="14">
      <c r="A14" s="133">
        <v>44562.0</v>
      </c>
      <c r="B14" s="106">
        <v>204822.0</v>
      </c>
      <c r="C14" s="106">
        <v>-5673490.0</v>
      </c>
    </row>
    <row r="15">
      <c r="A15" s="133">
        <v>44652.0</v>
      </c>
      <c r="B15" s="106">
        <v>-60529.0</v>
      </c>
      <c r="C15" s="106">
        <v>-8324700.0</v>
      </c>
    </row>
    <row r="16">
      <c r="A16" s="133">
        <v>44743.0</v>
      </c>
      <c r="B16" s="106">
        <v>249788.0</v>
      </c>
      <c r="C16" s="106">
        <v>2500000.0</v>
      </c>
    </row>
    <row r="17">
      <c r="A17" s="133">
        <v>44835.0</v>
      </c>
      <c r="B17" s="106">
        <v>616049.0</v>
      </c>
      <c r="C17" s="106">
        <v>-7239012.0</v>
      </c>
    </row>
    <row r="18">
      <c r="A18" s="133">
        <v>44927.0</v>
      </c>
      <c r="B18" s="106">
        <v>-164734.0</v>
      </c>
      <c r="C18" s="106">
        <v>-9889304.0</v>
      </c>
    </row>
    <row r="19">
      <c r="A19" s="133">
        <v>45017.0</v>
      </c>
      <c r="B19" s="106">
        <v>-174996.0</v>
      </c>
      <c r="C19" s="106">
        <v>-1.4859403E7</v>
      </c>
    </row>
    <row r="20">
      <c r="A20" s="133">
        <v>45108.0</v>
      </c>
      <c r="B20" s="106">
        <v>-264176.0</v>
      </c>
      <c r="C20" s="106">
        <v>2500000.0</v>
      </c>
    </row>
    <row r="21">
      <c r="A21" s="133">
        <v>45200.0</v>
      </c>
      <c r="B21" s="106">
        <v>1238697.0</v>
      </c>
      <c r="C21" s="106">
        <v>-1.2850349E7</v>
      </c>
    </row>
    <row r="22">
      <c r="A22" s="65"/>
      <c r="B22" s="65"/>
    </row>
    <row r="23">
      <c r="A23" s="65"/>
      <c r="B23" s="65"/>
    </row>
    <row r="24">
      <c r="A24" s="65"/>
      <c r="B24" s="65"/>
    </row>
    <row r="25">
      <c r="A25" s="65"/>
      <c r="B25" s="65"/>
    </row>
    <row r="26">
      <c r="A26" s="65"/>
      <c r="B26" s="65"/>
    </row>
    <row r="27">
      <c r="A27" s="65"/>
      <c r="B27" s="65"/>
    </row>
    <row r="28">
      <c r="A28" s="65"/>
      <c r="B28" s="65"/>
    </row>
    <row r="29">
      <c r="A29" s="65"/>
      <c r="B29" s="65"/>
    </row>
    <row r="30">
      <c r="A30" s="65"/>
      <c r="B30" s="65"/>
    </row>
    <row r="31">
      <c r="A31" s="65"/>
      <c r="B31" s="65"/>
    </row>
    <row r="32">
      <c r="A32" s="65"/>
      <c r="B32" s="65"/>
    </row>
    <row r="33">
      <c r="A33" s="65"/>
      <c r="B33" s="65"/>
    </row>
    <row r="34">
      <c r="A34" s="65"/>
      <c r="B34" s="65"/>
    </row>
    <row r="35">
      <c r="A35" s="65"/>
      <c r="B35" s="65"/>
    </row>
    <row r="36">
      <c r="A36" s="65"/>
      <c r="B36" s="65"/>
    </row>
    <row r="37">
      <c r="A37" s="65"/>
      <c r="B37" s="65"/>
    </row>
    <row r="38">
      <c r="A38" s="65"/>
      <c r="B38" s="65"/>
    </row>
    <row r="39">
      <c r="A39" s="65"/>
      <c r="B39" s="65"/>
    </row>
    <row r="40">
      <c r="A40" s="65"/>
      <c r="B40" s="65"/>
    </row>
    <row r="41">
      <c r="A41" s="65"/>
      <c r="B41" s="65"/>
    </row>
    <row r="42">
      <c r="A42" s="65"/>
      <c r="B42" s="65"/>
    </row>
    <row r="43">
      <c r="A43" s="65"/>
      <c r="B43" s="65"/>
    </row>
    <row r="44">
      <c r="A44" s="65"/>
      <c r="B44" s="65"/>
    </row>
    <row r="45">
      <c r="A45" s="65"/>
      <c r="B45" s="65"/>
    </row>
    <row r="46">
      <c r="A46" s="65"/>
      <c r="B46" s="65"/>
    </row>
    <row r="47">
      <c r="A47" s="65"/>
      <c r="B47" s="65"/>
    </row>
    <row r="48">
      <c r="A48" s="65"/>
      <c r="B48" s="65"/>
    </row>
    <row r="49">
      <c r="A49" s="65"/>
      <c r="B49" s="65"/>
    </row>
    <row r="50">
      <c r="A50" s="65"/>
      <c r="B50" s="65"/>
    </row>
    <row r="51">
      <c r="A51" s="65"/>
      <c r="B51" s="65"/>
    </row>
    <row r="52">
      <c r="A52" s="65"/>
      <c r="B52" s="65"/>
    </row>
    <row r="53">
      <c r="A53" s="65"/>
      <c r="B53" s="65"/>
    </row>
    <row r="54">
      <c r="A54" s="65"/>
      <c r="B54" s="65"/>
    </row>
    <row r="55">
      <c r="A55" s="65"/>
      <c r="B55" s="65"/>
    </row>
    <row r="56">
      <c r="A56" s="65"/>
      <c r="B56" s="65"/>
    </row>
    <row r="57">
      <c r="A57" s="65"/>
      <c r="B57" s="65"/>
    </row>
    <row r="58">
      <c r="A58" s="65"/>
      <c r="B58" s="65"/>
    </row>
    <row r="59">
      <c r="A59" s="65"/>
      <c r="B59" s="65"/>
    </row>
    <row r="60">
      <c r="A60" s="65"/>
      <c r="B60" s="65"/>
    </row>
    <row r="61">
      <c r="A61" s="65"/>
      <c r="B61" s="65"/>
      <c r="C61" s="65"/>
    </row>
    <row r="62">
      <c r="A62" s="65"/>
      <c r="B62" s="65"/>
      <c r="C62" s="65"/>
    </row>
    <row r="63">
      <c r="A63" s="65"/>
      <c r="B63" s="65"/>
      <c r="C63" s="65"/>
    </row>
    <row r="64">
      <c r="A64" s="65"/>
      <c r="B64" s="65"/>
      <c r="C64" s="65"/>
    </row>
    <row r="65">
      <c r="A65" s="65"/>
      <c r="B65" s="65"/>
      <c r="C65" s="65"/>
    </row>
    <row r="66">
      <c r="A66" s="65"/>
      <c r="B66" s="65"/>
      <c r="C66" s="6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showGridLines="0" workbookViewId="0"/>
  </sheetViews>
  <sheetFormatPr customHeight="1" defaultColWidth="12.63" defaultRowHeight="15.75"/>
  <sheetData>
    <row r="4" ht="83.25" customHeight="1">
      <c r="A4" s="134"/>
      <c r="B4" s="135">
        <v>2023.0</v>
      </c>
      <c r="C4" s="135">
        <v>2022.0</v>
      </c>
      <c r="D4" s="135">
        <v>2021.0</v>
      </c>
      <c r="E4" s="135">
        <v>2020.0</v>
      </c>
    </row>
    <row r="5" ht="102.75" customHeight="1">
      <c r="A5" s="134" t="s">
        <v>54</v>
      </c>
      <c r="B5" s="136">
        <f>(152.645/200)*100%</f>
        <v>0.763225</v>
      </c>
      <c r="C5" s="136">
        <f>(162.38/200)*100%</f>
        <v>0.8119</v>
      </c>
      <c r="D5" s="136">
        <f>(169.19/200)*100%</f>
        <v>0.84595</v>
      </c>
      <c r="E5" s="136">
        <f>(162.26/200)*100%</f>
        <v>0.8113</v>
      </c>
    </row>
    <row r="6">
      <c r="A6" s="137"/>
      <c r="B6" s="138"/>
      <c r="C6" s="139"/>
      <c r="D6" s="139"/>
      <c r="E6" s="139"/>
    </row>
    <row r="7">
      <c r="A7" s="137"/>
      <c r="B7" s="138"/>
      <c r="C7" s="139"/>
      <c r="D7" s="139"/>
      <c r="E7" s="139"/>
    </row>
    <row r="8" ht="85.5" customHeight="1">
      <c r="A8" s="134"/>
      <c r="B8" s="135">
        <v>2023.0</v>
      </c>
      <c r="C8" s="135">
        <v>2022.0</v>
      </c>
      <c r="D8" s="135">
        <v>2021.0</v>
      </c>
      <c r="E8" s="135">
        <v>2020.0</v>
      </c>
    </row>
    <row r="9" ht="99.0" customHeight="1">
      <c r="A9" s="134" t="s">
        <v>63</v>
      </c>
      <c r="B9" s="136">
        <v>0.034</v>
      </c>
      <c r="C9" s="140">
        <v>0.1</v>
      </c>
      <c r="D9" s="136">
        <v>0.077</v>
      </c>
      <c r="E9" s="136">
        <v>0.106</v>
      </c>
    </row>
    <row r="10" ht="68.25" customHeight="1">
      <c r="A10" s="137"/>
      <c r="B10" s="138"/>
      <c r="C10" s="139"/>
      <c r="D10" s="139"/>
      <c r="E10" s="139"/>
    </row>
    <row r="11">
      <c r="A11" s="137"/>
      <c r="B11" s="138"/>
      <c r="C11" s="139"/>
      <c r="D11" s="139"/>
      <c r="E11" s="139"/>
    </row>
    <row r="12">
      <c r="A12" s="135"/>
      <c r="B12" s="135">
        <v>2023.0</v>
      </c>
      <c r="C12" s="135">
        <v>2022.0</v>
      </c>
      <c r="D12" s="135">
        <v>2021.0</v>
      </c>
      <c r="E12" s="135">
        <v>2020.0</v>
      </c>
    </row>
    <row r="13" ht="33.0" customHeight="1">
      <c r="A13" s="135" t="s">
        <v>71</v>
      </c>
      <c r="B13" s="136">
        <f>54%</f>
        <v>0.54</v>
      </c>
      <c r="C13" s="136">
        <f>59%</f>
        <v>0.59</v>
      </c>
      <c r="D13" s="136">
        <f>49%</f>
        <v>0.49</v>
      </c>
      <c r="E13" s="136">
        <f>41%</f>
        <v>0.41</v>
      </c>
      <c r="I13" s="59"/>
    </row>
    <row r="14">
      <c r="A14" s="137"/>
      <c r="B14" s="138"/>
      <c r="C14" s="139"/>
      <c r="D14" s="139"/>
      <c r="E14" s="139"/>
    </row>
    <row r="15" ht="67.5" customHeight="1">
      <c r="A15" s="137"/>
      <c r="B15" s="138"/>
      <c r="C15" s="139"/>
      <c r="D15" s="139"/>
      <c r="E15" s="139"/>
    </row>
    <row r="16">
      <c r="A16" s="137"/>
      <c r="B16" s="138">
        <v>1442827.0</v>
      </c>
      <c r="C16" s="139">
        <f>473571+424848+371566+290837+282624+198091+39755+32684+22821+647670</f>
        <v>2784467</v>
      </c>
      <c r="D16" s="138">
        <f>434485+407850+307850+122606+155782+178150+324184+42242+46552+434071</f>
        <v>2453772</v>
      </c>
      <c r="E16" s="139">
        <f>925388+919214+509198+229488+2343057+191801+260412+29012+63298+1522626</f>
        <v>6993494</v>
      </c>
    </row>
    <row r="17">
      <c r="A17" s="134"/>
      <c r="B17" s="135">
        <v>2023.0</v>
      </c>
      <c r="C17" s="135">
        <v>2022.0</v>
      </c>
      <c r="D17" s="135">
        <v>2021.0</v>
      </c>
      <c r="E17" s="135">
        <v>2020.0</v>
      </c>
    </row>
    <row r="18">
      <c r="A18" s="135" t="s">
        <v>297</v>
      </c>
      <c r="B18" s="136">
        <f t="shared" ref="B18:D18" si="1">(B16/C16)*100%</f>
        <v>0.5181699047</v>
      </c>
      <c r="C18" s="141">
        <f t="shared" si="1"/>
        <v>1.13477006</v>
      </c>
      <c r="D18" s="141">
        <f t="shared" si="1"/>
        <v>0.3508649611</v>
      </c>
      <c r="E18" s="141"/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sheetData>
    <row r="2">
      <c r="B2" s="68" t="s">
        <v>298</v>
      </c>
      <c r="C2" s="69"/>
      <c r="D2" s="69"/>
      <c r="E2" s="107"/>
    </row>
    <row r="3">
      <c r="B3" s="74"/>
      <c r="E3" s="108"/>
    </row>
    <row r="4">
      <c r="B4" s="142"/>
      <c r="C4" s="48"/>
      <c r="D4" s="48"/>
      <c r="E4" s="49"/>
    </row>
    <row r="5">
      <c r="B5" s="143"/>
      <c r="C5" s="144" t="s">
        <v>299</v>
      </c>
      <c r="D5" s="37"/>
      <c r="E5" s="38"/>
    </row>
    <row r="6">
      <c r="B6" s="83" t="s">
        <v>300</v>
      </c>
      <c r="C6" s="84" t="s">
        <v>301</v>
      </c>
      <c r="D6" s="83" t="s">
        <v>302</v>
      </c>
      <c r="E6" s="83" t="s">
        <v>303</v>
      </c>
    </row>
    <row r="7">
      <c r="B7" s="87">
        <v>2020.0</v>
      </c>
      <c r="C7" s="87">
        <v>1.0</v>
      </c>
      <c r="D7" s="145">
        <v>4.066666666666666</v>
      </c>
      <c r="E7" s="146">
        <v>0.8133333333333334</v>
      </c>
    </row>
    <row r="8">
      <c r="B8" s="87">
        <v>2020.0</v>
      </c>
      <c r="C8" s="87">
        <v>2.0</v>
      </c>
      <c r="D8" s="145">
        <v>4.033333333333333</v>
      </c>
      <c r="E8" s="146">
        <v>0.8066666666666666</v>
      </c>
    </row>
    <row r="9">
      <c r="B9" s="87">
        <v>2020.0</v>
      </c>
      <c r="C9" s="87">
        <v>3.0</v>
      </c>
      <c r="D9" s="145">
        <v>4.1</v>
      </c>
      <c r="E9" s="146">
        <v>0.82</v>
      </c>
    </row>
    <row r="10">
      <c r="B10" s="87">
        <v>2020.0</v>
      </c>
      <c r="C10" s="87">
        <v>4.0</v>
      </c>
      <c r="D10" s="145">
        <v>4.066666666666666</v>
      </c>
      <c r="E10" s="146">
        <v>0.8133333333333334</v>
      </c>
    </row>
    <row r="11">
      <c r="B11" s="83" t="s">
        <v>293</v>
      </c>
      <c r="C11" s="84" t="s">
        <v>301</v>
      </c>
      <c r="D11" s="83" t="s">
        <v>302</v>
      </c>
      <c r="E11" s="83" t="s">
        <v>303</v>
      </c>
    </row>
    <row r="12">
      <c r="B12" s="87">
        <v>2021.0</v>
      </c>
      <c r="C12" s="87">
        <v>1.0</v>
      </c>
      <c r="D12" s="147">
        <v>4.283333333333332</v>
      </c>
      <c r="E12" s="148">
        <v>0.8566666666666665</v>
      </c>
    </row>
    <row r="13">
      <c r="B13" s="87">
        <v>2021.0</v>
      </c>
      <c r="C13" s="87">
        <v>2.0</v>
      </c>
      <c r="D13" s="147">
        <v>4.166666666666667</v>
      </c>
      <c r="E13" s="148">
        <v>0.8333333333333335</v>
      </c>
    </row>
    <row r="14">
      <c r="B14" s="87">
        <v>2021.0</v>
      </c>
      <c r="C14" s="87">
        <v>3.0</v>
      </c>
      <c r="D14" s="147">
        <v>4.233333333333333</v>
      </c>
      <c r="E14" s="148">
        <v>0.8466666666666667</v>
      </c>
    </row>
    <row r="15">
      <c r="B15" s="87">
        <v>2021.0</v>
      </c>
      <c r="C15" s="87">
        <v>4.0</v>
      </c>
      <c r="D15" s="147">
        <v>4.233333333333333</v>
      </c>
      <c r="E15" s="148">
        <v>0.8466666666666667</v>
      </c>
    </row>
    <row r="16">
      <c r="B16" s="149" t="s">
        <v>293</v>
      </c>
      <c r="C16" s="84" t="s">
        <v>301</v>
      </c>
      <c r="D16" s="83" t="s">
        <v>302</v>
      </c>
      <c r="E16" s="83" t="s">
        <v>303</v>
      </c>
    </row>
    <row r="17">
      <c r="B17" s="87">
        <v>2022.0</v>
      </c>
      <c r="C17" s="87">
        <v>1.0</v>
      </c>
      <c r="D17" s="145">
        <v>4.136666666666667</v>
      </c>
      <c r="E17" s="146">
        <v>0.8273333333333334</v>
      </c>
    </row>
    <row r="18">
      <c r="B18" s="87">
        <v>2022.0</v>
      </c>
      <c r="C18" s="87">
        <v>2.0</v>
      </c>
      <c r="D18" s="145">
        <v>4.066666666666666</v>
      </c>
      <c r="E18" s="146">
        <v>0.8133333333333334</v>
      </c>
    </row>
    <row r="19">
      <c r="B19" s="87">
        <v>2022.0</v>
      </c>
      <c r="C19" s="87">
        <v>3.0</v>
      </c>
      <c r="D19" s="145">
        <v>4.033333333333333</v>
      </c>
      <c r="E19" s="146">
        <v>0.8066666666666666</v>
      </c>
    </row>
    <row r="20">
      <c r="B20" s="87">
        <v>2022.0</v>
      </c>
      <c r="C20" s="87">
        <v>4.0</v>
      </c>
      <c r="D20" s="145">
        <v>4.133333333333334</v>
      </c>
      <c r="E20" s="146">
        <v>0.8266666666666668</v>
      </c>
    </row>
    <row r="21">
      <c r="B21" s="150" t="s">
        <v>293</v>
      </c>
      <c r="C21" s="84" t="s">
        <v>301</v>
      </c>
      <c r="D21" s="83" t="s">
        <v>302</v>
      </c>
      <c r="E21" s="83" t="s">
        <v>303</v>
      </c>
    </row>
    <row r="22">
      <c r="B22" s="87">
        <v>2023.0</v>
      </c>
      <c r="C22" s="87">
        <v>1.0</v>
      </c>
      <c r="D22" s="145">
        <v>3.8000000000000003</v>
      </c>
      <c r="E22" s="151">
        <v>0.7600000000000001</v>
      </c>
    </row>
    <row r="23">
      <c r="B23" s="87">
        <v>2023.0</v>
      </c>
      <c r="C23" s="87">
        <v>2.0</v>
      </c>
      <c r="D23" s="145">
        <v>3.766666666666667</v>
      </c>
      <c r="E23" s="151">
        <v>0.7533333333333334</v>
      </c>
    </row>
    <row r="24">
      <c r="B24" s="87">
        <v>2023.0</v>
      </c>
      <c r="C24" s="87">
        <v>3.0</v>
      </c>
      <c r="D24" s="145">
        <v>3.8333333333333335</v>
      </c>
      <c r="E24" s="151">
        <v>0.7666666666666667</v>
      </c>
    </row>
    <row r="25">
      <c r="B25" s="87">
        <v>2023.0</v>
      </c>
      <c r="C25" s="87">
        <v>4.0</v>
      </c>
      <c r="D25" s="145">
        <v>3.8633333333333333</v>
      </c>
      <c r="E25" s="151">
        <v>0.7726666666666667</v>
      </c>
    </row>
  </sheetData>
  <mergeCells count="2">
    <mergeCell ref="B2:E4"/>
    <mergeCell ref="C5:E5"/>
  </mergeCell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5.88"/>
  </cols>
  <sheetData>
    <row r="1">
      <c r="A1" s="58" t="s">
        <v>288</v>
      </c>
      <c r="B1" s="58" t="s">
        <v>302</v>
      </c>
      <c r="C1" s="58" t="s">
        <v>303</v>
      </c>
    </row>
    <row r="2">
      <c r="A2" s="152">
        <v>43831.0</v>
      </c>
      <c r="B2" s="153">
        <v>4.066666666666666</v>
      </c>
      <c r="C2" s="154">
        <v>0.8133333333333334</v>
      </c>
    </row>
    <row r="3">
      <c r="A3" s="152">
        <v>43922.0</v>
      </c>
      <c r="B3" s="153">
        <v>4.033333333333333</v>
      </c>
      <c r="C3" s="154">
        <v>0.8066666666666666</v>
      </c>
    </row>
    <row r="4">
      <c r="A4" s="152">
        <v>44013.0</v>
      </c>
      <c r="B4" s="153">
        <v>4.1</v>
      </c>
      <c r="C4" s="154">
        <v>0.82</v>
      </c>
    </row>
    <row r="5">
      <c r="A5" s="152">
        <v>44105.0</v>
      </c>
      <c r="B5" s="153">
        <v>4.066666666666666</v>
      </c>
      <c r="C5" s="154">
        <v>0.8133333333333334</v>
      </c>
    </row>
    <row r="6">
      <c r="A6" s="152">
        <v>44197.0</v>
      </c>
      <c r="B6" s="153">
        <v>4.283333333333332</v>
      </c>
      <c r="C6" s="154">
        <v>0.8566666666666665</v>
      </c>
    </row>
    <row r="7">
      <c r="A7" s="152">
        <v>44287.0</v>
      </c>
      <c r="B7" s="153">
        <v>4.166666666666667</v>
      </c>
      <c r="C7" s="154">
        <v>0.8333333333333335</v>
      </c>
    </row>
    <row r="8">
      <c r="A8" s="152">
        <v>44378.0</v>
      </c>
      <c r="B8" s="153">
        <v>4.233333333333333</v>
      </c>
      <c r="C8" s="154">
        <v>0.8466666666666667</v>
      </c>
    </row>
    <row r="9">
      <c r="A9" s="152">
        <v>44470.0</v>
      </c>
      <c r="B9" s="153">
        <v>4.233333333333333</v>
      </c>
      <c r="C9" s="154">
        <v>0.8466666666666667</v>
      </c>
    </row>
    <row r="10">
      <c r="A10" s="152">
        <v>44562.0</v>
      </c>
      <c r="B10" s="153">
        <v>4.136666666666667</v>
      </c>
      <c r="C10" s="154">
        <v>0.8273333333333334</v>
      </c>
    </row>
    <row r="11">
      <c r="A11" s="152">
        <v>44652.0</v>
      </c>
      <c r="B11" s="153">
        <v>4.066666666666666</v>
      </c>
      <c r="C11" s="154">
        <v>0.8133333333333334</v>
      </c>
    </row>
    <row r="12">
      <c r="A12" s="152">
        <v>44743.0</v>
      </c>
      <c r="B12" s="153">
        <v>4.033333333333333</v>
      </c>
      <c r="C12" s="154">
        <v>0.8066666666666666</v>
      </c>
    </row>
    <row r="13">
      <c r="A13" s="152">
        <v>44835.0</v>
      </c>
      <c r="B13" s="153">
        <v>4.133333333333334</v>
      </c>
      <c r="C13" s="154">
        <v>0.8266666666666668</v>
      </c>
    </row>
    <row r="14">
      <c r="A14" s="152">
        <v>44927.0</v>
      </c>
      <c r="B14" s="153">
        <v>3.8000000000000003</v>
      </c>
      <c r="C14" s="154">
        <v>0.7600000000000001</v>
      </c>
    </row>
    <row r="15">
      <c r="A15" s="152">
        <v>45017.0</v>
      </c>
      <c r="B15" s="153">
        <v>3.766666666666667</v>
      </c>
      <c r="C15" s="154">
        <v>0.7533333333333334</v>
      </c>
    </row>
    <row r="16">
      <c r="A16" s="152">
        <v>45108.0</v>
      </c>
      <c r="B16" s="153">
        <v>3.8333333333333335</v>
      </c>
      <c r="C16" s="154">
        <v>0.7666666666666667</v>
      </c>
    </row>
    <row r="17">
      <c r="A17" s="152">
        <v>45200.0</v>
      </c>
      <c r="B17" s="153">
        <v>3.8633333333333333</v>
      </c>
      <c r="C17" s="154">
        <v>0.7726666666666667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sheetData>
    <row r="3">
      <c r="B3" s="68" t="s">
        <v>304</v>
      </c>
      <c r="C3" s="69"/>
      <c r="D3" s="69"/>
      <c r="E3" s="107"/>
    </row>
    <row r="4">
      <c r="B4" s="74"/>
      <c r="E4" s="108"/>
    </row>
    <row r="5">
      <c r="B5" s="142"/>
      <c r="C5" s="48"/>
      <c r="D5" s="48"/>
      <c r="E5" s="49"/>
    </row>
    <row r="6">
      <c r="B6" s="109"/>
      <c r="C6" s="155" t="s">
        <v>305</v>
      </c>
      <c r="D6" s="37"/>
      <c r="E6" s="38"/>
    </row>
    <row r="7">
      <c r="B7" s="156" t="s">
        <v>300</v>
      </c>
      <c r="C7" s="84" t="s">
        <v>301</v>
      </c>
      <c r="D7" s="83" t="s">
        <v>306</v>
      </c>
      <c r="E7" s="83" t="s">
        <v>307</v>
      </c>
      <c r="F7" s="85"/>
    </row>
    <row r="8">
      <c r="B8" s="125">
        <v>2020.0</v>
      </c>
      <c r="C8" s="125">
        <v>1.0</v>
      </c>
      <c r="D8" s="157">
        <v>9.7991159E7</v>
      </c>
      <c r="E8" s="157">
        <v>8.8E8</v>
      </c>
      <c r="F8" s="158"/>
      <c r="G8" s="159"/>
    </row>
    <row r="9">
      <c r="B9" s="160">
        <v>2020.0</v>
      </c>
      <c r="C9" s="160">
        <v>2.0</v>
      </c>
      <c r="D9" s="157">
        <v>9.5540528E7</v>
      </c>
      <c r="E9" s="161">
        <v>8.540073E8</v>
      </c>
      <c r="F9" s="158"/>
      <c r="G9" s="159"/>
    </row>
    <row r="10">
      <c r="B10" s="125">
        <v>2020.0</v>
      </c>
      <c r="C10" s="125">
        <v>3.0</v>
      </c>
      <c r="D10" s="157">
        <v>9.8365561E7</v>
      </c>
      <c r="E10" s="157">
        <v>9.1E8</v>
      </c>
      <c r="F10" s="158"/>
      <c r="G10" s="159"/>
    </row>
    <row r="11">
      <c r="B11" s="160">
        <v>2020.0</v>
      </c>
      <c r="C11" s="160">
        <v>4.0</v>
      </c>
      <c r="D11" s="157">
        <v>1.36843852E8</v>
      </c>
      <c r="E11" s="161">
        <v>8.7E8</v>
      </c>
      <c r="F11" s="158"/>
      <c r="G11" s="159"/>
    </row>
    <row r="12">
      <c r="B12" s="162" t="s">
        <v>308</v>
      </c>
      <c r="C12" s="163"/>
      <c r="D12" s="164">
        <f t="shared" ref="D12:E12" si="1">SUM(D8:D11)</f>
        <v>428741100</v>
      </c>
      <c r="E12" s="164">
        <f t="shared" si="1"/>
        <v>3514007300</v>
      </c>
      <c r="F12" s="29"/>
    </row>
    <row r="13">
      <c r="B13" s="156" t="s">
        <v>300</v>
      </c>
      <c r="C13" s="84" t="s">
        <v>301</v>
      </c>
      <c r="D13" s="83" t="s">
        <v>306</v>
      </c>
      <c r="E13" s="83" t="s">
        <v>307</v>
      </c>
      <c r="F13" s="165"/>
    </row>
    <row r="14">
      <c r="B14" s="125">
        <v>2021.0</v>
      </c>
      <c r="C14" s="125">
        <v>1.0</v>
      </c>
      <c r="D14" s="166">
        <v>8.1950878E7</v>
      </c>
      <c r="E14" s="166">
        <v>1.124E9</v>
      </c>
      <c r="F14" s="167"/>
      <c r="G14" s="167"/>
    </row>
    <row r="15">
      <c r="B15" s="160">
        <v>2021.0</v>
      </c>
      <c r="C15" s="160">
        <v>2.0</v>
      </c>
      <c r="D15" s="166">
        <v>7.9901395E7</v>
      </c>
      <c r="E15" s="168">
        <v>1.17464E9</v>
      </c>
      <c r="F15" s="167"/>
      <c r="G15" s="169"/>
    </row>
    <row r="16">
      <c r="B16" s="125">
        <v>2021.0</v>
      </c>
      <c r="C16" s="125">
        <v>3.0</v>
      </c>
      <c r="D16" s="166">
        <v>8.2263994E7</v>
      </c>
      <c r="E16" s="168">
        <v>1.164E9</v>
      </c>
      <c r="F16" s="167"/>
      <c r="G16" s="169"/>
    </row>
    <row r="17">
      <c r="B17" s="160">
        <v>2021.0</v>
      </c>
      <c r="C17" s="160">
        <v>4.0</v>
      </c>
      <c r="D17" s="166">
        <v>1.14443733E8</v>
      </c>
      <c r="E17" s="168">
        <v>1.076E9</v>
      </c>
      <c r="F17" s="167"/>
      <c r="G17" s="169"/>
    </row>
    <row r="18">
      <c r="B18" s="162" t="s">
        <v>309</v>
      </c>
      <c r="C18" s="163"/>
      <c r="D18" s="164">
        <f t="shared" ref="D18:E18" si="2">SUM(D14:D17)</f>
        <v>358560000</v>
      </c>
      <c r="E18" s="164">
        <f t="shared" si="2"/>
        <v>4538640000</v>
      </c>
      <c r="F18" s="29"/>
    </row>
    <row r="19">
      <c r="B19" s="156" t="s">
        <v>300</v>
      </c>
      <c r="C19" s="84" t="s">
        <v>301</v>
      </c>
      <c r="D19" s="170" t="s">
        <v>306</v>
      </c>
      <c r="E19" s="83" t="s">
        <v>307</v>
      </c>
      <c r="F19" s="171"/>
    </row>
    <row r="20">
      <c r="B20" s="125">
        <v>2022.0</v>
      </c>
      <c r="C20" s="125">
        <v>1.0</v>
      </c>
      <c r="D20" s="157">
        <v>4.50483E7</v>
      </c>
      <c r="E20" s="157">
        <v>1.37E9</v>
      </c>
      <c r="F20" s="158"/>
      <c r="G20" s="159"/>
    </row>
    <row r="21">
      <c r="B21" s="160">
        <v>2022.0</v>
      </c>
      <c r="C21" s="160">
        <v>2.0</v>
      </c>
      <c r="D21" s="157">
        <v>4.3921701E7</v>
      </c>
      <c r="E21" s="161">
        <v>1.317600002E9</v>
      </c>
      <c r="F21" s="158"/>
      <c r="G21" s="159"/>
    </row>
    <row r="22">
      <c r="B22" s="125">
        <v>2022.0</v>
      </c>
      <c r="C22" s="125">
        <v>3.0</v>
      </c>
      <c r="D22" s="157">
        <v>4.5220419E7</v>
      </c>
      <c r="E22" s="157">
        <v>1.2465E9</v>
      </c>
      <c r="F22" s="158"/>
      <c r="G22" s="159"/>
    </row>
    <row r="23">
      <c r="B23" s="160">
        <v>2022.0</v>
      </c>
      <c r="C23" s="160">
        <v>4.0</v>
      </c>
      <c r="D23" s="157">
        <v>6.2909583E7</v>
      </c>
      <c r="E23" s="161">
        <v>1.332E9</v>
      </c>
      <c r="F23" s="158"/>
      <c r="G23" s="159"/>
    </row>
    <row r="24">
      <c r="B24" s="172" t="s">
        <v>310</v>
      </c>
      <c r="C24" s="173"/>
      <c r="D24" s="164">
        <f t="shared" ref="D24:E24" si="3">SUM(D20:D23)</f>
        <v>197100003</v>
      </c>
      <c r="E24" s="164">
        <f t="shared" si="3"/>
        <v>5266100002</v>
      </c>
      <c r="F24" s="29"/>
    </row>
    <row r="25">
      <c r="B25" s="156" t="s">
        <v>300</v>
      </c>
      <c r="C25" s="84" t="s">
        <v>301</v>
      </c>
      <c r="D25" s="174" t="s">
        <v>306</v>
      </c>
      <c r="E25" s="83" t="s">
        <v>307</v>
      </c>
      <c r="F25" s="171"/>
    </row>
    <row r="26">
      <c r="B26" s="125">
        <v>2023.0</v>
      </c>
      <c r="C26" s="125">
        <v>1.0</v>
      </c>
      <c r="D26" s="157">
        <v>3.8443044E7</v>
      </c>
      <c r="E26" s="157">
        <v>1.242E9</v>
      </c>
      <c r="F26" s="158"/>
      <c r="G26" s="159"/>
    </row>
    <row r="27">
      <c r="B27" s="160">
        <v>2023.0</v>
      </c>
      <c r="C27" s="160">
        <v>2.0</v>
      </c>
      <c r="D27" s="157">
        <v>3.7481634E7</v>
      </c>
      <c r="E27" s="161">
        <v>1.242E9</v>
      </c>
      <c r="F27" s="158"/>
      <c r="G27" s="159"/>
    </row>
    <row r="28">
      <c r="B28" s="125">
        <v>2023.0</v>
      </c>
      <c r="C28" s="125">
        <v>3.0</v>
      </c>
      <c r="D28" s="157">
        <v>3.8589926E7</v>
      </c>
      <c r="E28" s="157">
        <v>1.3156E9</v>
      </c>
      <c r="F28" s="158"/>
      <c r="G28" s="159"/>
    </row>
    <row r="29">
      <c r="B29" s="160">
        <v>2023.0</v>
      </c>
      <c r="C29" s="160">
        <v>4.0</v>
      </c>
      <c r="D29" s="157">
        <v>5.3685396E7</v>
      </c>
      <c r="E29" s="161">
        <v>1.3155E9</v>
      </c>
      <c r="F29" s="158"/>
      <c r="G29" s="159"/>
    </row>
    <row r="30">
      <c r="B30" s="172" t="s">
        <v>311</v>
      </c>
      <c r="C30" s="173"/>
      <c r="D30" s="164">
        <f>SUM(D26:D29)</f>
        <v>168200000</v>
      </c>
      <c r="E30" s="175">
        <v>4.8726E9</v>
      </c>
      <c r="F30" s="29"/>
    </row>
  </sheetData>
  <mergeCells count="6">
    <mergeCell ref="B3:E5"/>
    <mergeCell ref="C6:E6"/>
    <mergeCell ref="B12:C12"/>
    <mergeCell ref="B18:C18"/>
    <mergeCell ref="B24:C24"/>
    <mergeCell ref="B30:C3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2" width="21.5"/>
    <col customWidth="1" min="3" max="3" width="29.0"/>
  </cols>
  <sheetData>
    <row r="1">
      <c r="A1" s="58" t="s">
        <v>288</v>
      </c>
      <c r="B1" s="58" t="s">
        <v>312</v>
      </c>
      <c r="C1" s="58" t="s">
        <v>313</v>
      </c>
    </row>
    <row r="2">
      <c r="A2" s="176">
        <v>43831.0</v>
      </c>
      <c r="B2" s="177">
        <v>9.7991159E7</v>
      </c>
      <c r="C2" s="177">
        <v>8.8E8</v>
      </c>
      <c r="D2" s="85"/>
    </row>
    <row r="3">
      <c r="A3" s="176">
        <v>43922.0</v>
      </c>
      <c r="B3" s="177">
        <v>9.5540528E7</v>
      </c>
      <c r="C3" s="177">
        <v>8.540073E8</v>
      </c>
      <c r="D3" s="85"/>
    </row>
    <row r="4">
      <c r="A4" s="176">
        <v>44013.0</v>
      </c>
      <c r="B4" s="177">
        <v>9.8365561E7</v>
      </c>
      <c r="C4" s="177">
        <v>9.1E8</v>
      </c>
      <c r="D4" s="85"/>
    </row>
    <row r="5">
      <c r="A5" s="176">
        <v>44105.0</v>
      </c>
      <c r="B5" s="177">
        <v>1.36843852E8</v>
      </c>
      <c r="C5" s="177">
        <v>8.7E8</v>
      </c>
      <c r="D5" s="85"/>
    </row>
    <row r="6">
      <c r="A6" s="176">
        <v>44197.0</v>
      </c>
      <c r="B6" s="177">
        <v>8.1950878E7</v>
      </c>
      <c r="C6" s="177">
        <v>1.124E9</v>
      </c>
      <c r="D6" s="85"/>
    </row>
    <row r="7">
      <c r="A7" s="176">
        <v>44287.0</v>
      </c>
      <c r="B7" s="177">
        <v>7.9901395E7</v>
      </c>
      <c r="C7" s="177">
        <v>1.17464E9</v>
      </c>
      <c r="D7" s="85"/>
      <c r="E7" s="85"/>
    </row>
    <row r="8">
      <c r="A8" s="176">
        <v>44378.0</v>
      </c>
      <c r="B8" s="177">
        <v>8.2263994E7</v>
      </c>
      <c r="C8" s="177">
        <v>1.164E9</v>
      </c>
      <c r="D8" s="85"/>
      <c r="E8" s="158"/>
      <c r="F8" s="159"/>
    </row>
    <row r="9">
      <c r="A9" s="176">
        <v>44470.0</v>
      </c>
      <c r="B9" s="177">
        <v>1.14443733E8</v>
      </c>
      <c r="C9" s="177">
        <v>1.076E9</v>
      </c>
      <c r="D9" s="85"/>
      <c r="E9" s="158"/>
      <c r="F9" s="159"/>
    </row>
    <row r="10">
      <c r="A10" s="176">
        <v>44562.0</v>
      </c>
      <c r="B10" s="177">
        <v>4.50483E7</v>
      </c>
      <c r="C10" s="177">
        <v>1.37E9</v>
      </c>
      <c r="D10" s="85"/>
      <c r="E10" s="158"/>
      <c r="F10" s="159"/>
    </row>
    <row r="11">
      <c r="A11" s="176">
        <v>44652.0</v>
      </c>
      <c r="B11" s="177">
        <v>4.3921701E7</v>
      </c>
      <c r="C11" s="177">
        <v>1.317600002E9</v>
      </c>
      <c r="D11" s="85"/>
      <c r="E11" s="158"/>
      <c r="F11" s="159"/>
    </row>
    <row r="12">
      <c r="A12" s="176">
        <v>44743.0</v>
      </c>
      <c r="B12" s="177">
        <v>4.5220419E7</v>
      </c>
      <c r="C12" s="177">
        <v>1.2465E9</v>
      </c>
      <c r="D12" s="85"/>
      <c r="E12" s="29"/>
    </row>
    <row r="13">
      <c r="A13" s="176">
        <v>44835.0</v>
      </c>
      <c r="B13" s="177">
        <v>6.2909583E7</v>
      </c>
      <c r="C13" s="177">
        <v>1.332E9</v>
      </c>
      <c r="D13" s="85"/>
      <c r="E13" s="165"/>
    </row>
    <row r="14">
      <c r="A14" s="176">
        <v>44927.0</v>
      </c>
      <c r="B14" s="177">
        <v>3.8443044E7</v>
      </c>
      <c r="C14" s="177">
        <v>1.242E9</v>
      </c>
      <c r="D14" s="85"/>
      <c r="E14" s="167"/>
      <c r="F14" s="167"/>
    </row>
    <row r="15">
      <c r="A15" s="176">
        <v>45017.0</v>
      </c>
      <c r="B15" s="177">
        <v>3.7481634E7</v>
      </c>
      <c r="C15" s="177">
        <v>1.242E9</v>
      </c>
      <c r="D15" s="85"/>
      <c r="E15" s="167"/>
      <c r="F15" s="169"/>
    </row>
    <row r="16">
      <c r="A16" s="176">
        <v>45108.0</v>
      </c>
      <c r="B16" s="177">
        <v>3.8589926E7</v>
      </c>
      <c r="C16" s="177">
        <v>1.3156E9</v>
      </c>
      <c r="D16" s="85"/>
      <c r="E16" s="167"/>
      <c r="F16" s="169"/>
    </row>
    <row r="17">
      <c r="A17" s="176">
        <v>45200.0</v>
      </c>
      <c r="B17" s="177">
        <v>5.3685396E7</v>
      </c>
      <c r="C17" s="177">
        <v>1.3155E9</v>
      </c>
      <c r="D17" s="85"/>
      <c r="E17" s="167"/>
      <c r="F17" s="169"/>
    </row>
    <row r="18">
      <c r="A18" s="85"/>
      <c r="B18" s="85"/>
      <c r="C18" s="85"/>
      <c r="D18" s="85"/>
      <c r="E18" s="29"/>
    </row>
    <row r="19">
      <c r="A19" s="85"/>
      <c r="B19" s="85"/>
      <c r="C19" s="85"/>
      <c r="D19" s="85"/>
      <c r="E19" s="171"/>
    </row>
    <row r="20">
      <c r="A20" s="85"/>
      <c r="B20" s="85"/>
      <c r="C20" s="85"/>
      <c r="D20" s="85"/>
      <c r="E20" s="158"/>
      <c r="F20" s="159"/>
    </row>
    <row r="21">
      <c r="A21" s="85"/>
      <c r="B21" s="85"/>
      <c r="C21" s="85"/>
      <c r="D21" s="85"/>
      <c r="E21" s="158"/>
      <c r="F21" s="159"/>
    </row>
    <row r="22">
      <c r="A22" s="85"/>
      <c r="B22" s="85"/>
      <c r="C22" s="85"/>
      <c r="D22" s="85"/>
      <c r="E22" s="158"/>
      <c r="F22" s="159"/>
    </row>
    <row r="23">
      <c r="A23" s="85"/>
      <c r="B23" s="85"/>
      <c r="C23" s="85"/>
      <c r="D23" s="85"/>
      <c r="E23" s="158"/>
      <c r="F23" s="159"/>
    </row>
    <row r="24">
      <c r="A24" s="85"/>
      <c r="B24" s="85"/>
      <c r="C24" s="85"/>
      <c r="D24" s="85"/>
      <c r="E24" s="29"/>
    </row>
    <row r="25">
      <c r="A25" s="85"/>
      <c r="B25" s="85"/>
      <c r="C25" s="85"/>
      <c r="D25" s="85"/>
      <c r="E25" s="171"/>
    </row>
    <row r="26">
      <c r="A26" s="85"/>
      <c r="B26" s="85"/>
      <c r="C26" s="85"/>
      <c r="D26" s="85"/>
      <c r="E26" s="158"/>
      <c r="F26" s="159"/>
    </row>
    <row r="27">
      <c r="A27" s="85"/>
      <c r="B27" s="85"/>
      <c r="C27" s="85"/>
      <c r="D27" s="85"/>
      <c r="E27" s="158"/>
      <c r="F27" s="159"/>
    </row>
    <row r="28">
      <c r="A28" s="85"/>
      <c r="B28" s="85"/>
      <c r="C28" s="85"/>
      <c r="D28" s="85"/>
      <c r="E28" s="158"/>
      <c r="F28" s="159"/>
    </row>
    <row r="29">
      <c r="A29" s="85"/>
      <c r="B29" s="85"/>
      <c r="C29" s="85"/>
      <c r="D29" s="85"/>
      <c r="E29" s="158"/>
      <c r="F29" s="159"/>
    </row>
    <row r="30">
      <c r="A30" s="85"/>
      <c r="B30" s="85"/>
      <c r="C30" s="85"/>
      <c r="D30" s="85"/>
      <c r="E30" s="29"/>
    </row>
  </sheetData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sheetData>
    <row r="3">
      <c r="B3" s="68" t="s">
        <v>314</v>
      </c>
      <c r="C3" s="69"/>
      <c r="D3" s="69"/>
      <c r="E3" s="107"/>
    </row>
    <row r="4">
      <c r="B4" s="74"/>
      <c r="E4" s="108"/>
    </row>
    <row r="5">
      <c r="B5" s="142"/>
      <c r="C5" s="48"/>
      <c r="D5" s="48"/>
      <c r="E5" s="49"/>
    </row>
    <row r="6">
      <c r="B6" s="143"/>
      <c r="C6" s="144" t="s">
        <v>315</v>
      </c>
      <c r="D6" s="37"/>
      <c r="E6" s="38"/>
    </row>
    <row r="7">
      <c r="B7" s="83" t="s">
        <v>300</v>
      </c>
      <c r="C7" s="84" t="s">
        <v>301</v>
      </c>
      <c r="D7" s="83" t="s">
        <v>316</v>
      </c>
      <c r="E7" s="83" t="s">
        <v>317</v>
      </c>
    </row>
    <row r="8">
      <c r="B8" s="87">
        <v>2020.0</v>
      </c>
      <c r="C8" s="87">
        <v>1.0</v>
      </c>
      <c r="D8" s="178">
        <v>0.6133333333333334</v>
      </c>
      <c r="E8" s="146">
        <v>0.2</v>
      </c>
    </row>
    <row r="9">
      <c r="B9" s="87">
        <v>2020.0</v>
      </c>
      <c r="C9" s="87">
        <v>2.0</v>
      </c>
      <c r="D9" s="178">
        <v>0.6033333333333334</v>
      </c>
      <c r="E9" s="146">
        <v>0.19333333333333333</v>
      </c>
    </row>
    <row r="10">
      <c r="B10" s="87">
        <v>2020.0</v>
      </c>
      <c r="C10" s="87">
        <v>3.0</v>
      </c>
      <c r="D10" s="178">
        <v>0.5833333333333334</v>
      </c>
      <c r="E10" s="146">
        <v>0.1733333333333333</v>
      </c>
    </row>
    <row r="11">
      <c r="B11" s="87">
        <v>2020.0</v>
      </c>
      <c r="C11" s="87">
        <v>4.0</v>
      </c>
      <c r="D11" s="178">
        <v>0.5933333333333334</v>
      </c>
      <c r="E11" s="146">
        <v>0.18666666666666668</v>
      </c>
    </row>
    <row r="12">
      <c r="B12" s="83" t="s">
        <v>300</v>
      </c>
      <c r="C12" s="84" t="s">
        <v>301</v>
      </c>
      <c r="D12" s="83" t="s">
        <v>316</v>
      </c>
      <c r="E12" s="83" t="s">
        <v>317</v>
      </c>
    </row>
    <row r="13">
      <c r="B13" s="87">
        <v>2021.0</v>
      </c>
      <c r="C13" s="87">
        <v>1.0</v>
      </c>
      <c r="D13" s="148">
        <v>0.6</v>
      </c>
      <c r="E13" s="148">
        <v>0.11</v>
      </c>
    </row>
    <row r="14">
      <c r="B14" s="87">
        <v>2021.0</v>
      </c>
      <c r="C14" s="87">
        <v>2.0</v>
      </c>
      <c r="D14" s="148">
        <v>0.6066666666666667</v>
      </c>
      <c r="E14" s="148">
        <v>0.11666666666666665</v>
      </c>
    </row>
    <row r="15">
      <c r="B15" s="87">
        <v>2021.0</v>
      </c>
      <c r="C15" s="87">
        <v>3.0</v>
      </c>
      <c r="D15" s="148">
        <v>0.6166666666666667</v>
      </c>
      <c r="E15" s="148">
        <v>0.12666666666666665</v>
      </c>
    </row>
    <row r="16">
      <c r="B16" s="87">
        <v>2021.0</v>
      </c>
      <c r="C16" s="87">
        <v>4.0</v>
      </c>
      <c r="D16" s="148">
        <v>0.5966666666666667</v>
      </c>
      <c r="E16" s="148">
        <v>0.10666666666666666</v>
      </c>
    </row>
    <row r="17">
      <c r="B17" s="83" t="s">
        <v>300</v>
      </c>
      <c r="C17" s="84" t="s">
        <v>301</v>
      </c>
      <c r="D17" s="83" t="s">
        <v>316</v>
      </c>
      <c r="E17" s="83" t="s">
        <v>317</v>
      </c>
    </row>
    <row r="18">
      <c r="B18" s="87">
        <v>2022.0</v>
      </c>
      <c r="C18" s="87">
        <v>1.0</v>
      </c>
      <c r="D18" s="178">
        <v>0.6666666666666667</v>
      </c>
      <c r="E18" s="178">
        <v>0.09666666666666666</v>
      </c>
    </row>
    <row r="19">
      <c r="B19" s="87">
        <v>2022.0</v>
      </c>
      <c r="C19" s="87">
        <v>2.0</v>
      </c>
      <c r="D19" s="178">
        <v>0.67</v>
      </c>
      <c r="E19" s="178">
        <v>0.07333333333333333</v>
      </c>
    </row>
    <row r="20">
      <c r="B20" s="87">
        <v>2022.0</v>
      </c>
      <c r="C20" s="87">
        <v>3.0</v>
      </c>
      <c r="D20" s="178">
        <v>0.66</v>
      </c>
      <c r="E20" s="178">
        <v>0.07333333333333333</v>
      </c>
    </row>
    <row r="21">
      <c r="B21" s="87">
        <v>2022.0</v>
      </c>
      <c r="C21" s="87">
        <v>4.0</v>
      </c>
      <c r="D21" s="178">
        <v>0.6866666666666668</v>
      </c>
      <c r="E21" s="178">
        <v>0.08</v>
      </c>
    </row>
    <row r="22">
      <c r="B22" s="83" t="s">
        <v>300</v>
      </c>
      <c r="C22" s="84" t="s">
        <v>301</v>
      </c>
      <c r="D22" s="83" t="s">
        <v>316</v>
      </c>
      <c r="E22" s="83" t="s">
        <v>317</v>
      </c>
    </row>
    <row r="23">
      <c r="B23" s="87">
        <v>2023.0</v>
      </c>
      <c r="C23" s="87">
        <v>1.0</v>
      </c>
      <c r="D23" s="178">
        <v>0.68</v>
      </c>
      <c r="E23" s="178">
        <v>0.15333333333333335</v>
      </c>
    </row>
    <row r="24">
      <c r="B24" s="87">
        <v>2023.0</v>
      </c>
      <c r="C24" s="87">
        <v>2.0</v>
      </c>
      <c r="D24" s="178">
        <v>0.6933333333333332</v>
      </c>
      <c r="E24" s="178">
        <v>0.15333333333333335</v>
      </c>
    </row>
    <row r="25">
      <c r="B25" s="87">
        <v>2023.0</v>
      </c>
      <c r="C25" s="87">
        <v>3.0</v>
      </c>
      <c r="D25" s="178">
        <v>0.6833333333333332</v>
      </c>
      <c r="E25" s="178">
        <v>0.15333333333333335</v>
      </c>
    </row>
    <row r="26">
      <c r="B26" s="87">
        <v>2023.0</v>
      </c>
      <c r="C26" s="87">
        <v>4.0</v>
      </c>
      <c r="D26" s="178">
        <v>0.6766666666666667</v>
      </c>
      <c r="E26" s="178">
        <v>0.13333333333333333</v>
      </c>
    </row>
  </sheetData>
  <mergeCells count="2">
    <mergeCell ref="B3:E5"/>
    <mergeCell ref="C6:E6"/>
  </mergeCells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288</v>
      </c>
      <c r="B1" s="58" t="s">
        <v>316</v>
      </c>
      <c r="C1" s="58" t="s">
        <v>317</v>
      </c>
    </row>
    <row r="2">
      <c r="A2" s="152">
        <v>43831.0</v>
      </c>
      <c r="B2" s="154">
        <v>0.6133333333333334</v>
      </c>
      <c r="C2" s="154">
        <v>0.2</v>
      </c>
    </row>
    <row r="3">
      <c r="A3" s="152">
        <v>43922.0</v>
      </c>
      <c r="B3" s="154">
        <v>0.6033333333333334</v>
      </c>
      <c r="C3" s="154">
        <v>0.19333333333333333</v>
      </c>
    </row>
    <row r="4">
      <c r="A4" s="152">
        <v>44013.0</v>
      </c>
      <c r="B4" s="154">
        <v>0.5833333333333334</v>
      </c>
      <c r="C4" s="154">
        <v>0.1733333333333333</v>
      </c>
    </row>
    <row r="5">
      <c r="A5" s="152">
        <v>44105.0</v>
      </c>
      <c r="B5" s="154">
        <v>0.5933333333333334</v>
      </c>
      <c r="C5" s="154">
        <v>0.18666666666666668</v>
      </c>
    </row>
    <row r="6">
      <c r="A6" s="152">
        <v>44197.0</v>
      </c>
      <c r="B6" s="154">
        <v>0.6</v>
      </c>
      <c r="C6" s="154">
        <v>0.11</v>
      </c>
    </row>
    <row r="7">
      <c r="A7" s="152">
        <v>44287.0</v>
      </c>
      <c r="B7" s="154">
        <v>0.6066666666666667</v>
      </c>
      <c r="C7" s="154">
        <v>0.11666666666666665</v>
      </c>
    </row>
    <row r="8">
      <c r="A8" s="152">
        <v>44378.0</v>
      </c>
      <c r="B8" s="154">
        <v>0.6166666666666667</v>
      </c>
      <c r="C8" s="154">
        <v>0.12666666666666665</v>
      </c>
    </row>
    <row r="9">
      <c r="A9" s="152">
        <v>44470.0</v>
      </c>
      <c r="B9" s="154">
        <v>0.5966666666666667</v>
      </c>
      <c r="C9" s="154">
        <v>0.10666666666666666</v>
      </c>
    </row>
    <row r="10">
      <c r="A10" s="152">
        <v>44562.0</v>
      </c>
      <c r="B10" s="154">
        <v>0.6666666666666667</v>
      </c>
      <c r="C10" s="154">
        <v>0.09666666666666666</v>
      </c>
    </row>
    <row r="11">
      <c r="A11" s="152">
        <v>44652.0</v>
      </c>
      <c r="B11" s="154">
        <v>0.67</v>
      </c>
      <c r="C11" s="154">
        <v>0.07333333333333333</v>
      </c>
    </row>
    <row r="12">
      <c r="A12" s="152">
        <v>44743.0</v>
      </c>
      <c r="B12" s="154">
        <v>0.66</v>
      </c>
      <c r="C12" s="154">
        <v>0.07333333333333333</v>
      </c>
    </row>
    <row r="13">
      <c r="A13" s="152">
        <v>44835.0</v>
      </c>
      <c r="B13" s="154">
        <v>0.6866666666666668</v>
      </c>
      <c r="C13" s="154">
        <v>0.08</v>
      </c>
    </row>
    <row r="14">
      <c r="A14" s="152">
        <v>44927.0</v>
      </c>
      <c r="B14" s="154">
        <v>0.68</v>
      </c>
      <c r="C14" s="154">
        <v>0.15333333333333335</v>
      </c>
    </row>
    <row r="15">
      <c r="A15" s="152">
        <v>45017.0</v>
      </c>
      <c r="B15" s="154">
        <v>0.6933333333333332</v>
      </c>
      <c r="C15" s="154">
        <v>0.15333333333333335</v>
      </c>
    </row>
    <row r="16">
      <c r="A16" s="152">
        <v>45108.0</v>
      </c>
      <c r="B16" s="154">
        <v>0.6833333333333332</v>
      </c>
      <c r="C16" s="154">
        <v>0.15333333333333335</v>
      </c>
    </row>
    <row r="17">
      <c r="A17" s="152">
        <v>45200.0</v>
      </c>
      <c r="B17" s="154">
        <v>0.6766666666666667</v>
      </c>
      <c r="C17" s="154">
        <v>0.13333333333333333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sheetData>
    <row r="3">
      <c r="B3" s="68" t="s">
        <v>318</v>
      </c>
      <c r="C3" s="69"/>
      <c r="D3" s="107"/>
    </row>
    <row r="4">
      <c r="B4" s="74"/>
      <c r="D4" s="108"/>
    </row>
    <row r="5">
      <c r="B5" s="142"/>
      <c r="C5" s="48"/>
      <c r="D5" s="49"/>
    </row>
    <row r="6">
      <c r="B6" s="179" t="s">
        <v>319</v>
      </c>
      <c r="C6" s="37"/>
      <c r="D6" s="38"/>
    </row>
    <row r="7">
      <c r="B7" s="83" t="s">
        <v>300</v>
      </c>
      <c r="C7" s="84" t="s">
        <v>301</v>
      </c>
      <c r="D7" s="83" t="s">
        <v>320</v>
      </c>
      <c r="E7" s="165"/>
      <c r="F7" s="165"/>
      <c r="G7" s="165"/>
    </row>
    <row r="8">
      <c r="B8" s="125">
        <v>2020.0</v>
      </c>
      <c r="C8" s="125">
        <v>1.0</v>
      </c>
      <c r="D8" s="157">
        <v>1674750.0</v>
      </c>
      <c r="E8" s="29"/>
      <c r="F8" s="29"/>
      <c r="G8" s="158"/>
    </row>
    <row r="9">
      <c r="B9" s="160">
        <v>2020.0</v>
      </c>
      <c r="C9" s="160">
        <v>2.0</v>
      </c>
      <c r="D9" s="157">
        <v>1758345.0</v>
      </c>
      <c r="E9" s="29"/>
      <c r="F9" s="29"/>
      <c r="G9" s="158"/>
    </row>
    <row r="10">
      <c r="B10" s="125">
        <v>2020.0</v>
      </c>
      <c r="C10" s="125">
        <v>3.0</v>
      </c>
      <c r="D10" s="157">
        <v>1878312.0</v>
      </c>
      <c r="E10" s="29"/>
      <c r="F10" s="29"/>
      <c r="G10" s="158"/>
    </row>
    <row r="11">
      <c r="B11" s="160">
        <v>2020.0</v>
      </c>
      <c r="C11" s="160">
        <v>4.0</v>
      </c>
      <c r="D11" s="157">
        <v>1682087.0</v>
      </c>
      <c r="E11" s="29"/>
      <c r="F11" s="29"/>
      <c r="G11" s="158"/>
    </row>
    <row r="12">
      <c r="B12" s="162" t="s">
        <v>308</v>
      </c>
      <c r="C12" s="163"/>
      <c r="D12" s="180">
        <f>SUM(D8:D11)</f>
        <v>6993494</v>
      </c>
      <c r="E12" s="29"/>
      <c r="F12" s="85"/>
      <c r="G12" s="85"/>
    </row>
    <row r="13">
      <c r="B13" s="83" t="s">
        <v>300</v>
      </c>
      <c r="C13" s="84" t="s">
        <v>301</v>
      </c>
      <c r="D13" s="83" t="s">
        <v>320</v>
      </c>
      <c r="E13" s="165"/>
      <c r="F13" s="85"/>
      <c r="G13" s="85"/>
    </row>
    <row r="14">
      <c r="B14" s="125">
        <v>2021.0</v>
      </c>
      <c r="C14" s="125">
        <v>1.0</v>
      </c>
      <c r="D14" s="157">
        <v>646596.0</v>
      </c>
      <c r="E14" s="181"/>
      <c r="F14" s="167"/>
      <c r="G14" s="158"/>
    </row>
    <row r="15">
      <c r="B15" s="160">
        <v>2021.0</v>
      </c>
      <c r="C15" s="160">
        <v>2.0</v>
      </c>
      <c r="D15" s="157">
        <v>567857.0</v>
      </c>
      <c r="E15" s="181"/>
      <c r="F15" s="167"/>
      <c r="G15" s="158"/>
    </row>
    <row r="16">
      <c r="B16" s="125">
        <v>2021.0</v>
      </c>
      <c r="C16" s="125">
        <v>3.0</v>
      </c>
      <c r="D16" s="157">
        <v>605458.0</v>
      </c>
      <c r="E16" s="181"/>
      <c r="F16" s="167"/>
      <c r="G16" s="158"/>
    </row>
    <row r="17">
      <c r="B17" s="160">
        <v>2021.0</v>
      </c>
      <c r="C17" s="160">
        <v>4.0</v>
      </c>
      <c r="D17" s="157">
        <v>633861.0</v>
      </c>
      <c r="E17" s="181"/>
      <c r="F17" s="167"/>
      <c r="G17" s="158"/>
    </row>
    <row r="18">
      <c r="B18" s="162" t="s">
        <v>309</v>
      </c>
      <c r="C18" s="163"/>
      <c r="D18" s="180">
        <f>SUM(D14:D17)</f>
        <v>2453772</v>
      </c>
      <c r="E18" s="29"/>
      <c r="F18" s="85"/>
      <c r="G18" s="85"/>
    </row>
    <row r="19">
      <c r="B19" s="83" t="s">
        <v>300</v>
      </c>
      <c r="C19" s="84" t="s">
        <v>301</v>
      </c>
      <c r="D19" s="83" t="s">
        <v>320</v>
      </c>
      <c r="E19" s="171"/>
      <c r="F19" s="85"/>
      <c r="G19" s="85"/>
    </row>
    <row r="20">
      <c r="B20" s="125">
        <v>2022.0</v>
      </c>
      <c r="C20" s="125">
        <v>1.0</v>
      </c>
      <c r="D20" s="157">
        <v>718196.0</v>
      </c>
      <c r="E20" s="29"/>
      <c r="F20" s="29"/>
      <c r="G20" s="158"/>
    </row>
    <row r="21">
      <c r="B21" s="160">
        <v>2022.0</v>
      </c>
      <c r="C21" s="160">
        <v>2.0</v>
      </c>
      <c r="D21" s="157">
        <v>720369.0</v>
      </c>
      <c r="E21" s="29"/>
      <c r="F21" s="29"/>
      <c r="G21" s="158"/>
    </row>
    <row r="22">
      <c r="B22" s="125">
        <v>2022.0</v>
      </c>
      <c r="C22" s="125">
        <v>3.0</v>
      </c>
      <c r="D22" s="157">
        <v>667287.0</v>
      </c>
      <c r="E22" s="29"/>
      <c r="F22" s="29"/>
      <c r="G22" s="158"/>
    </row>
    <row r="23">
      <c r="B23" s="160">
        <v>2022.0</v>
      </c>
      <c r="C23" s="160">
        <v>4.0</v>
      </c>
      <c r="D23" s="157">
        <v>678615.0</v>
      </c>
      <c r="E23" s="29"/>
      <c r="F23" s="29"/>
      <c r="G23" s="158"/>
    </row>
    <row r="24">
      <c r="B24" s="162" t="s">
        <v>310</v>
      </c>
      <c r="C24" s="163"/>
      <c r="D24" s="180">
        <f>SUM(D20:D23)</f>
        <v>2784467</v>
      </c>
      <c r="E24" s="29"/>
      <c r="F24" s="85"/>
      <c r="G24" s="85"/>
    </row>
    <row r="25">
      <c r="B25" s="83" t="s">
        <v>300</v>
      </c>
      <c r="C25" s="84" t="s">
        <v>301</v>
      </c>
      <c r="D25" s="83" t="s">
        <v>320</v>
      </c>
      <c r="E25" s="171"/>
      <c r="F25" s="85"/>
      <c r="G25" s="85"/>
    </row>
    <row r="26">
      <c r="B26" s="125">
        <v>2023.0</v>
      </c>
      <c r="C26" s="125">
        <v>1.0</v>
      </c>
      <c r="D26" s="157">
        <v>329767.0</v>
      </c>
      <c r="E26" s="29"/>
      <c r="F26" s="29"/>
      <c r="G26" s="158"/>
    </row>
    <row r="27">
      <c r="B27" s="160">
        <v>2023.0</v>
      </c>
      <c r="C27" s="160">
        <v>2.0</v>
      </c>
      <c r="D27" s="157">
        <v>321519.0</v>
      </c>
      <c r="E27" s="29"/>
      <c r="F27" s="29"/>
      <c r="G27" s="158"/>
    </row>
    <row r="28">
      <c r="B28" s="125">
        <v>2023.0</v>
      </c>
      <c r="C28" s="125">
        <v>3.0</v>
      </c>
      <c r="D28" s="157">
        <v>331026.0</v>
      </c>
      <c r="E28" s="29"/>
      <c r="F28" s="29"/>
      <c r="G28" s="158"/>
    </row>
    <row r="29">
      <c r="B29" s="160">
        <v>2023.0</v>
      </c>
      <c r="C29" s="160">
        <v>4.0</v>
      </c>
      <c r="D29" s="157">
        <v>460515.0</v>
      </c>
      <c r="E29" s="29"/>
      <c r="F29" s="29"/>
      <c r="G29" s="158"/>
    </row>
    <row r="30">
      <c r="B30" s="162" t="s">
        <v>311</v>
      </c>
      <c r="C30" s="163"/>
      <c r="D30" s="180">
        <f>SUM(D26:D29)</f>
        <v>1442827</v>
      </c>
      <c r="E30" s="29"/>
      <c r="F30" s="85"/>
      <c r="G30" s="85"/>
    </row>
  </sheetData>
  <mergeCells count="6">
    <mergeCell ref="B3:D5"/>
    <mergeCell ref="B6:D6"/>
    <mergeCell ref="B12:C12"/>
    <mergeCell ref="B18:C18"/>
    <mergeCell ref="B24:C24"/>
    <mergeCell ref="B30:C30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DBDBD"/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12" width="16.25"/>
    <col customWidth="1" min="13" max="14" width="14.13"/>
  </cols>
  <sheetData>
    <row r="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2"/>
      <c r="N1" s="2"/>
    </row>
    <row r="2">
      <c r="A2" s="31" t="s">
        <v>153</v>
      </c>
      <c r="B2" s="32" t="s">
        <v>0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3" t="s">
        <v>10</v>
      </c>
      <c r="M2" s="34" t="s">
        <v>11</v>
      </c>
      <c r="N2" s="35" t="s">
        <v>12</v>
      </c>
    </row>
    <row r="3">
      <c r="A3" s="6"/>
      <c r="B3" s="36" t="s">
        <v>17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  <c r="N3" s="39">
        <v>0.2</v>
      </c>
    </row>
    <row r="4">
      <c r="A4" s="6"/>
      <c r="B4" s="40" t="s">
        <v>154</v>
      </c>
      <c r="C4" s="18" t="s">
        <v>15</v>
      </c>
      <c r="D4" s="18" t="s">
        <v>155</v>
      </c>
      <c r="E4" s="41" t="s">
        <v>17</v>
      </c>
      <c r="F4" s="41" t="s">
        <v>156</v>
      </c>
      <c r="G4" s="41" t="s">
        <v>157</v>
      </c>
      <c r="H4" s="41" t="s">
        <v>158</v>
      </c>
      <c r="I4" s="41" t="s">
        <v>159</v>
      </c>
      <c r="J4" s="42" t="s">
        <v>22</v>
      </c>
      <c r="K4" s="43" t="s">
        <v>160</v>
      </c>
      <c r="L4" s="44" t="s">
        <v>161</v>
      </c>
      <c r="M4" s="16" t="s">
        <v>162</v>
      </c>
      <c r="N4" s="17">
        <v>0.4</v>
      </c>
    </row>
    <row r="5">
      <c r="A5" s="6"/>
      <c r="B5" s="40" t="s">
        <v>163</v>
      </c>
      <c r="C5" s="18" t="s">
        <v>15</v>
      </c>
      <c r="D5" s="18" t="s">
        <v>155</v>
      </c>
      <c r="E5" s="41" t="s">
        <v>17</v>
      </c>
      <c r="F5" s="41" t="s">
        <v>27</v>
      </c>
      <c r="G5" s="41" t="s">
        <v>164</v>
      </c>
      <c r="H5" s="41" t="s">
        <v>165</v>
      </c>
      <c r="I5" s="41" t="s">
        <v>166</v>
      </c>
      <c r="J5" s="42" t="s">
        <v>22</v>
      </c>
      <c r="K5" s="45" t="s">
        <v>160</v>
      </c>
      <c r="L5" s="46" t="s">
        <v>24</v>
      </c>
      <c r="M5" s="18" t="s">
        <v>167</v>
      </c>
      <c r="N5" s="17">
        <v>0.1</v>
      </c>
    </row>
    <row r="6">
      <c r="A6" s="6"/>
      <c r="B6" s="40" t="s">
        <v>168</v>
      </c>
      <c r="C6" s="18" t="s">
        <v>42</v>
      </c>
      <c r="D6" s="18" t="s">
        <v>169</v>
      </c>
      <c r="E6" s="41" t="s">
        <v>17</v>
      </c>
      <c r="F6" s="41" t="s">
        <v>170</v>
      </c>
      <c r="G6" s="41" t="s">
        <v>171</v>
      </c>
      <c r="H6" s="41" t="s">
        <v>172</v>
      </c>
      <c r="I6" s="41" t="s">
        <v>173</v>
      </c>
      <c r="J6" s="42" t="s">
        <v>22</v>
      </c>
      <c r="K6" s="45" t="s">
        <v>174</v>
      </c>
      <c r="L6" s="46" t="s">
        <v>24</v>
      </c>
      <c r="M6" s="16" t="s">
        <v>175</v>
      </c>
      <c r="N6" s="17">
        <v>0.25</v>
      </c>
    </row>
    <row r="7">
      <c r="A7" s="6"/>
      <c r="B7" s="40" t="s">
        <v>176</v>
      </c>
      <c r="C7" s="18" t="s">
        <v>15</v>
      </c>
      <c r="D7" s="18" t="s">
        <v>177</v>
      </c>
      <c r="E7" s="18" t="s">
        <v>17</v>
      </c>
      <c r="F7" s="41" t="s">
        <v>178</v>
      </c>
      <c r="G7" s="41" t="s">
        <v>179</v>
      </c>
      <c r="H7" s="41" t="s">
        <v>180</v>
      </c>
      <c r="I7" s="41" t="s">
        <v>181</v>
      </c>
      <c r="J7" s="42" t="s">
        <v>22</v>
      </c>
      <c r="K7" s="45" t="s">
        <v>182</v>
      </c>
      <c r="L7" s="46" t="s">
        <v>161</v>
      </c>
      <c r="M7" s="16" t="s">
        <v>183</v>
      </c>
      <c r="N7" s="17">
        <v>0.25</v>
      </c>
    </row>
    <row r="8">
      <c r="A8" s="6"/>
      <c r="B8" s="47" t="s">
        <v>53</v>
      </c>
      <c r="C8" s="48"/>
      <c r="D8" s="48"/>
      <c r="E8" s="48"/>
      <c r="F8" s="48"/>
      <c r="G8" s="48"/>
      <c r="H8" s="48"/>
      <c r="I8" s="48"/>
      <c r="J8" s="48"/>
      <c r="K8" s="49"/>
      <c r="L8" s="50"/>
      <c r="M8" s="51"/>
      <c r="N8" s="39">
        <v>0.3</v>
      </c>
    </row>
    <row r="9">
      <c r="A9" s="6"/>
      <c r="B9" s="40" t="s">
        <v>184</v>
      </c>
      <c r="C9" s="41" t="s">
        <v>52</v>
      </c>
      <c r="D9" s="41" t="s">
        <v>169</v>
      </c>
      <c r="E9" s="41" t="s">
        <v>53</v>
      </c>
      <c r="F9" s="41" t="s">
        <v>185</v>
      </c>
      <c r="G9" s="41" t="s">
        <v>186</v>
      </c>
      <c r="H9" s="41" t="s">
        <v>187</v>
      </c>
      <c r="I9" s="41" t="s">
        <v>57</v>
      </c>
      <c r="J9" s="42" t="s">
        <v>22</v>
      </c>
      <c r="K9" s="43" t="s">
        <v>135</v>
      </c>
      <c r="L9" s="44" t="s">
        <v>24</v>
      </c>
      <c r="M9" s="22" t="s">
        <v>188</v>
      </c>
      <c r="N9" s="17">
        <v>0.35</v>
      </c>
    </row>
    <row r="10">
      <c r="A10" s="6"/>
      <c r="B10" s="40" t="s">
        <v>189</v>
      </c>
      <c r="C10" s="41" t="s">
        <v>61</v>
      </c>
      <c r="D10" s="41" t="s">
        <v>62</v>
      </c>
      <c r="E10" s="41" t="s">
        <v>53</v>
      </c>
      <c r="F10" s="41" t="s">
        <v>63</v>
      </c>
      <c r="G10" s="41" t="s">
        <v>64</v>
      </c>
      <c r="H10" s="41" t="s">
        <v>190</v>
      </c>
      <c r="I10" s="41" t="s">
        <v>191</v>
      </c>
      <c r="J10" s="42" t="s">
        <v>22</v>
      </c>
      <c r="K10" s="43" t="s">
        <v>192</v>
      </c>
      <c r="L10" s="46" t="s">
        <v>24</v>
      </c>
      <c r="M10" s="18" t="s">
        <v>193</v>
      </c>
      <c r="N10" s="17">
        <v>0.25</v>
      </c>
    </row>
    <row r="11">
      <c r="A11" s="6"/>
      <c r="B11" s="40" t="s">
        <v>194</v>
      </c>
      <c r="C11" s="41" t="s">
        <v>61</v>
      </c>
      <c r="D11" s="41" t="s">
        <v>70</v>
      </c>
      <c r="E11" s="41" t="s">
        <v>53</v>
      </c>
      <c r="F11" s="41" t="s">
        <v>195</v>
      </c>
      <c r="G11" s="41" t="s">
        <v>196</v>
      </c>
      <c r="H11" s="41" t="s">
        <v>197</v>
      </c>
      <c r="I11" s="52" t="s">
        <v>198</v>
      </c>
      <c r="J11" s="42" t="s">
        <v>22</v>
      </c>
      <c r="K11" s="42" t="s">
        <v>199</v>
      </c>
      <c r="L11" s="46" t="s">
        <v>24</v>
      </c>
      <c r="M11" s="18" t="s">
        <v>200</v>
      </c>
      <c r="N11" s="17">
        <v>0.25</v>
      </c>
    </row>
    <row r="12">
      <c r="A12" s="6"/>
      <c r="B12" s="40" t="s">
        <v>201</v>
      </c>
      <c r="C12" s="41" t="s">
        <v>61</v>
      </c>
      <c r="D12" s="41" t="s">
        <v>202</v>
      </c>
      <c r="E12" s="41" t="s">
        <v>53</v>
      </c>
      <c r="F12" s="41" t="s">
        <v>203</v>
      </c>
      <c r="G12" s="41" t="s">
        <v>204</v>
      </c>
      <c r="H12" s="41" t="s">
        <v>205</v>
      </c>
      <c r="I12" s="41" t="s">
        <v>206</v>
      </c>
      <c r="J12" s="42" t="s">
        <v>22</v>
      </c>
      <c r="K12" s="43" t="s">
        <v>207</v>
      </c>
      <c r="L12" s="53" t="s">
        <v>24</v>
      </c>
      <c r="M12" s="18" t="s">
        <v>208</v>
      </c>
      <c r="N12" s="17">
        <v>0.15</v>
      </c>
    </row>
    <row r="13">
      <c r="A13" s="6"/>
      <c r="B13" s="47" t="s">
        <v>209</v>
      </c>
      <c r="C13" s="48"/>
      <c r="D13" s="48"/>
      <c r="E13" s="48"/>
      <c r="F13" s="48"/>
      <c r="G13" s="48"/>
      <c r="H13" s="48"/>
      <c r="I13" s="48"/>
      <c r="J13" s="48"/>
      <c r="K13" s="49"/>
      <c r="L13" s="50"/>
      <c r="M13" s="51"/>
      <c r="N13" s="39">
        <v>0.2</v>
      </c>
    </row>
    <row r="14">
      <c r="A14" s="6"/>
      <c r="B14" s="40" t="s">
        <v>210</v>
      </c>
      <c r="C14" s="18" t="s">
        <v>86</v>
      </c>
      <c r="D14" s="18" t="s">
        <v>211</v>
      </c>
      <c r="E14" s="41" t="s">
        <v>88</v>
      </c>
      <c r="F14" s="16" t="s">
        <v>89</v>
      </c>
      <c r="G14" s="41" t="s">
        <v>212</v>
      </c>
      <c r="H14" s="41" t="s">
        <v>213</v>
      </c>
      <c r="I14" s="41" t="s">
        <v>214</v>
      </c>
      <c r="J14" s="42" t="s">
        <v>22</v>
      </c>
      <c r="K14" s="43" t="s">
        <v>215</v>
      </c>
      <c r="L14" s="44" t="s">
        <v>216</v>
      </c>
      <c r="M14" s="18" t="s">
        <v>217</v>
      </c>
      <c r="N14" s="17">
        <v>0.3</v>
      </c>
    </row>
    <row r="15">
      <c r="A15" s="6"/>
      <c r="B15" s="40" t="s">
        <v>218</v>
      </c>
      <c r="C15" s="16" t="s">
        <v>86</v>
      </c>
      <c r="D15" s="18" t="s">
        <v>219</v>
      </c>
      <c r="E15" s="41" t="s">
        <v>88</v>
      </c>
      <c r="F15" s="41" t="s">
        <v>220</v>
      </c>
      <c r="G15" s="41" t="s">
        <v>221</v>
      </c>
      <c r="H15" s="41" t="s">
        <v>222</v>
      </c>
      <c r="I15" s="41" t="s">
        <v>223</v>
      </c>
      <c r="J15" s="42" t="s">
        <v>224</v>
      </c>
      <c r="K15" s="43" t="s">
        <v>225</v>
      </c>
      <c r="L15" s="46" t="s">
        <v>226</v>
      </c>
      <c r="M15" s="18" t="s">
        <v>227</v>
      </c>
      <c r="N15" s="17">
        <v>0.2</v>
      </c>
    </row>
    <row r="16">
      <c r="A16" s="6"/>
      <c r="B16" s="40" t="s">
        <v>228</v>
      </c>
      <c r="C16" s="16" t="s">
        <v>86</v>
      </c>
      <c r="D16" s="18" t="s">
        <v>219</v>
      </c>
      <c r="E16" s="18" t="s">
        <v>88</v>
      </c>
      <c r="F16" s="18" t="s">
        <v>229</v>
      </c>
      <c r="G16" s="41" t="s">
        <v>230</v>
      </c>
      <c r="H16" s="54" t="s">
        <v>231</v>
      </c>
      <c r="I16" s="41" t="s">
        <v>232</v>
      </c>
      <c r="J16" s="46" t="s">
        <v>22</v>
      </c>
      <c r="K16" s="46" t="s">
        <v>233</v>
      </c>
      <c r="L16" s="46" t="s">
        <v>161</v>
      </c>
      <c r="M16" s="11" t="s">
        <v>109</v>
      </c>
      <c r="N16" s="17">
        <v>0.35</v>
      </c>
    </row>
    <row r="17">
      <c r="A17" s="6"/>
      <c r="B17" s="40" t="s">
        <v>234</v>
      </c>
      <c r="C17" s="18" t="s">
        <v>86</v>
      </c>
      <c r="D17" s="18" t="s">
        <v>219</v>
      </c>
      <c r="E17" s="16" t="s">
        <v>88</v>
      </c>
      <c r="F17" s="41" t="s">
        <v>235</v>
      </c>
      <c r="G17" s="41" t="s">
        <v>236</v>
      </c>
      <c r="H17" s="41" t="s">
        <v>237</v>
      </c>
      <c r="I17" s="41" t="s">
        <v>238</v>
      </c>
      <c r="J17" s="46" t="s">
        <v>22</v>
      </c>
      <c r="K17" s="55" t="s">
        <v>239</v>
      </c>
      <c r="L17" s="46" t="s">
        <v>161</v>
      </c>
      <c r="M17" s="18" t="s">
        <v>240</v>
      </c>
      <c r="N17" s="17">
        <v>0.15</v>
      </c>
    </row>
    <row r="18">
      <c r="A18" s="6"/>
      <c r="B18" s="47" t="s">
        <v>241</v>
      </c>
      <c r="C18" s="48"/>
      <c r="D18" s="48"/>
      <c r="E18" s="48"/>
      <c r="F18" s="48"/>
      <c r="G18" s="48"/>
      <c r="H18" s="48"/>
      <c r="I18" s="48"/>
      <c r="J18" s="48"/>
      <c r="K18" s="49"/>
      <c r="L18" s="50"/>
      <c r="M18" s="51"/>
      <c r="N18" s="51">
        <v>0.3</v>
      </c>
    </row>
    <row r="19">
      <c r="A19" s="6"/>
      <c r="B19" s="40" t="s">
        <v>242</v>
      </c>
      <c r="C19" s="42" t="s">
        <v>121</v>
      </c>
      <c r="D19" s="54" t="s">
        <v>243</v>
      </c>
      <c r="E19" s="42" t="s">
        <v>123</v>
      </c>
      <c r="F19" s="42" t="s">
        <v>244</v>
      </c>
      <c r="G19" s="41" t="s">
        <v>245</v>
      </c>
      <c r="H19" s="41" t="s">
        <v>246</v>
      </c>
      <c r="I19" s="41" t="s">
        <v>247</v>
      </c>
      <c r="J19" s="42" t="s">
        <v>22</v>
      </c>
      <c r="K19" s="43" t="s">
        <v>135</v>
      </c>
      <c r="L19" s="56" t="s">
        <v>248</v>
      </c>
      <c r="M19" s="18" t="s">
        <v>249</v>
      </c>
      <c r="N19" s="17">
        <v>0.25</v>
      </c>
    </row>
    <row r="20">
      <c r="A20" s="6"/>
      <c r="B20" s="40" t="s">
        <v>250</v>
      </c>
      <c r="C20" s="42" t="s">
        <v>121</v>
      </c>
      <c r="D20" s="54" t="s">
        <v>251</v>
      </c>
      <c r="E20" s="42" t="s">
        <v>123</v>
      </c>
      <c r="F20" s="42" t="s">
        <v>252</v>
      </c>
      <c r="G20" s="41" t="s">
        <v>253</v>
      </c>
      <c r="H20" s="41" t="s">
        <v>254</v>
      </c>
      <c r="I20" s="41" t="s">
        <v>255</v>
      </c>
      <c r="J20" s="42" t="s">
        <v>22</v>
      </c>
      <c r="K20" s="43" t="s">
        <v>256</v>
      </c>
      <c r="L20" s="42" t="s">
        <v>24</v>
      </c>
      <c r="M20" s="18" t="s">
        <v>257</v>
      </c>
      <c r="N20" s="17">
        <v>0.15</v>
      </c>
    </row>
    <row r="21">
      <c r="A21" s="6"/>
      <c r="B21" s="40" t="s">
        <v>258</v>
      </c>
      <c r="C21" s="42" t="s">
        <v>121</v>
      </c>
      <c r="D21" s="54" t="s">
        <v>259</v>
      </c>
      <c r="E21" s="42" t="s">
        <v>123</v>
      </c>
      <c r="F21" s="42" t="s">
        <v>260</v>
      </c>
      <c r="G21" s="41" t="s">
        <v>261</v>
      </c>
      <c r="H21" s="41" t="s">
        <v>262</v>
      </c>
      <c r="I21" s="41" t="s">
        <v>263</v>
      </c>
      <c r="J21" s="42" t="s">
        <v>22</v>
      </c>
      <c r="K21" s="43" t="s">
        <v>264</v>
      </c>
      <c r="L21" s="42" t="s">
        <v>265</v>
      </c>
      <c r="M21" s="18" t="s">
        <v>144</v>
      </c>
      <c r="N21" s="17">
        <v>0.3</v>
      </c>
    </row>
    <row r="22">
      <c r="A22" s="6"/>
      <c r="B22" s="40" t="s">
        <v>266</v>
      </c>
      <c r="C22" s="42" t="s">
        <v>121</v>
      </c>
      <c r="D22" s="54" t="s">
        <v>259</v>
      </c>
      <c r="E22" s="42" t="s">
        <v>123</v>
      </c>
      <c r="F22" s="42" t="s">
        <v>267</v>
      </c>
      <c r="G22" s="41" t="s">
        <v>268</v>
      </c>
      <c r="H22" s="41" t="s">
        <v>269</v>
      </c>
      <c r="I22" s="41" t="s">
        <v>270</v>
      </c>
      <c r="J22" s="42" t="s">
        <v>22</v>
      </c>
      <c r="K22" s="43" t="s">
        <v>256</v>
      </c>
      <c r="L22" s="42" t="s">
        <v>24</v>
      </c>
      <c r="M22" s="18" t="s">
        <v>271</v>
      </c>
      <c r="N22" s="17">
        <v>0.3</v>
      </c>
    </row>
  </sheetData>
  <mergeCells count="4">
    <mergeCell ref="B3:M3"/>
    <mergeCell ref="B8:K8"/>
    <mergeCell ref="B13:K13"/>
    <mergeCell ref="B18:K1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288</v>
      </c>
      <c r="B1" s="58" t="s">
        <v>320</v>
      </c>
    </row>
    <row r="2">
      <c r="A2" s="133">
        <v>43831.0</v>
      </c>
      <c r="B2" s="182">
        <v>1674750.0</v>
      </c>
    </row>
    <row r="3">
      <c r="A3" s="133">
        <v>43922.0</v>
      </c>
      <c r="B3" s="182">
        <v>1758345.0</v>
      </c>
    </row>
    <row r="4">
      <c r="A4" s="133">
        <v>44013.0</v>
      </c>
      <c r="B4" s="182">
        <v>1878312.0</v>
      </c>
    </row>
    <row r="5">
      <c r="A5" s="133">
        <v>44105.0</v>
      </c>
      <c r="B5" s="182">
        <v>1682087.0</v>
      </c>
    </row>
    <row r="6">
      <c r="A6" s="133">
        <v>44197.0</v>
      </c>
      <c r="B6" s="182">
        <v>646596.0</v>
      </c>
    </row>
    <row r="7">
      <c r="A7" s="133">
        <v>44287.0</v>
      </c>
      <c r="B7" s="182">
        <v>567857.0</v>
      </c>
    </row>
    <row r="8">
      <c r="A8" s="133">
        <v>44378.0</v>
      </c>
      <c r="B8" s="182">
        <v>605458.0</v>
      </c>
    </row>
    <row r="9">
      <c r="A9" s="133">
        <v>44470.0</v>
      </c>
      <c r="B9" s="182">
        <v>633861.0</v>
      </c>
    </row>
    <row r="10">
      <c r="A10" s="133">
        <v>44562.0</v>
      </c>
      <c r="B10" s="182">
        <v>718196.0</v>
      </c>
    </row>
    <row r="11">
      <c r="A11" s="133">
        <v>44652.0</v>
      </c>
      <c r="B11" s="182">
        <v>720369.0</v>
      </c>
    </row>
    <row r="12">
      <c r="A12" s="133">
        <v>44743.0</v>
      </c>
      <c r="B12" s="182">
        <v>667287.0</v>
      </c>
    </row>
    <row r="13">
      <c r="A13" s="133">
        <v>44835.0</v>
      </c>
      <c r="B13" s="182">
        <v>678615.0</v>
      </c>
    </row>
    <row r="14">
      <c r="A14" s="133">
        <v>44927.0</v>
      </c>
      <c r="B14" s="182">
        <v>329767.0</v>
      </c>
    </row>
    <row r="15">
      <c r="A15" s="133">
        <v>45017.0</v>
      </c>
      <c r="B15" s="182">
        <v>321519.0</v>
      </c>
    </row>
    <row r="16">
      <c r="A16" s="133">
        <v>45108.0</v>
      </c>
      <c r="B16" s="182">
        <v>331026.0</v>
      </c>
    </row>
    <row r="17">
      <c r="A17" s="133">
        <v>45200.0</v>
      </c>
      <c r="B17" s="182">
        <v>460515.0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6" max="6" width="8.75"/>
    <col customWidth="1" min="7" max="7" width="0.38"/>
  </cols>
  <sheetData>
    <row r="1">
      <c r="A1" s="68" t="s">
        <v>298</v>
      </c>
      <c r="B1" s="69"/>
      <c r="C1" s="69"/>
      <c r="D1" s="69"/>
      <c r="E1" s="69"/>
      <c r="F1" s="69"/>
      <c r="G1" s="107"/>
    </row>
    <row r="2">
      <c r="A2" s="74"/>
      <c r="G2" s="108"/>
    </row>
    <row r="3">
      <c r="A3" s="74"/>
      <c r="G3" s="108"/>
    </row>
    <row r="4">
      <c r="A4" s="78"/>
      <c r="B4" s="79"/>
      <c r="C4" s="79"/>
      <c r="D4" s="79"/>
      <c r="E4" s="80" t="s">
        <v>299</v>
      </c>
      <c r="G4" s="108"/>
    </row>
    <row r="5">
      <c r="A5" s="83" t="s">
        <v>293</v>
      </c>
      <c r="B5" s="84" t="s">
        <v>321</v>
      </c>
      <c r="C5" s="83" t="s">
        <v>302</v>
      </c>
      <c r="D5" s="183" t="s">
        <v>303</v>
      </c>
      <c r="E5" s="184"/>
      <c r="F5" s="184"/>
      <c r="G5" s="185"/>
    </row>
    <row r="6">
      <c r="A6" s="125">
        <v>1.0</v>
      </c>
      <c r="B6" s="125">
        <v>1.0</v>
      </c>
      <c r="C6" s="186">
        <v>4.0</v>
      </c>
      <c r="D6" s="187">
        <f t="shared" ref="D6:D17" si="2">C6/5</f>
        <v>0.8</v>
      </c>
      <c r="E6" s="188"/>
      <c r="F6" s="188"/>
      <c r="G6" s="163"/>
    </row>
    <row r="7">
      <c r="A7" s="160">
        <f t="shared" ref="A7:B7" si="1">sum(A6+1)</f>
        <v>2</v>
      </c>
      <c r="B7" s="160">
        <f t="shared" si="1"/>
        <v>2</v>
      </c>
      <c r="C7" s="189">
        <v>4.2</v>
      </c>
      <c r="D7" s="190">
        <f t="shared" si="2"/>
        <v>0.84</v>
      </c>
      <c r="E7" s="191"/>
      <c r="F7" s="191"/>
      <c r="G7" s="192"/>
    </row>
    <row r="8">
      <c r="A8" s="125">
        <f t="shared" ref="A8:B8" si="3">sum(A7+1)</f>
        <v>3</v>
      </c>
      <c r="B8" s="125">
        <f t="shared" si="3"/>
        <v>3</v>
      </c>
      <c r="C8" s="193">
        <v>4.0</v>
      </c>
      <c r="D8" s="187">
        <f t="shared" si="2"/>
        <v>0.8</v>
      </c>
      <c r="E8" s="188"/>
      <c r="F8" s="188"/>
      <c r="G8" s="163"/>
    </row>
    <row r="9">
      <c r="A9" s="160">
        <f t="shared" ref="A9:B9" si="4">sum(A8+1)</f>
        <v>4</v>
      </c>
      <c r="B9" s="160">
        <f t="shared" si="4"/>
        <v>4</v>
      </c>
      <c r="C9" s="189">
        <v>3.9</v>
      </c>
      <c r="D9" s="190">
        <f t="shared" si="2"/>
        <v>0.78</v>
      </c>
      <c r="E9" s="191"/>
      <c r="F9" s="191"/>
      <c r="G9" s="192"/>
    </row>
    <row r="10">
      <c r="A10" s="125">
        <f t="shared" ref="A10:B10" si="5">sum(A9+1)</f>
        <v>5</v>
      </c>
      <c r="B10" s="125">
        <f t="shared" si="5"/>
        <v>5</v>
      </c>
      <c r="C10" s="193">
        <v>4.1</v>
      </c>
      <c r="D10" s="187">
        <f t="shared" si="2"/>
        <v>0.82</v>
      </c>
      <c r="E10" s="188"/>
      <c r="F10" s="188"/>
      <c r="G10" s="163"/>
    </row>
    <row r="11">
      <c r="A11" s="160">
        <f t="shared" ref="A11:B11" si="6">sum(A10+1)</f>
        <v>6</v>
      </c>
      <c r="B11" s="160">
        <f t="shared" si="6"/>
        <v>6</v>
      </c>
      <c r="C11" s="189">
        <v>4.1</v>
      </c>
      <c r="D11" s="190">
        <f t="shared" si="2"/>
        <v>0.82</v>
      </c>
      <c r="E11" s="191"/>
      <c r="F11" s="191"/>
      <c r="G11" s="192"/>
    </row>
    <row r="12">
      <c r="A12" s="125">
        <f t="shared" ref="A12:B12" si="7">sum(A11+1)</f>
        <v>7</v>
      </c>
      <c r="B12" s="125">
        <f t="shared" si="7"/>
        <v>7</v>
      </c>
      <c r="C12" s="193">
        <v>4.0</v>
      </c>
      <c r="D12" s="187">
        <f t="shared" si="2"/>
        <v>0.8</v>
      </c>
      <c r="E12" s="188"/>
      <c r="F12" s="188"/>
      <c r="G12" s="163"/>
    </row>
    <row r="13">
      <c r="A13" s="160">
        <f t="shared" ref="A13:B13" si="8">sum(A12+1)</f>
        <v>8</v>
      </c>
      <c r="B13" s="160">
        <f t="shared" si="8"/>
        <v>8</v>
      </c>
      <c r="C13" s="189">
        <v>4.2</v>
      </c>
      <c r="D13" s="190">
        <f t="shared" si="2"/>
        <v>0.84</v>
      </c>
      <c r="E13" s="191"/>
      <c r="F13" s="191"/>
      <c r="G13" s="192"/>
    </row>
    <row r="14">
      <c r="A14" s="125">
        <f t="shared" ref="A14:B14" si="9">sum(A13+1)</f>
        <v>9</v>
      </c>
      <c r="B14" s="125">
        <f t="shared" si="9"/>
        <v>9</v>
      </c>
      <c r="C14" s="193">
        <v>4.1</v>
      </c>
      <c r="D14" s="187">
        <f t="shared" si="2"/>
        <v>0.82</v>
      </c>
      <c r="E14" s="188"/>
      <c r="F14" s="188"/>
      <c r="G14" s="163"/>
    </row>
    <row r="15">
      <c r="A15" s="160">
        <f t="shared" ref="A15:B15" si="10">sum(A14+1)</f>
        <v>10</v>
      </c>
      <c r="B15" s="160">
        <f t="shared" si="10"/>
        <v>10</v>
      </c>
      <c r="C15" s="189">
        <v>4.1</v>
      </c>
      <c r="D15" s="190">
        <f t="shared" si="2"/>
        <v>0.82</v>
      </c>
      <c r="E15" s="191"/>
      <c r="F15" s="191"/>
      <c r="G15" s="192"/>
    </row>
    <row r="16">
      <c r="A16" s="125">
        <f t="shared" ref="A16:B16" si="11">sum(A15+1)</f>
        <v>11</v>
      </c>
      <c r="B16" s="125">
        <f t="shared" si="11"/>
        <v>11</v>
      </c>
      <c r="C16" s="193">
        <v>4.0</v>
      </c>
      <c r="D16" s="187">
        <f t="shared" si="2"/>
        <v>0.8</v>
      </c>
      <c r="E16" s="188"/>
      <c r="F16" s="188"/>
      <c r="G16" s="163"/>
    </row>
    <row r="17">
      <c r="A17" s="160">
        <f t="shared" ref="A17:B17" si="12">sum(A16+1)</f>
        <v>12</v>
      </c>
      <c r="B17" s="160">
        <f t="shared" si="12"/>
        <v>12</v>
      </c>
      <c r="C17" s="189">
        <v>4.1</v>
      </c>
      <c r="D17" s="190">
        <f t="shared" si="2"/>
        <v>0.82</v>
      </c>
      <c r="E17" s="191"/>
      <c r="F17" s="191"/>
      <c r="G17" s="192"/>
    </row>
    <row r="18">
      <c r="A18" s="83" t="s">
        <v>293</v>
      </c>
      <c r="B18" s="84" t="s">
        <v>321</v>
      </c>
      <c r="C18" s="83" t="s">
        <v>302</v>
      </c>
      <c r="D18" s="183" t="s">
        <v>303</v>
      </c>
      <c r="E18" s="188"/>
      <c r="F18" s="188"/>
      <c r="G18" s="163"/>
    </row>
    <row r="19">
      <c r="A19" s="160">
        <f>A17+1</f>
        <v>13</v>
      </c>
      <c r="B19" s="160">
        <v>1.0</v>
      </c>
      <c r="C19" s="194">
        <v>4.05</v>
      </c>
      <c r="D19" s="190">
        <f t="shared" ref="D19:D30" si="14">C19/5</f>
        <v>0.81</v>
      </c>
      <c r="E19" s="191"/>
      <c r="F19" s="191"/>
      <c r="G19" s="192"/>
    </row>
    <row r="20">
      <c r="A20" s="125">
        <f t="shared" ref="A20:B20" si="13">sum(A19+1)</f>
        <v>14</v>
      </c>
      <c r="B20" s="125">
        <f t="shared" si="13"/>
        <v>2</v>
      </c>
      <c r="C20" s="193">
        <v>4.6</v>
      </c>
      <c r="D20" s="187">
        <f t="shared" si="14"/>
        <v>0.92</v>
      </c>
      <c r="E20" s="188"/>
      <c r="F20" s="188"/>
      <c r="G20" s="163"/>
    </row>
    <row r="21">
      <c r="A21" s="160">
        <f t="shared" ref="A21:B21" si="15">sum(A20+1)</f>
        <v>15</v>
      </c>
      <c r="B21" s="160">
        <f t="shared" si="15"/>
        <v>3</v>
      </c>
      <c r="C21" s="189">
        <v>4.2</v>
      </c>
      <c r="D21" s="190">
        <f t="shared" si="14"/>
        <v>0.84</v>
      </c>
      <c r="E21" s="191"/>
      <c r="F21" s="191"/>
      <c r="G21" s="192"/>
    </row>
    <row r="22">
      <c r="A22" s="125">
        <f t="shared" ref="A22:B22" si="16">sum(A21+1)</f>
        <v>16</v>
      </c>
      <c r="B22" s="125">
        <f t="shared" si="16"/>
        <v>4</v>
      </c>
      <c r="C22" s="193">
        <v>4.1</v>
      </c>
      <c r="D22" s="187">
        <f t="shared" si="14"/>
        <v>0.82</v>
      </c>
      <c r="E22" s="188"/>
      <c r="F22" s="188"/>
      <c r="G22" s="163"/>
    </row>
    <row r="23">
      <c r="A23" s="160">
        <f t="shared" ref="A23:B23" si="17">sum(A22+1)</f>
        <v>17</v>
      </c>
      <c r="B23" s="160">
        <f t="shared" si="17"/>
        <v>5</v>
      </c>
      <c r="C23" s="189">
        <v>4.2</v>
      </c>
      <c r="D23" s="190">
        <f t="shared" si="14"/>
        <v>0.84</v>
      </c>
      <c r="E23" s="191"/>
      <c r="F23" s="191"/>
      <c r="G23" s="192"/>
    </row>
    <row r="24">
      <c r="A24" s="125">
        <f t="shared" ref="A24:B24" si="18">sum(A23+1)</f>
        <v>18</v>
      </c>
      <c r="B24" s="125">
        <f t="shared" si="18"/>
        <v>6</v>
      </c>
      <c r="C24" s="193">
        <v>4.2</v>
      </c>
      <c r="D24" s="187">
        <f t="shared" si="14"/>
        <v>0.84</v>
      </c>
      <c r="E24" s="188"/>
      <c r="F24" s="188"/>
      <c r="G24" s="163"/>
    </row>
    <row r="25">
      <c r="A25" s="160">
        <f t="shared" ref="A25:B25" si="19">sum(A24+1)</f>
        <v>19</v>
      </c>
      <c r="B25" s="160">
        <f t="shared" si="19"/>
        <v>7</v>
      </c>
      <c r="C25" s="189">
        <v>4.1</v>
      </c>
      <c r="D25" s="190">
        <f t="shared" si="14"/>
        <v>0.82</v>
      </c>
      <c r="E25" s="191"/>
      <c r="F25" s="191"/>
      <c r="G25" s="192"/>
    </row>
    <row r="26">
      <c r="A26" s="125">
        <f t="shared" ref="A26:B26" si="20">sum(A25+1)</f>
        <v>20</v>
      </c>
      <c r="B26" s="125">
        <f t="shared" si="20"/>
        <v>8</v>
      </c>
      <c r="C26" s="193">
        <v>4.1</v>
      </c>
      <c r="D26" s="187">
        <f t="shared" si="14"/>
        <v>0.82</v>
      </c>
      <c r="E26" s="188"/>
      <c r="F26" s="188"/>
      <c r="G26" s="163"/>
    </row>
    <row r="27">
      <c r="A27" s="160">
        <f t="shared" ref="A27:B27" si="21">sum(A26+1)</f>
        <v>21</v>
      </c>
      <c r="B27" s="160">
        <f t="shared" si="21"/>
        <v>9</v>
      </c>
      <c r="C27" s="189">
        <v>4.5</v>
      </c>
      <c r="D27" s="190">
        <f t="shared" si="14"/>
        <v>0.9</v>
      </c>
      <c r="E27" s="191"/>
      <c r="F27" s="191"/>
      <c r="G27" s="192"/>
    </row>
    <row r="28">
      <c r="A28" s="125">
        <f t="shared" ref="A28:B28" si="22">sum(A27+1)</f>
        <v>22</v>
      </c>
      <c r="B28" s="125">
        <f t="shared" si="22"/>
        <v>10</v>
      </c>
      <c r="C28" s="193">
        <v>4.1</v>
      </c>
      <c r="D28" s="187">
        <f t="shared" si="14"/>
        <v>0.82</v>
      </c>
      <c r="E28" s="188"/>
      <c r="F28" s="188"/>
      <c r="G28" s="163"/>
    </row>
    <row r="29">
      <c r="A29" s="160">
        <f t="shared" ref="A29:B29" si="23">sum(A28+1)</f>
        <v>23</v>
      </c>
      <c r="B29" s="160">
        <f t="shared" si="23"/>
        <v>11</v>
      </c>
      <c r="C29" s="189">
        <v>4.4</v>
      </c>
      <c r="D29" s="190">
        <f t="shared" si="14"/>
        <v>0.88</v>
      </c>
      <c r="E29" s="191"/>
      <c r="F29" s="191"/>
      <c r="G29" s="192"/>
    </row>
    <row r="30">
      <c r="A30" s="125">
        <f t="shared" ref="A30:B30" si="24">sum(A29+1)</f>
        <v>24</v>
      </c>
      <c r="B30" s="125">
        <f t="shared" si="24"/>
        <v>12</v>
      </c>
      <c r="C30" s="193">
        <v>4.2</v>
      </c>
      <c r="D30" s="187">
        <f t="shared" si="14"/>
        <v>0.84</v>
      </c>
      <c r="E30" s="188"/>
      <c r="F30" s="188"/>
      <c r="G30" s="163"/>
    </row>
    <row r="31">
      <c r="A31" s="83" t="s">
        <v>293</v>
      </c>
      <c r="B31" s="84" t="s">
        <v>321</v>
      </c>
      <c r="C31" s="83" t="s">
        <v>302</v>
      </c>
      <c r="D31" s="183" t="s">
        <v>303</v>
      </c>
      <c r="E31" s="191"/>
      <c r="F31" s="191"/>
      <c r="G31" s="192"/>
    </row>
    <row r="32">
      <c r="A32" s="125">
        <f>A30+1</f>
        <v>25</v>
      </c>
      <c r="B32" s="125">
        <v>1.0</v>
      </c>
      <c r="C32" s="186">
        <v>4.11</v>
      </c>
      <c r="D32" s="187">
        <f t="shared" ref="D32:D43" si="26">C32/5</f>
        <v>0.822</v>
      </c>
      <c r="E32" s="188"/>
      <c r="F32" s="188"/>
      <c r="G32" s="163"/>
    </row>
    <row r="33">
      <c r="A33" s="160">
        <f t="shared" ref="A33:B33" si="25">sum(A32+1)</f>
        <v>26</v>
      </c>
      <c r="B33" s="160">
        <f t="shared" si="25"/>
        <v>2</v>
      </c>
      <c r="C33" s="194">
        <v>4.1</v>
      </c>
      <c r="D33" s="190">
        <f t="shared" si="26"/>
        <v>0.82</v>
      </c>
      <c r="E33" s="191"/>
      <c r="F33" s="191"/>
      <c r="G33" s="192"/>
    </row>
    <row r="34">
      <c r="A34" s="125">
        <f t="shared" ref="A34:B34" si="27">sum(A33+1)</f>
        <v>27</v>
      </c>
      <c r="B34" s="125">
        <f t="shared" si="27"/>
        <v>3</v>
      </c>
      <c r="C34" s="186">
        <v>4.2</v>
      </c>
      <c r="D34" s="187">
        <f t="shared" si="26"/>
        <v>0.84</v>
      </c>
      <c r="E34" s="188"/>
      <c r="F34" s="188"/>
      <c r="G34" s="163"/>
    </row>
    <row r="35">
      <c r="A35" s="160">
        <f t="shared" ref="A35:B35" si="28">sum(A34+1)</f>
        <v>28</v>
      </c>
      <c r="B35" s="160">
        <f t="shared" si="28"/>
        <v>4</v>
      </c>
      <c r="C35" s="194">
        <v>4.1</v>
      </c>
      <c r="D35" s="190">
        <f t="shared" si="26"/>
        <v>0.82</v>
      </c>
      <c r="E35" s="191"/>
      <c r="F35" s="191"/>
      <c r="G35" s="192"/>
    </row>
    <row r="36">
      <c r="A36" s="125">
        <f t="shared" ref="A36:B36" si="29">sum(A35+1)</f>
        <v>29</v>
      </c>
      <c r="B36" s="125">
        <f t="shared" si="29"/>
        <v>5</v>
      </c>
      <c r="C36" s="186">
        <v>3.9</v>
      </c>
      <c r="D36" s="187">
        <f t="shared" si="26"/>
        <v>0.78</v>
      </c>
      <c r="E36" s="188"/>
      <c r="F36" s="188"/>
      <c r="G36" s="163"/>
    </row>
    <row r="37">
      <c r="A37" s="160">
        <f t="shared" ref="A37:B37" si="30">sum(A36+1)</f>
        <v>30</v>
      </c>
      <c r="B37" s="160">
        <f t="shared" si="30"/>
        <v>6</v>
      </c>
      <c r="C37" s="194">
        <v>4.2</v>
      </c>
      <c r="D37" s="190">
        <f t="shared" si="26"/>
        <v>0.84</v>
      </c>
      <c r="E37" s="191"/>
      <c r="F37" s="191"/>
      <c r="G37" s="192"/>
    </row>
    <row r="38">
      <c r="A38" s="125">
        <f t="shared" ref="A38:B38" si="31">sum(A37+1)</f>
        <v>31</v>
      </c>
      <c r="B38" s="125">
        <f t="shared" si="31"/>
        <v>7</v>
      </c>
      <c r="C38" s="186">
        <v>3.9</v>
      </c>
      <c r="D38" s="187">
        <f t="shared" si="26"/>
        <v>0.78</v>
      </c>
      <c r="E38" s="188"/>
      <c r="F38" s="188"/>
      <c r="G38" s="163"/>
    </row>
    <row r="39">
      <c r="A39" s="160">
        <f t="shared" ref="A39:B39" si="32">sum(A38+1)</f>
        <v>32</v>
      </c>
      <c r="B39" s="160">
        <f t="shared" si="32"/>
        <v>8</v>
      </c>
      <c r="C39" s="194">
        <v>4.1</v>
      </c>
      <c r="D39" s="190">
        <f t="shared" si="26"/>
        <v>0.82</v>
      </c>
      <c r="E39" s="191"/>
      <c r="F39" s="191"/>
      <c r="G39" s="192"/>
    </row>
    <row r="40">
      <c r="A40" s="125">
        <f t="shared" ref="A40:B40" si="33">sum(A39+1)</f>
        <v>33</v>
      </c>
      <c r="B40" s="125">
        <f t="shared" si="33"/>
        <v>9</v>
      </c>
      <c r="C40" s="186">
        <v>4.1</v>
      </c>
      <c r="D40" s="187">
        <f t="shared" si="26"/>
        <v>0.82</v>
      </c>
      <c r="E40" s="188"/>
      <c r="F40" s="188"/>
      <c r="G40" s="163"/>
    </row>
    <row r="41">
      <c r="A41" s="160">
        <f t="shared" ref="A41:B41" si="34">sum(A40+1)</f>
        <v>34</v>
      </c>
      <c r="B41" s="160">
        <f t="shared" si="34"/>
        <v>10</v>
      </c>
      <c r="C41" s="194">
        <v>4.2</v>
      </c>
      <c r="D41" s="190">
        <f t="shared" si="26"/>
        <v>0.84</v>
      </c>
      <c r="E41" s="191"/>
      <c r="F41" s="191"/>
      <c r="G41" s="192"/>
    </row>
    <row r="42">
      <c r="A42" s="125">
        <f t="shared" ref="A42:B42" si="35">sum(A41+1)</f>
        <v>35</v>
      </c>
      <c r="B42" s="125">
        <f t="shared" si="35"/>
        <v>11</v>
      </c>
      <c r="C42" s="186">
        <v>4.1</v>
      </c>
      <c r="D42" s="187">
        <f t="shared" si="26"/>
        <v>0.82</v>
      </c>
      <c r="E42" s="188"/>
      <c r="F42" s="188"/>
      <c r="G42" s="163"/>
    </row>
    <row r="43">
      <c r="A43" s="160">
        <f t="shared" ref="A43:B43" si="36">sum(A42+1)</f>
        <v>36</v>
      </c>
      <c r="B43" s="160">
        <f t="shared" si="36"/>
        <v>12</v>
      </c>
      <c r="C43" s="194">
        <v>4.1</v>
      </c>
      <c r="D43" s="190">
        <f t="shared" si="26"/>
        <v>0.82</v>
      </c>
      <c r="E43" s="191"/>
      <c r="F43" s="191"/>
      <c r="G43" s="192"/>
    </row>
    <row r="44">
      <c r="A44" s="83" t="s">
        <v>293</v>
      </c>
      <c r="B44" s="84" t="s">
        <v>321</v>
      </c>
      <c r="C44" s="83" t="s">
        <v>302</v>
      </c>
      <c r="D44" s="183" t="s">
        <v>303</v>
      </c>
      <c r="E44" s="188"/>
      <c r="F44" s="188"/>
      <c r="G44" s="163"/>
    </row>
    <row r="45">
      <c r="A45" s="160">
        <f>A43+1</f>
        <v>37</v>
      </c>
      <c r="B45" s="160">
        <v>1.0</v>
      </c>
      <c r="C45" s="194">
        <v>3.8</v>
      </c>
      <c r="D45" s="190">
        <f t="shared" ref="D45:D56" si="38">C45/5</f>
        <v>0.76</v>
      </c>
      <c r="E45" s="191"/>
      <c r="F45" s="191"/>
      <c r="G45" s="192"/>
    </row>
    <row r="46">
      <c r="A46" s="125">
        <f t="shared" ref="A46:B46" si="37">sum(A45+1)</f>
        <v>38</v>
      </c>
      <c r="B46" s="125">
        <f t="shared" si="37"/>
        <v>2</v>
      </c>
      <c r="C46" s="186">
        <v>3.7</v>
      </c>
      <c r="D46" s="187">
        <f t="shared" si="38"/>
        <v>0.74</v>
      </c>
      <c r="E46" s="188"/>
      <c r="F46" s="188"/>
      <c r="G46" s="163"/>
    </row>
    <row r="47">
      <c r="A47" s="160">
        <f t="shared" ref="A47:B47" si="39">sum(A46+1)</f>
        <v>39</v>
      </c>
      <c r="B47" s="160">
        <f t="shared" si="39"/>
        <v>3</v>
      </c>
      <c r="C47" s="194">
        <v>3.9</v>
      </c>
      <c r="D47" s="190">
        <f t="shared" si="38"/>
        <v>0.78</v>
      </c>
      <c r="E47" s="191"/>
      <c r="F47" s="191"/>
      <c r="G47" s="192"/>
    </row>
    <row r="48">
      <c r="A48" s="125">
        <f t="shared" ref="A48:B48" si="40">sum(A47+1)</f>
        <v>40</v>
      </c>
      <c r="B48" s="125">
        <f t="shared" si="40"/>
        <v>4</v>
      </c>
      <c r="C48" s="186">
        <v>3.8</v>
      </c>
      <c r="D48" s="187">
        <f t="shared" si="38"/>
        <v>0.76</v>
      </c>
      <c r="E48" s="188"/>
      <c r="F48" s="188"/>
      <c r="G48" s="163"/>
    </row>
    <row r="49">
      <c r="A49" s="160">
        <f t="shared" ref="A49:B49" si="41">sum(A48+1)</f>
        <v>41</v>
      </c>
      <c r="B49" s="160">
        <f t="shared" si="41"/>
        <v>5</v>
      </c>
      <c r="C49" s="194">
        <v>3.8</v>
      </c>
      <c r="D49" s="190">
        <f t="shared" si="38"/>
        <v>0.76</v>
      </c>
      <c r="E49" s="191"/>
      <c r="F49" s="191"/>
      <c r="G49" s="192"/>
    </row>
    <row r="50">
      <c r="A50" s="125">
        <f t="shared" ref="A50:B50" si="42">sum(A49+1)</f>
        <v>42</v>
      </c>
      <c r="B50" s="125">
        <f t="shared" si="42"/>
        <v>6</v>
      </c>
      <c r="C50" s="186">
        <v>3.7</v>
      </c>
      <c r="D50" s="187">
        <f t="shared" si="38"/>
        <v>0.74</v>
      </c>
      <c r="E50" s="188"/>
      <c r="F50" s="188"/>
      <c r="G50" s="163"/>
    </row>
    <row r="51">
      <c r="A51" s="160">
        <f t="shared" ref="A51:B51" si="43">sum(A50+1)</f>
        <v>43</v>
      </c>
      <c r="B51" s="160">
        <f t="shared" si="43"/>
        <v>7</v>
      </c>
      <c r="C51" s="194">
        <v>3.9</v>
      </c>
      <c r="D51" s="190">
        <f t="shared" si="38"/>
        <v>0.78</v>
      </c>
      <c r="E51" s="191"/>
      <c r="F51" s="191"/>
      <c r="G51" s="192"/>
    </row>
    <row r="52">
      <c r="A52" s="125">
        <f t="shared" ref="A52:B52" si="44">sum(A51+1)</f>
        <v>44</v>
      </c>
      <c r="B52" s="125">
        <f t="shared" si="44"/>
        <v>8</v>
      </c>
      <c r="C52" s="186">
        <v>3.8</v>
      </c>
      <c r="D52" s="187">
        <f t="shared" si="38"/>
        <v>0.76</v>
      </c>
      <c r="E52" s="188"/>
      <c r="F52" s="188"/>
      <c r="G52" s="163"/>
    </row>
    <row r="53">
      <c r="A53" s="160">
        <f t="shared" ref="A53:B53" si="45">sum(A52+1)</f>
        <v>45</v>
      </c>
      <c r="B53" s="160">
        <f t="shared" si="45"/>
        <v>9</v>
      </c>
      <c r="C53" s="194">
        <v>3.8</v>
      </c>
      <c r="D53" s="190">
        <f t="shared" si="38"/>
        <v>0.76</v>
      </c>
      <c r="E53" s="191"/>
      <c r="F53" s="191"/>
      <c r="G53" s="192"/>
    </row>
    <row r="54">
      <c r="A54" s="125">
        <f t="shared" ref="A54:B54" si="46">sum(A53+1)</f>
        <v>46</v>
      </c>
      <c r="B54" s="125">
        <f t="shared" si="46"/>
        <v>10</v>
      </c>
      <c r="C54" s="186">
        <v>4.0</v>
      </c>
      <c r="D54" s="187">
        <f t="shared" si="38"/>
        <v>0.8</v>
      </c>
      <c r="E54" s="188"/>
      <c r="F54" s="188"/>
      <c r="G54" s="163"/>
    </row>
    <row r="55">
      <c r="A55" s="160">
        <f t="shared" ref="A55:B55" si="47">sum(A54+1)</f>
        <v>47</v>
      </c>
      <c r="B55" s="160">
        <f t="shared" si="47"/>
        <v>11</v>
      </c>
      <c r="C55" s="194">
        <v>3.9</v>
      </c>
      <c r="D55" s="190">
        <f t="shared" si="38"/>
        <v>0.78</v>
      </c>
      <c r="E55" s="191"/>
      <c r="F55" s="191"/>
      <c r="G55" s="192"/>
    </row>
    <row r="56">
      <c r="A56" s="125">
        <f t="shared" ref="A56:B56" si="48">sum(A55+1)</f>
        <v>48</v>
      </c>
      <c r="B56" s="125">
        <f t="shared" si="48"/>
        <v>12</v>
      </c>
      <c r="C56" s="186">
        <v>3.69</v>
      </c>
      <c r="D56" s="187">
        <f t="shared" si="38"/>
        <v>0.738</v>
      </c>
      <c r="E56" s="188"/>
      <c r="F56" s="188"/>
      <c r="G56" s="163"/>
    </row>
  </sheetData>
  <mergeCells count="54">
    <mergeCell ref="A1:G3"/>
    <mergeCell ref="E4:G4"/>
    <mergeCell ref="D5:G5"/>
    <mergeCell ref="D6:G6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  <mergeCell ref="D52:G52"/>
    <mergeCell ref="D53:G53"/>
    <mergeCell ref="D54:G54"/>
    <mergeCell ref="D55:G55"/>
    <mergeCell ref="D56:G56"/>
    <mergeCell ref="D45:G45"/>
    <mergeCell ref="D46:G46"/>
    <mergeCell ref="D47:G47"/>
    <mergeCell ref="D48:G48"/>
    <mergeCell ref="D49:G49"/>
    <mergeCell ref="D50:G50"/>
    <mergeCell ref="D51:G51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6" max="6" width="8.75"/>
    <col customWidth="1" min="7" max="7" width="0.38"/>
    <col customWidth="1" min="11" max="12" width="15.25"/>
  </cols>
  <sheetData>
    <row r="1">
      <c r="B1" s="68" t="s">
        <v>304</v>
      </c>
      <c r="C1" s="69"/>
      <c r="D1" s="69"/>
      <c r="E1" s="69"/>
      <c r="F1" s="69"/>
      <c r="G1" s="69"/>
      <c r="H1" s="69"/>
      <c r="I1" s="107"/>
    </row>
    <row r="2">
      <c r="B2" s="74"/>
      <c r="I2" s="108"/>
    </row>
    <row r="3">
      <c r="B3" s="74"/>
      <c r="I3" s="108"/>
    </row>
    <row r="4">
      <c r="B4" s="78"/>
      <c r="C4" s="79"/>
      <c r="D4" s="79"/>
      <c r="E4" s="79"/>
      <c r="F4" s="79"/>
      <c r="G4" s="195" t="s">
        <v>305</v>
      </c>
      <c r="I4" s="108"/>
    </row>
    <row r="5">
      <c r="B5" s="83" t="s">
        <v>293</v>
      </c>
      <c r="C5" s="84" t="s">
        <v>321</v>
      </c>
      <c r="D5" s="83" t="s">
        <v>306</v>
      </c>
      <c r="E5" s="83" t="s">
        <v>307</v>
      </c>
      <c r="F5" s="183" t="s">
        <v>322</v>
      </c>
      <c r="G5" s="184"/>
      <c r="H5" s="184"/>
      <c r="I5" s="185"/>
    </row>
    <row r="6">
      <c r="B6" s="125">
        <v>1.0</v>
      </c>
      <c r="C6" s="125">
        <v>1.0</v>
      </c>
      <c r="D6" s="166">
        <v>3.23347E7</v>
      </c>
      <c r="E6" s="196">
        <v>2.9E8</v>
      </c>
      <c r="F6" s="197">
        <f t="shared" ref="F6:F17" si="2">(D6/E6)*100%</f>
        <v>0.1114989655</v>
      </c>
      <c r="G6" s="188"/>
      <c r="H6" s="188"/>
      <c r="I6" s="163"/>
    </row>
    <row r="7">
      <c r="B7" s="160">
        <f t="shared" ref="B7:C7" si="1">sum(B6+1)</f>
        <v>2</v>
      </c>
      <c r="C7" s="160">
        <f t="shared" si="1"/>
        <v>2</v>
      </c>
      <c r="D7" s="168">
        <v>3.0939202E7</v>
      </c>
      <c r="E7" s="198">
        <v>3.4E8</v>
      </c>
      <c r="F7" s="199">
        <f t="shared" si="2"/>
        <v>0.09099765294</v>
      </c>
      <c r="G7" s="191"/>
      <c r="H7" s="191"/>
      <c r="I7" s="192"/>
    </row>
    <row r="8">
      <c r="B8" s="125">
        <f t="shared" ref="B8:C8" si="3">sum(B7+1)</f>
        <v>3</v>
      </c>
      <c r="C8" s="125">
        <f t="shared" si="3"/>
        <v>3</v>
      </c>
      <c r="D8" s="166">
        <v>3.4717257E7</v>
      </c>
      <c r="E8" s="196">
        <v>2.5E8</v>
      </c>
      <c r="F8" s="197">
        <f t="shared" si="2"/>
        <v>0.138869028</v>
      </c>
      <c r="G8" s="188"/>
      <c r="H8" s="188"/>
      <c r="I8" s="163"/>
    </row>
    <row r="9">
      <c r="B9" s="160">
        <f t="shared" ref="B9:C9" si="4">sum(B8+1)</f>
        <v>4</v>
      </c>
      <c r="C9" s="160">
        <f t="shared" si="4"/>
        <v>4</v>
      </c>
      <c r="D9" s="168">
        <v>3.3304741E7</v>
      </c>
      <c r="E9" s="200">
        <v>3.240073E8</v>
      </c>
      <c r="F9" s="199">
        <f t="shared" si="2"/>
        <v>0.1027900945</v>
      </c>
      <c r="G9" s="191"/>
      <c r="H9" s="191"/>
      <c r="I9" s="192"/>
    </row>
    <row r="10">
      <c r="B10" s="125">
        <f t="shared" ref="B10:C10" si="5">sum(B9+1)</f>
        <v>5</v>
      </c>
      <c r="C10" s="125">
        <f t="shared" si="5"/>
        <v>5</v>
      </c>
      <c r="D10" s="166">
        <v>3.1858188E7</v>
      </c>
      <c r="E10" s="196">
        <v>2.7E8</v>
      </c>
      <c r="F10" s="197">
        <f t="shared" si="2"/>
        <v>0.1179932889</v>
      </c>
      <c r="G10" s="188"/>
      <c r="H10" s="188"/>
      <c r="I10" s="163"/>
    </row>
    <row r="11">
      <c r="B11" s="160">
        <f t="shared" ref="B11:C11" si="6">sum(B10+1)</f>
        <v>6</v>
      </c>
      <c r="C11" s="160">
        <f t="shared" si="6"/>
        <v>6</v>
      </c>
      <c r="D11" s="168">
        <v>3.0377599E7</v>
      </c>
      <c r="E11" s="198">
        <v>2.6E8</v>
      </c>
      <c r="F11" s="199">
        <f t="shared" si="2"/>
        <v>0.1168369192</v>
      </c>
      <c r="G11" s="191"/>
      <c r="H11" s="191"/>
      <c r="I11" s="192"/>
    </row>
    <row r="12">
      <c r="B12" s="125">
        <f t="shared" ref="B12:C12" si="7">sum(B11+1)</f>
        <v>7</v>
      </c>
      <c r="C12" s="125">
        <f t="shared" si="7"/>
        <v>7</v>
      </c>
      <c r="D12" s="166">
        <v>3.066691E7</v>
      </c>
      <c r="E12" s="196">
        <v>3.2E8</v>
      </c>
      <c r="F12" s="197">
        <f t="shared" si="2"/>
        <v>0.09583409375</v>
      </c>
      <c r="G12" s="188"/>
      <c r="H12" s="188"/>
      <c r="I12" s="163"/>
    </row>
    <row r="13">
      <c r="B13" s="160">
        <f t="shared" ref="B13:C13" si="8">sum(B12+1)</f>
        <v>8</v>
      </c>
      <c r="C13" s="160">
        <f t="shared" si="8"/>
        <v>8</v>
      </c>
      <c r="D13" s="168">
        <v>3.2777175E7</v>
      </c>
      <c r="E13" s="198">
        <v>2.8E8</v>
      </c>
      <c r="F13" s="199">
        <f t="shared" si="2"/>
        <v>0.1170613393</v>
      </c>
      <c r="G13" s="191"/>
      <c r="H13" s="191"/>
      <c r="I13" s="192"/>
    </row>
    <row r="14">
      <c r="B14" s="125">
        <f t="shared" ref="B14:C14" si="9">sum(B13+1)</f>
        <v>9</v>
      </c>
      <c r="C14" s="125">
        <f t="shared" si="9"/>
        <v>9</v>
      </c>
      <c r="D14" s="166">
        <v>3.4921476E7</v>
      </c>
      <c r="E14" s="196">
        <v>3.1E8</v>
      </c>
      <c r="F14" s="197">
        <f t="shared" si="2"/>
        <v>0.1126499226</v>
      </c>
      <c r="G14" s="188"/>
      <c r="H14" s="188"/>
      <c r="I14" s="163"/>
    </row>
    <row r="15">
      <c r="B15" s="160">
        <f t="shared" ref="B15:C15" si="10">sum(B14+1)</f>
        <v>10</v>
      </c>
      <c r="C15" s="160">
        <f t="shared" si="10"/>
        <v>10</v>
      </c>
      <c r="D15" s="168">
        <v>3.7099813E7</v>
      </c>
      <c r="E15" s="198">
        <v>2.4E8</v>
      </c>
      <c r="F15" s="199">
        <f t="shared" si="2"/>
        <v>0.1545825542</v>
      </c>
      <c r="G15" s="191"/>
      <c r="H15" s="191"/>
      <c r="I15" s="192"/>
    </row>
    <row r="16">
      <c r="B16" s="125">
        <f t="shared" ref="B16:C16" si="11">sum(B15+1)</f>
        <v>11</v>
      </c>
      <c r="C16" s="125">
        <f t="shared" si="11"/>
        <v>11</v>
      </c>
      <c r="D16" s="166">
        <v>4.1184196E7</v>
      </c>
      <c r="E16" s="196">
        <v>3.0E8</v>
      </c>
      <c r="F16" s="197">
        <f t="shared" si="2"/>
        <v>0.1372806533</v>
      </c>
      <c r="G16" s="188"/>
      <c r="H16" s="188"/>
      <c r="I16" s="163"/>
    </row>
    <row r="17">
      <c r="B17" s="160">
        <f t="shared" ref="B17:C17" si="12">sum(B16+1)</f>
        <v>12</v>
      </c>
      <c r="C17" s="160">
        <f t="shared" si="12"/>
        <v>12</v>
      </c>
      <c r="D17" s="168">
        <v>5.8559843E7</v>
      </c>
      <c r="E17" s="200">
        <v>3.3E8</v>
      </c>
      <c r="F17" s="199">
        <f t="shared" si="2"/>
        <v>0.1774540697</v>
      </c>
      <c r="G17" s="191"/>
      <c r="H17" s="191"/>
      <c r="I17" s="192"/>
    </row>
    <row r="18">
      <c r="B18" s="83" t="s">
        <v>293</v>
      </c>
      <c r="C18" s="84" t="s">
        <v>321</v>
      </c>
      <c r="D18" s="83" t="s">
        <v>306</v>
      </c>
      <c r="E18" s="83" t="s">
        <v>307</v>
      </c>
      <c r="F18" s="183" t="s">
        <v>322</v>
      </c>
      <c r="G18" s="188"/>
      <c r="H18" s="188"/>
      <c r="I18" s="163"/>
    </row>
    <row r="19">
      <c r="B19" s="160">
        <f>B17+1</f>
        <v>13</v>
      </c>
      <c r="C19" s="160">
        <v>1.0</v>
      </c>
      <c r="D19" s="168">
        <v>2.7041797E7</v>
      </c>
      <c r="E19" s="201">
        <v>3.8E8</v>
      </c>
      <c r="F19" s="202">
        <f t="shared" ref="F19:F30" si="14">(D19/E19)*100%</f>
        <v>0.07116262368</v>
      </c>
      <c r="G19" s="203"/>
      <c r="H19" s="203"/>
      <c r="I19" s="204"/>
    </row>
    <row r="20">
      <c r="B20" s="125">
        <f t="shared" ref="B20:C20" si="13">sum(B19+1)</f>
        <v>14</v>
      </c>
      <c r="C20" s="125">
        <f t="shared" si="13"/>
        <v>2</v>
      </c>
      <c r="D20" s="166">
        <v>2.587473E7</v>
      </c>
      <c r="E20" s="196">
        <v>4.12E8</v>
      </c>
      <c r="F20" s="205">
        <f t="shared" si="14"/>
        <v>0.06280274272</v>
      </c>
      <c r="G20" s="8"/>
      <c r="H20" s="8"/>
      <c r="I20" s="173"/>
    </row>
    <row r="21">
      <c r="B21" s="160">
        <f t="shared" ref="B21:C21" si="15">sum(B20+1)</f>
        <v>15</v>
      </c>
      <c r="C21" s="160">
        <f t="shared" si="15"/>
        <v>3</v>
      </c>
      <c r="D21" s="168">
        <v>2.9034351E7</v>
      </c>
      <c r="E21" s="198">
        <v>3.32E8</v>
      </c>
      <c r="F21" s="202">
        <f t="shared" si="14"/>
        <v>0.08745286446</v>
      </c>
      <c r="G21" s="203"/>
      <c r="H21" s="203"/>
      <c r="I21" s="204"/>
    </row>
    <row r="22">
      <c r="B22" s="125">
        <f t="shared" ref="B22:C22" si="16">sum(B21+1)</f>
        <v>16</v>
      </c>
      <c r="C22" s="125">
        <f t="shared" si="16"/>
        <v>4</v>
      </c>
      <c r="D22" s="166">
        <v>2.7853051E7</v>
      </c>
      <c r="E22" s="196">
        <v>3.88E8</v>
      </c>
      <c r="F22" s="205">
        <f t="shared" si="14"/>
        <v>0.07178621392</v>
      </c>
      <c r="G22" s="8"/>
      <c r="H22" s="8"/>
      <c r="I22" s="173"/>
    </row>
    <row r="23">
      <c r="B23" s="160">
        <f t="shared" ref="B23:C23" si="17">sum(B22+1)</f>
        <v>17</v>
      </c>
      <c r="C23" s="160">
        <f t="shared" si="17"/>
        <v>5</v>
      </c>
      <c r="D23" s="168">
        <v>2.6643287E7</v>
      </c>
      <c r="E23" s="198">
        <v>4.4664E8</v>
      </c>
      <c r="F23" s="202">
        <f t="shared" si="14"/>
        <v>0.05965271136</v>
      </c>
      <c r="G23" s="203"/>
      <c r="H23" s="203"/>
      <c r="I23" s="204"/>
    </row>
    <row r="24">
      <c r="B24" s="125">
        <f t="shared" ref="B24:C24" si="18">sum(B23+1)</f>
        <v>18</v>
      </c>
      <c r="C24" s="125">
        <f t="shared" si="18"/>
        <v>6</v>
      </c>
      <c r="D24" s="166">
        <v>2.5405057E7</v>
      </c>
      <c r="E24" s="196">
        <v>3.4E8</v>
      </c>
      <c r="F24" s="205">
        <f t="shared" si="14"/>
        <v>0.07472075588</v>
      </c>
      <c r="G24" s="8"/>
      <c r="H24" s="8"/>
      <c r="I24" s="173"/>
    </row>
    <row r="25">
      <c r="B25" s="160">
        <f t="shared" ref="B25:C25" si="19">sum(B24+1)</f>
        <v>19</v>
      </c>
      <c r="C25" s="160">
        <f t="shared" si="19"/>
        <v>7</v>
      </c>
      <c r="D25" s="168">
        <v>2.564701E7</v>
      </c>
      <c r="E25" s="198">
        <v>4.04E8</v>
      </c>
      <c r="F25" s="202">
        <f t="shared" si="14"/>
        <v>0.06348269802</v>
      </c>
      <c r="G25" s="203"/>
      <c r="H25" s="203"/>
      <c r="I25" s="204"/>
    </row>
    <row r="26">
      <c r="B26" s="125">
        <f t="shared" ref="B26:C26" si="20">sum(B25+1)</f>
        <v>20</v>
      </c>
      <c r="C26" s="125">
        <f t="shared" si="20"/>
        <v>8</v>
      </c>
      <c r="D26" s="166">
        <v>2.7411843E7</v>
      </c>
      <c r="E26" s="196">
        <v>3.64E8</v>
      </c>
      <c r="F26" s="205">
        <f t="shared" si="14"/>
        <v>0.07530726099</v>
      </c>
      <c r="G26" s="8"/>
      <c r="H26" s="8"/>
      <c r="I26" s="173"/>
    </row>
    <row r="27">
      <c r="B27" s="160">
        <f t="shared" ref="B27:C27" si="21">sum(B26+1)</f>
        <v>21</v>
      </c>
      <c r="C27" s="160">
        <f t="shared" si="21"/>
        <v>9</v>
      </c>
      <c r="D27" s="168">
        <v>2.9205141E7</v>
      </c>
      <c r="E27" s="198">
        <v>3.96E8</v>
      </c>
      <c r="F27" s="202">
        <f t="shared" si="14"/>
        <v>0.07375035606</v>
      </c>
      <c r="G27" s="203"/>
      <c r="H27" s="203"/>
      <c r="I27" s="204"/>
    </row>
    <row r="28">
      <c r="B28" s="125">
        <f t="shared" ref="B28:C28" si="22">sum(B27+1)</f>
        <v>22</v>
      </c>
      <c r="C28" s="125">
        <f t="shared" si="22"/>
        <v>10</v>
      </c>
      <c r="D28" s="166">
        <v>3.1026904E7</v>
      </c>
      <c r="E28" s="196">
        <v>3.72E8</v>
      </c>
      <c r="F28" s="205">
        <f t="shared" si="14"/>
        <v>0.08340565591</v>
      </c>
      <c r="G28" s="8"/>
      <c r="H28" s="8"/>
      <c r="I28" s="173"/>
    </row>
    <row r="29">
      <c r="B29" s="160">
        <f t="shared" ref="B29:C29" si="23">sum(B28+1)</f>
        <v>23</v>
      </c>
      <c r="C29" s="160">
        <f t="shared" si="23"/>
        <v>11</v>
      </c>
      <c r="D29" s="168">
        <v>3.444271E7</v>
      </c>
      <c r="E29" s="198">
        <v>3.56E8</v>
      </c>
      <c r="F29" s="202">
        <f t="shared" si="14"/>
        <v>0.09674918539</v>
      </c>
      <c r="G29" s="203"/>
      <c r="H29" s="203"/>
      <c r="I29" s="204"/>
    </row>
    <row r="30">
      <c r="B30" s="125">
        <f t="shared" ref="B30:C30" si="24">sum(B29+1)</f>
        <v>24</v>
      </c>
      <c r="C30" s="125">
        <f t="shared" si="24"/>
        <v>12</v>
      </c>
      <c r="D30" s="166">
        <v>4.8974119E7</v>
      </c>
      <c r="E30" s="196">
        <v>3.48E8</v>
      </c>
      <c r="F30" s="205">
        <f t="shared" si="14"/>
        <v>0.140730227</v>
      </c>
      <c r="G30" s="8"/>
      <c r="H30" s="8"/>
      <c r="I30" s="173"/>
    </row>
    <row r="31">
      <c r="B31" s="206" t="s">
        <v>293</v>
      </c>
      <c r="C31" s="207" t="s">
        <v>321</v>
      </c>
      <c r="D31" s="208" t="s">
        <v>306</v>
      </c>
      <c r="E31" s="83" t="s">
        <v>307</v>
      </c>
      <c r="F31" s="209" t="s">
        <v>322</v>
      </c>
      <c r="G31" s="191"/>
      <c r="H31" s="191"/>
      <c r="I31" s="192"/>
    </row>
    <row r="32">
      <c r="B32" s="125">
        <f>B30+1</f>
        <v>25</v>
      </c>
      <c r="C32" s="210">
        <v>1.0</v>
      </c>
      <c r="D32" s="166">
        <v>1.4864844E7</v>
      </c>
      <c r="E32" s="211">
        <v>4.63E8</v>
      </c>
      <c r="F32" s="205">
        <f t="shared" ref="F32:F43" si="26">(D32/E32)*100%</f>
        <v>0.0321054946</v>
      </c>
      <c r="G32" s="8"/>
      <c r="H32" s="8"/>
      <c r="I32" s="173"/>
    </row>
    <row r="33">
      <c r="B33" s="160">
        <f t="shared" ref="B33:C33" si="25">sum(B32+1)</f>
        <v>26</v>
      </c>
      <c r="C33" s="212">
        <f t="shared" si="25"/>
        <v>2</v>
      </c>
      <c r="D33" s="168">
        <v>1.4223308E7</v>
      </c>
      <c r="E33" s="213">
        <v>4.82E8</v>
      </c>
      <c r="F33" s="202">
        <f t="shared" si="26"/>
        <v>0.02950893776</v>
      </c>
      <c r="G33" s="203"/>
      <c r="H33" s="203"/>
      <c r="I33" s="204"/>
    </row>
    <row r="34">
      <c r="B34" s="125">
        <f t="shared" ref="B34:C34" si="27">sum(B33+1)</f>
        <v>27</v>
      </c>
      <c r="C34" s="210">
        <f t="shared" si="27"/>
        <v>3</v>
      </c>
      <c r="D34" s="166">
        <v>1.5960148E7</v>
      </c>
      <c r="E34" s="211">
        <v>4.25E8</v>
      </c>
      <c r="F34" s="205">
        <f t="shared" si="26"/>
        <v>0.03755328941</v>
      </c>
      <c r="G34" s="8"/>
      <c r="H34" s="8"/>
      <c r="I34" s="173"/>
    </row>
    <row r="35">
      <c r="B35" s="160">
        <f t="shared" ref="B35:C35" si="28">sum(B34+1)</f>
        <v>28</v>
      </c>
      <c r="C35" s="212">
        <f t="shared" si="28"/>
        <v>4</v>
      </c>
      <c r="D35" s="168">
        <v>1.5310789E7</v>
      </c>
      <c r="E35" s="213">
        <v>4.345E8</v>
      </c>
      <c r="F35" s="202">
        <f t="shared" si="26"/>
        <v>0.03523771922</v>
      </c>
      <c r="G35" s="203"/>
      <c r="H35" s="203"/>
      <c r="I35" s="204"/>
    </row>
    <row r="36">
      <c r="B36" s="125">
        <f t="shared" ref="B36:C36" si="29">sum(B35+1)</f>
        <v>29</v>
      </c>
      <c r="C36" s="210">
        <f t="shared" si="29"/>
        <v>5</v>
      </c>
      <c r="D36" s="166">
        <v>1.4645783E7</v>
      </c>
      <c r="E36" s="211">
        <v>4.86600002E8</v>
      </c>
      <c r="F36" s="205">
        <f t="shared" si="26"/>
        <v>0.03009819757</v>
      </c>
      <c r="G36" s="8"/>
      <c r="H36" s="8"/>
      <c r="I36" s="173"/>
    </row>
    <row r="37">
      <c r="B37" s="160">
        <f t="shared" ref="B37:C37" si="30">sum(B36+1)</f>
        <v>30</v>
      </c>
      <c r="C37" s="212">
        <f t="shared" si="30"/>
        <v>6</v>
      </c>
      <c r="D37" s="168">
        <v>1.3965129E7</v>
      </c>
      <c r="E37" s="213">
        <v>3.965E8</v>
      </c>
      <c r="F37" s="202">
        <f t="shared" si="26"/>
        <v>0.03522100631</v>
      </c>
      <c r="G37" s="203"/>
      <c r="H37" s="203"/>
      <c r="I37" s="204"/>
    </row>
    <row r="38">
      <c r="B38" s="125">
        <f t="shared" ref="B38:C38" si="31">sum(B37+1)</f>
        <v>31</v>
      </c>
      <c r="C38" s="210">
        <f t="shared" si="31"/>
        <v>7</v>
      </c>
      <c r="D38" s="166">
        <v>1.4098131E7</v>
      </c>
      <c r="E38" s="211">
        <v>3.87E8</v>
      </c>
      <c r="F38" s="205">
        <f t="shared" si="26"/>
        <v>0.03642927907</v>
      </c>
      <c r="G38" s="8"/>
      <c r="H38" s="8"/>
      <c r="I38" s="173"/>
    </row>
    <row r="39">
      <c r="B39" s="160">
        <f t="shared" ref="B39:C39" si="32">sum(B38+1)</f>
        <v>32</v>
      </c>
      <c r="C39" s="212">
        <f t="shared" si="32"/>
        <v>8</v>
      </c>
      <c r="D39" s="168">
        <v>1.5068257E7</v>
      </c>
      <c r="E39" s="213">
        <v>4.06E8</v>
      </c>
      <c r="F39" s="202">
        <f t="shared" si="26"/>
        <v>0.0371139335</v>
      </c>
      <c r="G39" s="203"/>
      <c r="H39" s="203"/>
      <c r="I39" s="204"/>
    </row>
    <row r="40">
      <c r="B40" s="125">
        <f t="shared" ref="B40:C40" si="33">sum(B39+1)</f>
        <v>33</v>
      </c>
      <c r="C40" s="210">
        <f t="shared" si="33"/>
        <v>9</v>
      </c>
      <c r="D40" s="166">
        <v>1.6054031E7</v>
      </c>
      <c r="E40" s="211">
        <v>4.535E8</v>
      </c>
      <c r="F40" s="205">
        <f t="shared" si="26"/>
        <v>0.03540028886</v>
      </c>
      <c r="G40" s="8"/>
      <c r="H40" s="8"/>
      <c r="I40" s="173"/>
    </row>
    <row r="41">
      <c r="B41" s="160">
        <f t="shared" ref="B41:C41" si="34">sum(B40+1)</f>
        <v>34</v>
      </c>
      <c r="C41" s="212">
        <f t="shared" si="34"/>
        <v>10</v>
      </c>
      <c r="D41" s="168">
        <v>1.7055452E7</v>
      </c>
      <c r="E41" s="213">
        <v>4.44E8</v>
      </c>
      <c r="F41" s="202">
        <f t="shared" si="26"/>
        <v>0.03841318018</v>
      </c>
      <c r="G41" s="203"/>
      <c r="H41" s="203"/>
      <c r="I41" s="204"/>
    </row>
    <row r="42">
      <c r="B42" s="125">
        <f t="shared" ref="B42:C42" si="35">sum(B41+1)</f>
        <v>35</v>
      </c>
      <c r="C42" s="210">
        <f t="shared" si="35"/>
        <v>11</v>
      </c>
      <c r="D42" s="166">
        <v>1.8933117E7</v>
      </c>
      <c r="E42" s="211">
        <v>4.725E8</v>
      </c>
      <c r="F42" s="205">
        <f t="shared" si="26"/>
        <v>0.04007008889</v>
      </c>
      <c r="G42" s="8"/>
      <c r="H42" s="8"/>
      <c r="I42" s="173"/>
    </row>
    <row r="43">
      <c r="B43" s="160">
        <f t="shared" ref="B43:C43" si="36">sum(B42+1)</f>
        <v>36</v>
      </c>
      <c r="C43" s="214">
        <f t="shared" si="36"/>
        <v>12</v>
      </c>
      <c r="D43" s="168">
        <v>2.6921014E7</v>
      </c>
      <c r="E43" s="213">
        <v>4.155E8</v>
      </c>
      <c r="F43" s="202">
        <f t="shared" si="26"/>
        <v>0.06479185078</v>
      </c>
      <c r="G43" s="203"/>
      <c r="H43" s="203"/>
      <c r="I43" s="204"/>
    </row>
    <row r="44">
      <c r="B44" s="215" t="s">
        <v>293</v>
      </c>
      <c r="C44" s="216" t="s">
        <v>321</v>
      </c>
      <c r="D44" s="217" t="s">
        <v>306</v>
      </c>
      <c r="E44" s="83" t="s">
        <v>307</v>
      </c>
      <c r="F44" s="209" t="s">
        <v>322</v>
      </c>
      <c r="G44" s="188"/>
      <c r="H44" s="188"/>
      <c r="I44" s="163"/>
    </row>
    <row r="45">
      <c r="B45" s="160">
        <f>B43+1</f>
        <v>37</v>
      </c>
      <c r="C45" s="214">
        <v>1.0</v>
      </c>
      <c r="D45" s="218">
        <v>1.268527E7</v>
      </c>
      <c r="E45" s="213">
        <v>4.21E8</v>
      </c>
      <c r="F45" s="202">
        <f t="shared" ref="F45:F56" si="38">(D45/E45)*100%</f>
        <v>0.03013128266</v>
      </c>
      <c r="G45" s="203"/>
      <c r="H45" s="203"/>
      <c r="I45" s="204"/>
    </row>
    <row r="46">
      <c r="B46" s="125">
        <f t="shared" ref="B46:C46" si="37">sum(B45+1)</f>
        <v>38</v>
      </c>
      <c r="C46" s="219">
        <f t="shared" si="37"/>
        <v>2</v>
      </c>
      <c r="D46" s="220">
        <v>1.21378E7</v>
      </c>
      <c r="E46" s="211">
        <v>4.42E8</v>
      </c>
      <c r="F46" s="205">
        <f t="shared" si="38"/>
        <v>0.02746108597</v>
      </c>
      <c r="G46" s="8"/>
      <c r="H46" s="8"/>
      <c r="I46" s="173"/>
    </row>
    <row r="47">
      <c r="B47" s="160">
        <f t="shared" ref="B47:C47" si="39">sum(B46+1)</f>
        <v>39</v>
      </c>
      <c r="C47" s="214">
        <f t="shared" si="39"/>
        <v>3</v>
      </c>
      <c r="D47" s="200">
        <v>1.3619974E7</v>
      </c>
      <c r="E47" s="213">
        <v>3.79E8</v>
      </c>
      <c r="F47" s="202">
        <f t="shared" si="38"/>
        <v>0.03593660686</v>
      </c>
      <c r="G47" s="203"/>
      <c r="H47" s="203"/>
      <c r="I47" s="204"/>
    </row>
    <row r="48">
      <c r="B48" s="125">
        <f t="shared" ref="B48:C48" si="40">sum(B47+1)</f>
        <v>40</v>
      </c>
      <c r="C48" s="219">
        <f t="shared" si="40"/>
        <v>4</v>
      </c>
      <c r="D48" s="175">
        <v>1.3065828E7</v>
      </c>
      <c r="E48" s="211">
        <v>4.63E8</v>
      </c>
      <c r="F48" s="205">
        <f t="shared" si="38"/>
        <v>0.02821993089</v>
      </c>
      <c r="G48" s="8"/>
      <c r="H48" s="8"/>
      <c r="I48" s="173"/>
    </row>
    <row r="49">
      <c r="B49" s="160">
        <f t="shared" ref="B49:C49" si="41">sum(B48+1)</f>
        <v>41</v>
      </c>
      <c r="C49" s="214">
        <f t="shared" si="41"/>
        <v>5</v>
      </c>
      <c r="D49" s="200">
        <v>1.2498329E7</v>
      </c>
      <c r="E49" s="213">
        <v>4.105E8</v>
      </c>
      <c r="F49" s="202">
        <f t="shared" si="38"/>
        <v>0.03044659927</v>
      </c>
      <c r="G49" s="203"/>
      <c r="H49" s="203"/>
      <c r="I49" s="204"/>
    </row>
    <row r="50">
      <c r="B50" s="125">
        <f t="shared" ref="B50:C50" si="42">sum(B49+1)</f>
        <v>42</v>
      </c>
      <c r="C50" s="219">
        <f t="shared" si="42"/>
        <v>6</v>
      </c>
      <c r="D50" s="175">
        <v>1.1917477E7</v>
      </c>
      <c r="E50" s="211">
        <v>3.685E8</v>
      </c>
      <c r="F50" s="205">
        <f t="shared" si="38"/>
        <v>0.03234050746</v>
      </c>
      <c r="G50" s="8"/>
      <c r="H50" s="8"/>
      <c r="I50" s="173"/>
    </row>
    <row r="51">
      <c r="B51" s="160">
        <f t="shared" ref="B51:C51" si="43">sum(B50+1)</f>
        <v>43</v>
      </c>
      <c r="C51" s="214">
        <f t="shared" si="43"/>
        <v>7</v>
      </c>
      <c r="D51" s="200">
        <v>1.2030977E7</v>
      </c>
      <c r="E51" s="213">
        <v>4.841E8</v>
      </c>
      <c r="F51" s="202">
        <f t="shared" si="38"/>
        <v>0.02485225573</v>
      </c>
      <c r="G51" s="203"/>
      <c r="H51" s="203"/>
      <c r="I51" s="204"/>
    </row>
    <row r="52">
      <c r="B52" s="125">
        <f t="shared" ref="B52:C52" si="44">sum(B51+1)</f>
        <v>44</v>
      </c>
      <c r="C52" s="219">
        <f t="shared" si="44"/>
        <v>8</v>
      </c>
      <c r="D52" s="175">
        <v>1.2858858E7</v>
      </c>
      <c r="E52" s="211">
        <v>4.315E8</v>
      </c>
      <c r="F52" s="205">
        <f t="shared" si="38"/>
        <v>0.02980036616</v>
      </c>
      <c r="G52" s="8"/>
      <c r="H52" s="8"/>
      <c r="I52" s="173"/>
    </row>
    <row r="53">
      <c r="B53" s="160">
        <f t="shared" ref="B53:C53" si="45">sum(B52+1)</f>
        <v>45</v>
      </c>
      <c r="C53" s="214">
        <f t="shared" si="45"/>
        <v>9</v>
      </c>
      <c r="D53" s="200">
        <v>1.3700091E7</v>
      </c>
      <c r="E53" s="213">
        <v>4.0E8</v>
      </c>
      <c r="F53" s="202">
        <f t="shared" si="38"/>
        <v>0.0342502275</v>
      </c>
      <c r="G53" s="203"/>
      <c r="H53" s="203"/>
      <c r="I53" s="204"/>
    </row>
    <row r="54">
      <c r="B54" s="125">
        <f t="shared" ref="B54:C54" si="46">sum(B53+1)</f>
        <v>46</v>
      </c>
      <c r="C54" s="219">
        <f t="shared" si="46"/>
        <v>10</v>
      </c>
      <c r="D54" s="175">
        <v>1.4554678E7</v>
      </c>
      <c r="E54" s="211">
        <v>4.735E8</v>
      </c>
      <c r="F54" s="205">
        <f t="shared" si="38"/>
        <v>0.0307384963</v>
      </c>
      <c r="G54" s="8"/>
      <c r="H54" s="8"/>
      <c r="I54" s="173"/>
    </row>
    <row r="55">
      <c r="B55" s="160">
        <f t="shared" ref="B55:C55" si="47">sum(B54+1)</f>
        <v>47</v>
      </c>
      <c r="C55" s="214">
        <f t="shared" si="47"/>
        <v>11</v>
      </c>
      <c r="D55" s="200">
        <v>1.6157028E7</v>
      </c>
      <c r="E55" s="213">
        <v>3.895E8</v>
      </c>
      <c r="F55" s="202">
        <f t="shared" si="38"/>
        <v>0.04148145828</v>
      </c>
      <c r="G55" s="203"/>
      <c r="H55" s="203"/>
      <c r="I55" s="204"/>
    </row>
    <row r="56">
      <c r="B56" s="125">
        <f t="shared" ref="B56:C56" si="48">sum(B55+1)</f>
        <v>48</v>
      </c>
      <c r="C56" s="219">
        <f t="shared" si="48"/>
        <v>12</v>
      </c>
      <c r="D56" s="175">
        <v>2.297369E7</v>
      </c>
      <c r="E56" s="211">
        <v>4.525E8</v>
      </c>
      <c r="F56" s="205">
        <f t="shared" si="38"/>
        <v>0.05077058564</v>
      </c>
      <c r="G56" s="8"/>
      <c r="H56" s="8"/>
      <c r="I56" s="173"/>
    </row>
  </sheetData>
  <mergeCells count="54">
    <mergeCell ref="B1:I3"/>
    <mergeCell ref="G4:I4"/>
    <mergeCell ref="F5:I5"/>
    <mergeCell ref="F6:I6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F35:I35"/>
    <mergeCell ref="F36:I36"/>
    <mergeCell ref="F37:I37"/>
    <mergeCell ref="F38:I38"/>
    <mergeCell ref="F39:I39"/>
    <mergeCell ref="F40:I40"/>
    <mergeCell ref="F41:I41"/>
    <mergeCell ref="F42:I42"/>
    <mergeCell ref="F43:I43"/>
    <mergeCell ref="F44:I44"/>
    <mergeCell ref="F52:I52"/>
    <mergeCell ref="F53:I53"/>
    <mergeCell ref="F54:I54"/>
    <mergeCell ref="F55:I55"/>
    <mergeCell ref="F56:I56"/>
    <mergeCell ref="F45:I45"/>
    <mergeCell ref="F46:I46"/>
    <mergeCell ref="F47:I47"/>
    <mergeCell ref="F48:I48"/>
    <mergeCell ref="F49:I49"/>
    <mergeCell ref="F50:I50"/>
    <mergeCell ref="F51:I51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6" max="6" width="8.75"/>
    <col customWidth="1" min="7" max="7" width="0.38"/>
    <col customWidth="1" min="11" max="12" width="15.25"/>
  </cols>
  <sheetData>
    <row r="1">
      <c r="C1" s="221" t="s">
        <v>314</v>
      </c>
      <c r="D1" s="69"/>
      <c r="E1" s="69"/>
      <c r="F1" s="69"/>
      <c r="G1" s="69"/>
      <c r="H1" s="107"/>
    </row>
    <row r="2">
      <c r="C2" s="74"/>
      <c r="H2" s="108"/>
    </row>
    <row r="3">
      <c r="C3" s="74"/>
      <c r="H3" s="108"/>
    </row>
    <row r="4">
      <c r="C4" s="78"/>
      <c r="D4" s="79"/>
      <c r="E4" s="79"/>
      <c r="F4" s="80"/>
      <c r="G4" s="195" t="s">
        <v>315</v>
      </c>
      <c r="H4" s="108"/>
    </row>
    <row r="5">
      <c r="C5" s="83" t="s">
        <v>293</v>
      </c>
      <c r="D5" s="84" t="s">
        <v>321</v>
      </c>
      <c r="E5" s="222" t="s">
        <v>316</v>
      </c>
      <c r="F5" s="223" t="s">
        <v>317</v>
      </c>
      <c r="G5" s="224" t="s">
        <v>323</v>
      </c>
      <c r="H5" s="185"/>
    </row>
    <row r="6">
      <c r="C6" s="125">
        <v>1.0</v>
      </c>
      <c r="D6" s="125">
        <v>1.0</v>
      </c>
      <c r="E6" s="225">
        <v>61.0</v>
      </c>
      <c r="F6" s="226">
        <v>20.0</v>
      </c>
      <c r="G6" s="227">
        <v>41.0</v>
      </c>
      <c r="H6" s="163"/>
    </row>
    <row r="7">
      <c r="C7" s="160">
        <f t="shared" ref="C7:D7" si="1">sum(C6+1)</f>
        <v>2</v>
      </c>
      <c r="D7" s="160">
        <f t="shared" si="1"/>
        <v>2</v>
      </c>
      <c r="E7" s="201">
        <v>60.0</v>
      </c>
      <c r="F7" s="228">
        <v>18.0</v>
      </c>
      <c r="G7" s="229">
        <v>42.0</v>
      </c>
      <c r="H7" s="192"/>
    </row>
    <row r="8">
      <c r="C8" s="125">
        <f t="shared" ref="C8:D8" si="2">sum(C7+1)</f>
        <v>3</v>
      </c>
      <c r="D8" s="125">
        <f t="shared" si="2"/>
        <v>3</v>
      </c>
      <c r="E8" s="225">
        <v>63.0</v>
      </c>
      <c r="F8" s="226">
        <v>22.0</v>
      </c>
      <c r="G8" s="230">
        <v>41.0</v>
      </c>
      <c r="H8" s="163"/>
    </row>
    <row r="9">
      <c r="C9" s="160">
        <f t="shared" ref="C9:D9" si="3">sum(C8+1)</f>
        <v>4</v>
      </c>
      <c r="D9" s="160">
        <f t="shared" si="3"/>
        <v>4</v>
      </c>
      <c r="E9" s="201">
        <v>58.0</v>
      </c>
      <c r="F9" s="228">
        <v>18.0</v>
      </c>
      <c r="G9" s="229">
        <v>40.0</v>
      </c>
      <c r="H9" s="192"/>
    </row>
    <row r="10">
      <c r="C10" s="125">
        <f t="shared" ref="C10:D10" si="4">sum(C9+1)</f>
        <v>5</v>
      </c>
      <c r="D10" s="125">
        <f t="shared" si="4"/>
        <v>5</v>
      </c>
      <c r="E10" s="225">
        <v>56.0</v>
      </c>
      <c r="F10" s="226">
        <v>13.0</v>
      </c>
      <c r="G10" s="230">
        <v>43.0</v>
      </c>
      <c r="H10" s="163"/>
    </row>
    <row r="11">
      <c r="C11" s="160">
        <f t="shared" ref="C11:D11" si="5">sum(C10+1)</f>
        <v>6</v>
      </c>
      <c r="D11" s="160">
        <f t="shared" si="5"/>
        <v>6</v>
      </c>
      <c r="E11" s="201">
        <v>67.0</v>
      </c>
      <c r="F11" s="228">
        <v>27.0</v>
      </c>
      <c r="G11" s="229">
        <v>40.0</v>
      </c>
      <c r="H11" s="192"/>
    </row>
    <row r="12">
      <c r="C12" s="125">
        <f t="shared" ref="C12:D12" si="6">sum(C11+1)</f>
        <v>7</v>
      </c>
      <c r="D12" s="125">
        <f t="shared" si="6"/>
        <v>7</v>
      </c>
      <c r="E12" s="225">
        <v>57.0</v>
      </c>
      <c r="F12" s="226">
        <v>15.0</v>
      </c>
      <c r="G12" s="230">
        <v>42.0</v>
      </c>
      <c r="H12" s="163"/>
    </row>
    <row r="13">
      <c r="C13" s="160">
        <f t="shared" ref="C13:D13" si="7">sum(C12+1)</f>
        <v>8</v>
      </c>
      <c r="D13" s="160">
        <f t="shared" si="7"/>
        <v>8</v>
      </c>
      <c r="E13" s="201">
        <v>62.0</v>
      </c>
      <c r="F13" s="228">
        <v>23.0</v>
      </c>
      <c r="G13" s="229">
        <v>39.0</v>
      </c>
      <c r="H13" s="192"/>
    </row>
    <row r="14">
      <c r="C14" s="125">
        <f t="shared" ref="C14:D14" si="8">sum(C13+1)</f>
        <v>9</v>
      </c>
      <c r="D14" s="125">
        <f t="shared" si="8"/>
        <v>9</v>
      </c>
      <c r="E14" s="225">
        <v>56.0</v>
      </c>
      <c r="F14" s="226">
        <v>14.0</v>
      </c>
      <c r="G14" s="230">
        <v>42.0</v>
      </c>
      <c r="H14" s="163"/>
    </row>
    <row r="15">
      <c r="C15" s="160">
        <f t="shared" ref="C15:D15" si="9">sum(C14+1)</f>
        <v>10</v>
      </c>
      <c r="D15" s="160">
        <f t="shared" si="9"/>
        <v>10</v>
      </c>
      <c r="E15" s="201">
        <v>59.0</v>
      </c>
      <c r="F15" s="228">
        <v>18.0</v>
      </c>
      <c r="G15" s="229">
        <v>41.0</v>
      </c>
      <c r="H15" s="192"/>
    </row>
    <row r="16">
      <c r="C16" s="125">
        <f t="shared" ref="C16:D16" si="10">sum(C15+1)</f>
        <v>11</v>
      </c>
      <c r="D16" s="125">
        <f t="shared" si="10"/>
        <v>11</v>
      </c>
      <c r="E16" s="225">
        <v>61.0</v>
      </c>
      <c r="F16" s="226">
        <v>21.0</v>
      </c>
      <c r="G16" s="230">
        <v>40.0</v>
      </c>
      <c r="H16" s="163"/>
    </row>
    <row r="17">
      <c r="C17" s="160">
        <f t="shared" ref="C17:D17" si="11">sum(C16+1)</f>
        <v>12</v>
      </c>
      <c r="D17" s="160">
        <f t="shared" si="11"/>
        <v>12</v>
      </c>
      <c r="E17" s="201">
        <v>58.0</v>
      </c>
      <c r="F17" s="228">
        <v>17.0</v>
      </c>
      <c r="G17" s="229">
        <v>41.0</v>
      </c>
      <c r="H17" s="192"/>
    </row>
    <row r="18">
      <c r="C18" s="83" t="s">
        <v>293</v>
      </c>
      <c r="D18" s="84" t="s">
        <v>321</v>
      </c>
      <c r="E18" s="222" t="s">
        <v>316</v>
      </c>
      <c r="F18" s="223" t="s">
        <v>317</v>
      </c>
      <c r="G18" s="224" t="s">
        <v>323</v>
      </c>
      <c r="H18" s="163"/>
    </row>
    <row r="19">
      <c r="C19" s="160">
        <f>C17+1</f>
        <v>13</v>
      </c>
      <c r="D19" s="160">
        <v>1.0</v>
      </c>
      <c r="E19" s="231">
        <v>59.0</v>
      </c>
      <c r="F19" s="232">
        <v>10.0</v>
      </c>
      <c r="G19" s="233">
        <v>49.0</v>
      </c>
      <c r="H19" s="192"/>
    </row>
    <row r="20">
      <c r="C20" s="125">
        <f t="shared" ref="C20:D20" si="12">sum(C19+1)</f>
        <v>14</v>
      </c>
      <c r="D20" s="125">
        <f t="shared" si="12"/>
        <v>2</v>
      </c>
      <c r="E20" s="234">
        <v>63.0</v>
      </c>
      <c r="F20" s="235">
        <v>12.0</v>
      </c>
      <c r="G20" s="236">
        <v>51.0</v>
      </c>
      <c r="H20" s="163"/>
    </row>
    <row r="21">
      <c r="C21" s="160">
        <f t="shared" ref="C21:D21" si="13">sum(C20+1)</f>
        <v>15</v>
      </c>
      <c r="D21" s="160">
        <f t="shared" si="13"/>
        <v>3</v>
      </c>
      <c r="E21" s="231">
        <v>58.0</v>
      </c>
      <c r="F21" s="232">
        <v>11.0</v>
      </c>
      <c r="G21" s="233">
        <v>47.0</v>
      </c>
      <c r="H21" s="192"/>
    </row>
    <row r="22">
      <c r="C22" s="125">
        <f t="shared" ref="C22:D22" si="14">sum(C21+1)</f>
        <v>16</v>
      </c>
      <c r="D22" s="125">
        <f t="shared" si="14"/>
        <v>4</v>
      </c>
      <c r="E22" s="234">
        <v>61.0</v>
      </c>
      <c r="F22" s="235">
        <v>12.0</v>
      </c>
      <c r="G22" s="236">
        <v>49.0</v>
      </c>
      <c r="H22" s="163"/>
    </row>
    <row r="23">
      <c r="C23" s="160">
        <f t="shared" ref="C23:D23" si="15">sum(C22+1)</f>
        <v>17</v>
      </c>
      <c r="D23" s="160">
        <f t="shared" si="15"/>
        <v>5</v>
      </c>
      <c r="E23" s="231">
        <v>56.0</v>
      </c>
      <c r="F23" s="232">
        <v>7.0</v>
      </c>
      <c r="G23" s="233">
        <v>49.0</v>
      </c>
      <c r="H23" s="192"/>
    </row>
    <row r="24">
      <c r="C24" s="125">
        <f t="shared" ref="C24:D24" si="16">sum(C23+1)</f>
        <v>18</v>
      </c>
      <c r="D24" s="125">
        <f t="shared" si="16"/>
        <v>6</v>
      </c>
      <c r="E24" s="234">
        <v>65.0</v>
      </c>
      <c r="F24" s="235">
        <v>16.0</v>
      </c>
      <c r="G24" s="236">
        <v>49.0</v>
      </c>
      <c r="H24" s="163"/>
    </row>
    <row r="25">
      <c r="C25" s="160">
        <f t="shared" ref="C25:D25" si="17">sum(C24+1)</f>
        <v>19</v>
      </c>
      <c r="D25" s="160">
        <f t="shared" si="17"/>
        <v>7</v>
      </c>
      <c r="E25" s="231">
        <v>62.0</v>
      </c>
      <c r="F25" s="232">
        <v>9.0</v>
      </c>
      <c r="G25" s="233">
        <v>53.0</v>
      </c>
      <c r="H25" s="192"/>
    </row>
    <row r="26">
      <c r="C26" s="125">
        <f t="shared" ref="C26:D26" si="18">sum(C25+1)</f>
        <v>20</v>
      </c>
      <c r="D26" s="125">
        <f t="shared" si="18"/>
        <v>8</v>
      </c>
      <c r="E26" s="234">
        <v>57.0</v>
      </c>
      <c r="F26" s="235">
        <v>8.0</v>
      </c>
      <c r="G26" s="236">
        <v>49.0</v>
      </c>
      <c r="H26" s="163"/>
    </row>
    <row r="27">
      <c r="C27" s="160">
        <f t="shared" ref="C27:D27" si="19">sum(C26+1)</f>
        <v>21</v>
      </c>
      <c r="D27" s="160">
        <f t="shared" si="19"/>
        <v>9</v>
      </c>
      <c r="E27" s="231">
        <v>66.0</v>
      </c>
      <c r="F27" s="232">
        <v>21.0</v>
      </c>
      <c r="G27" s="233">
        <v>45.0</v>
      </c>
      <c r="H27" s="192"/>
    </row>
    <row r="28">
      <c r="C28" s="125">
        <f t="shared" ref="C28:D28" si="20">sum(C27+1)</f>
        <v>22</v>
      </c>
      <c r="D28" s="125">
        <f t="shared" si="20"/>
        <v>10</v>
      </c>
      <c r="E28" s="234">
        <v>60.0</v>
      </c>
      <c r="F28" s="235">
        <v>11.0</v>
      </c>
      <c r="G28" s="236">
        <v>49.0</v>
      </c>
      <c r="H28" s="163"/>
    </row>
    <row r="29">
      <c r="C29" s="160">
        <f t="shared" ref="C29:D29" si="21">sum(C28+1)</f>
        <v>23</v>
      </c>
      <c r="D29" s="160">
        <f t="shared" si="21"/>
        <v>11</v>
      </c>
      <c r="E29" s="231">
        <v>64.0</v>
      </c>
      <c r="F29" s="232">
        <v>15.0</v>
      </c>
      <c r="G29" s="233">
        <v>49.0</v>
      </c>
      <c r="H29" s="192"/>
    </row>
    <row r="30">
      <c r="C30" s="125">
        <f t="shared" ref="C30:D30" si="22">sum(C29+1)</f>
        <v>24</v>
      </c>
      <c r="D30" s="125">
        <f t="shared" si="22"/>
        <v>12</v>
      </c>
      <c r="E30" s="234">
        <v>55.0</v>
      </c>
      <c r="F30" s="235">
        <v>6.0</v>
      </c>
      <c r="G30" s="236">
        <v>49.0</v>
      </c>
      <c r="H30" s="163"/>
    </row>
    <row r="31">
      <c r="C31" s="83" t="s">
        <v>293</v>
      </c>
      <c r="D31" s="84" t="s">
        <v>321</v>
      </c>
      <c r="E31" s="222" t="s">
        <v>316</v>
      </c>
      <c r="F31" s="223" t="s">
        <v>317</v>
      </c>
      <c r="G31" s="224" t="s">
        <v>323</v>
      </c>
      <c r="H31" s="192"/>
    </row>
    <row r="32">
      <c r="C32" s="125">
        <f>C30+1</f>
        <v>25</v>
      </c>
      <c r="D32" s="125">
        <v>1.0</v>
      </c>
      <c r="E32" s="237">
        <v>64.0</v>
      </c>
      <c r="F32" s="235">
        <v>9.0</v>
      </c>
      <c r="G32" s="227">
        <v>55.0</v>
      </c>
      <c r="H32" s="163"/>
    </row>
    <row r="33">
      <c r="C33" s="160">
        <f t="shared" ref="C33:D33" si="23">sum(C32+1)</f>
        <v>26</v>
      </c>
      <c r="D33" s="160">
        <f t="shared" si="23"/>
        <v>2</v>
      </c>
      <c r="E33" s="238">
        <v>67.0</v>
      </c>
      <c r="F33" s="232">
        <v>10.0</v>
      </c>
      <c r="G33" s="239">
        <v>57.0</v>
      </c>
      <c r="H33" s="192"/>
    </row>
    <row r="34">
      <c r="C34" s="125">
        <f t="shared" ref="C34:D34" si="24">sum(C33+1)</f>
        <v>27</v>
      </c>
      <c r="D34" s="125">
        <f t="shared" si="24"/>
        <v>3</v>
      </c>
      <c r="E34" s="237">
        <v>69.0</v>
      </c>
      <c r="F34" s="235">
        <v>10.0</v>
      </c>
      <c r="G34" s="227">
        <v>59.0</v>
      </c>
      <c r="H34" s="163"/>
    </row>
    <row r="35">
      <c r="C35" s="160">
        <f t="shared" ref="C35:D35" si="25">sum(C34+1)</f>
        <v>28</v>
      </c>
      <c r="D35" s="160">
        <f t="shared" si="25"/>
        <v>4</v>
      </c>
      <c r="E35" s="238">
        <v>66.0</v>
      </c>
      <c r="F35" s="232">
        <v>5.0</v>
      </c>
      <c r="G35" s="239">
        <v>61.0</v>
      </c>
      <c r="H35" s="192"/>
    </row>
    <row r="36">
      <c r="C36" s="125">
        <f t="shared" ref="C36:D36" si="26">sum(C35+1)</f>
        <v>29</v>
      </c>
      <c r="D36" s="125">
        <f t="shared" si="26"/>
        <v>5</v>
      </c>
      <c r="E36" s="237">
        <v>70.0</v>
      </c>
      <c r="F36" s="235">
        <v>12.0</v>
      </c>
      <c r="G36" s="227">
        <v>58.0</v>
      </c>
      <c r="H36" s="163"/>
    </row>
    <row r="37">
      <c r="C37" s="160">
        <f t="shared" ref="C37:D37" si="27">sum(C36+1)</f>
        <v>30</v>
      </c>
      <c r="D37" s="160">
        <f t="shared" si="27"/>
        <v>6</v>
      </c>
      <c r="E37" s="238">
        <v>65.0</v>
      </c>
      <c r="F37" s="232">
        <v>5.0</v>
      </c>
      <c r="G37" s="239">
        <v>60.0</v>
      </c>
      <c r="H37" s="192"/>
    </row>
    <row r="38">
      <c r="C38" s="125">
        <f t="shared" ref="C38:D38" si="28">sum(C37+1)</f>
        <v>31</v>
      </c>
      <c r="D38" s="125">
        <f t="shared" si="28"/>
        <v>7</v>
      </c>
      <c r="E38" s="237">
        <v>68.0</v>
      </c>
      <c r="F38" s="235">
        <v>12.0</v>
      </c>
      <c r="G38" s="227">
        <v>56.0</v>
      </c>
      <c r="H38" s="163"/>
    </row>
    <row r="39">
      <c r="C39" s="160">
        <f t="shared" ref="C39:D39" si="29">sum(C38+1)</f>
        <v>32</v>
      </c>
      <c r="D39" s="160">
        <f t="shared" si="29"/>
        <v>8</v>
      </c>
      <c r="E39" s="238">
        <v>64.0</v>
      </c>
      <c r="F39" s="232">
        <v>2.0</v>
      </c>
      <c r="G39" s="239">
        <v>62.0</v>
      </c>
      <c r="H39" s="192"/>
    </row>
    <row r="40">
      <c r="C40" s="125">
        <f t="shared" ref="C40:D40" si="30">sum(C39+1)</f>
        <v>33</v>
      </c>
      <c r="D40" s="125">
        <f t="shared" si="30"/>
        <v>9</v>
      </c>
      <c r="E40" s="237">
        <v>66.0</v>
      </c>
      <c r="F40" s="235">
        <v>8.0</v>
      </c>
      <c r="G40" s="227">
        <v>58.0</v>
      </c>
      <c r="H40" s="163"/>
    </row>
    <row r="41">
      <c r="C41" s="160">
        <f t="shared" ref="C41:D41" si="31">sum(C40+1)</f>
        <v>34</v>
      </c>
      <c r="D41" s="160">
        <f t="shared" si="31"/>
        <v>10</v>
      </c>
      <c r="E41" s="238">
        <v>70.0</v>
      </c>
      <c r="F41" s="232">
        <v>7.0</v>
      </c>
      <c r="G41" s="239">
        <v>63.0</v>
      </c>
      <c r="H41" s="192"/>
    </row>
    <row r="42">
      <c r="C42" s="125">
        <f t="shared" ref="C42:D42" si="32">sum(C41+1)</f>
        <v>35</v>
      </c>
      <c r="D42" s="125">
        <f t="shared" si="32"/>
        <v>11</v>
      </c>
      <c r="E42" s="237">
        <v>69.0</v>
      </c>
      <c r="F42" s="235">
        <v>10.0</v>
      </c>
      <c r="G42" s="227">
        <v>59.0</v>
      </c>
      <c r="H42" s="163"/>
    </row>
    <row r="43">
      <c r="C43" s="160">
        <f t="shared" ref="C43:D43" si="33">sum(C42+1)</f>
        <v>36</v>
      </c>
      <c r="D43" s="160">
        <f t="shared" si="33"/>
        <v>12</v>
      </c>
      <c r="E43" s="238">
        <v>67.0</v>
      </c>
      <c r="F43" s="232">
        <v>7.0</v>
      </c>
      <c r="G43" s="239">
        <v>60.0</v>
      </c>
      <c r="H43" s="192"/>
    </row>
    <row r="44">
      <c r="C44" s="83" t="s">
        <v>293</v>
      </c>
      <c r="D44" s="84" t="s">
        <v>321</v>
      </c>
      <c r="E44" s="222" t="s">
        <v>316</v>
      </c>
      <c r="F44" s="223" t="s">
        <v>317</v>
      </c>
      <c r="G44" s="224" t="s">
        <v>323</v>
      </c>
      <c r="H44" s="163"/>
    </row>
    <row r="45">
      <c r="C45" s="160">
        <f>C43+1</f>
        <v>37</v>
      </c>
      <c r="D45" s="160">
        <v>1.0</v>
      </c>
      <c r="E45" s="238">
        <v>66.0</v>
      </c>
      <c r="F45" s="232">
        <v>16.0</v>
      </c>
      <c r="G45" s="239">
        <v>50.0</v>
      </c>
      <c r="H45" s="192"/>
    </row>
    <row r="46">
      <c r="C46" s="125">
        <f t="shared" ref="C46:D46" si="34">sum(C45+1)</f>
        <v>38</v>
      </c>
      <c r="D46" s="125">
        <f t="shared" si="34"/>
        <v>2</v>
      </c>
      <c r="E46" s="237">
        <v>68.0</v>
      </c>
      <c r="F46" s="235">
        <v>13.0</v>
      </c>
      <c r="G46" s="227">
        <v>55.0</v>
      </c>
      <c r="H46" s="163"/>
    </row>
    <row r="47">
      <c r="C47" s="160">
        <f t="shared" ref="C47:D47" si="35">sum(C46+1)</f>
        <v>39</v>
      </c>
      <c r="D47" s="160">
        <f t="shared" si="35"/>
        <v>3</v>
      </c>
      <c r="E47" s="238">
        <v>70.0</v>
      </c>
      <c r="F47" s="232">
        <v>17.0</v>
      </c>
      <c r="G47" s="239">
        <v>53.0</v>
      </c>
      <c r="H47" s="192"/>
    </row>
    <row r="48">
      <c r="C48" s="125">
        <f t="shared" ref="C48:D48" si="36">sum(C47+1)</f>
        <v>40</v>
      </c>
      <c r="D48" s="125">
        <f t="shared" si="36"/>
        <v>4</v>
      </c>
      <c r="E48" s="237">
        <v>67.0</v>
      </c>
      <c r="F48" s="235">
        <v>13.0</v>
      </c>
      <c r="G48" s="227">
        <v>54.0</v>
      </c>
      <c r="H48" s="163"/>
    </row>
    <row r="49">
      <c r="C49" s="160">
        <f t="shared" ref="C49:D49" si="37">sum(C48+1)</f>
        <v>41</v>
      </c>
      <c r="D49" s="160">
        <f t="shared" si="37"/>
        <v>5</v>
      </c>
      <c r="E49" s="238">
        <v>72.0</v>
      </c>
      <c r="F49" s="232">
        <v>20.0</v>
      </c>
      <c r="G49" s="239">
        <v>52.0</v>
      </c>
      <c r="H49" s="192"/>
    </row>
    <row r="50">
      <c r="C50" s="125">
        <f t="shared" ref="C50:D50" si="38">sum(C49+1)</f>
        <v>42</v>
      </c>
      <c r="D50" s="125">
        <f t="shared" si="38"/>
        <v>6</v>
      </c>
      <c r="E50" s="237">
        <v>69.0</v>
      </c>
      <c r="F50" s="235">
        <v>13.0</v>
      </c>
      <c r="G50" s="227">
        <v>56.0</v>
      </c>
      <c r="H50" s="163"/>
    </row>
    <row r="51">
      <c r="C51" s="160">
        <f t="shared" ref="C51:D51" si="39">sum(C50+1)</f>
        <v>43</v>
      </c>
      <c r="D51" s="160">
        <f t="shared" si="39"/>
        <v>7</v>
      </c>
      <c r="E51" s="238">
        <v>66.0</v>
      </c>
      <c r="F51" s="232">
        <v>11.0</v>
      </c>
      <c r="G51" s="239">
        <v>55.0</v>
      </c>
      <c r="H51" s="192"/>
    </row>
    <row r="52">
      <c r="C52" s="125">
        <f t="shared" ref="C52:D52" si="40">sum(C51+1)</f>
        <v>44</v>
      </c>
      <c r="D52" s="125">
        <f t="shared" si="40"/>
        <v>8</v>
      </c>
      <c r="E52" s="237">
        <v>71.0</v>
      </c>
      <c r="F52" s="235">
        <v>20.0</v>
      </c>
      <c r="G52" s="227">
        <v>51.0</v>
      </c>
      <c r="H52" s="163"/>
    </row>
    <row r="53">
      <c r="C53" s="160">
        <f t="shared" ref="C53:D53" si="41">sum(C52+1)</f>
        <v>45</v>
      </c>
      <c r="D53" s="160">
        <f t="shared" si="41"/>
        <v>9</v>
      </c>
      <c r="E53" s="238">
        <v>68.0</v>
      </c>
      <c r="F53" s="232">
        <v>15.0</v>
      </c>
      <c r="G53" s="239">
        <v>53.0</v>
      </c>
      <c r="H53" s="192"/>
    </row>
    <row r="54">
      <c r="C54" s="125">
        <f t="shared" ref="C54:D54" si="42">sum(C53+1)</f>
        <v>46</v>
      </c>
      <c r="D54" s="125">
        <f t="shared" si="42"/>
        <v>10</v>
      </c>
      <c r="E54" s="237">
        <v>65.0</v>
      </c>
      <c r="F54" s="235">
        <v>10.0</v>
      </c>
      <c r="G54" s="227">
        <v>55.0</v>
      </c>
      <c r="H54" s="163"/>
    </row>
    <row r="55">
      <c r="C55" s="160">
        <f t="shared" ref="C55:D55" si="43">sum(C54+1)</f>
        <v>47</v>
      </c>
      <c r="D55" s="160">
        <f t="shared" si="43"/>
        <v>11</v>
      </c>
      <c r="E55" s="238">
        <v>70.0</v>
      </c>
      <c r="F55" s="232">
        <v>16.0</v>
      </c>
      <c r="G55" s="239">
        <v>54.0</v>
      </c>
      <c r="H55" s="192"/>
    </row>
    <row r="56">
      <c r="C56" s="125">
        <f t="shared" ref="C56:D56" si="44">sum(C55+1)</f>
        <v>48</v>
      </c>
      <c r="D56" s="125">
        <f t="shared" si="44"/>
        <v>12</v>
      </c>
      <c r="E56" s="237">
        <v>68.0</v>
      </c>
      <c r="F56" s="235">
        <v>14.0</v>
      </c>
      <c r="G56" s="227">
        <v>54.0</v>
      </c>
      <c r="H56" s="163"/>
    </row>
  </sheetData>
  <mergeCells count="54">
    <mergeCell ref="C1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52:H52"/>
    <mergeCell ref="G53:H53"/>
    <mergeCell ref="G54:H54"/>
    <mergeCell ref="G55:H55"/>
    <mergeCell ref="G56:H56"/>
    <mergeCell ref="G45:H45"/>
    <mergeCell ref="G46:H46"/>
    <mergeCell ref="G47:H47"/>
    <mergeCell ref="G48:H48"/>
    <mergeCell ref="G49:H49"/>
    <mergeCell ref="G50:H50"/>
    <mergeCell ref="G51:H51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6" max="6" width="8.75"/>
    <col customWidth="1" min="7" max="7" width="0.38"/>
    <col customWidth="1" min="11" max="12" width="15.25"/>
  </cols>
  <sheetData>
    <row r="1">
      <c r="D1" s="68" t="s">
        <v>318</v>
      </c>
      <c r="E1" s="69"/>
      <c r="F1" s="69"/>
      <c r="G1" s="69"/>
      <c r="H1" s="69"/>
      <c r="I1" s="69"/>
      <c r="J1" s="107"/>
    </row>
    <row r="2">
      <c r="D2" s="74"/>
      <c r="J2" s="108"/>
    </row>
    <row r="3">
      <c r="D3" s="74"/>
      <c r="J3" s="108"/>
    </row>
    <row r="4">
      <c r="D4" s="78"/>
      <c r="E4" s="79"/>
      <c r="F4" s="79"/>
      <c r="G4" s="79"/>
      <c r="H4" s="80" t="s">
        <v>319</v>
      </c>
      <c r="J4" s="108"/>
    </row>
    <row r="5">
      <c r="D5" s="83" t="s">
        <v>293</v>
      </c>
      <c r="E5" s="84" t="s">
        <v>321</v>
      </c>
      <c r="F5" s="83" t="s">
        <v>320</v>
      </c>
      <c r="G5" s="183" t="s">
        <v>324</v>
      </c>
      <c r="H5" s="184"/>
      <c r="I5" s="184"/>
      <c r="J5" s="185"/>
    </row>
    <row r="6">
      <c r="D6" s="125">
        <v>1.0</v>
      </c>
      <c r="E6" s="125">
        <v>1.0</v>
      </c>
      <c r="F6" s="240">
        <v>574309.0</v>
      </c>
      <c r="G6" s="241">
        <v>138560.0</v>
      </c>
      <c r="H6" s="188"/>
      <c r="I6" s="188"/>
      <c r="J6" s="163"/>
    </row>
    <row r="7">
      <c r="D7" s="160">
        <f t="shared" ref="D7:E7" si="1">sum(D6+1)</f>
        <v>2</v>
      </c>
      <c r="E7" s="160">
        <f t="shared" si="1"/>
        <v>2</v>
      </c>
      <c r="F7" s="242">
        <v>612278.0</v>
      </c>
      <c r="G7" s="243">
        <f t="shared" ref="G7:G17" si="3">F6-F7</f>
        <v>-37969</v>
      </c>
      <c r="H7" s="191"/>
      <c r="I7" s="191"/>
      <c r="J7" s="192"/>
    </row>
    <row r="8">
      <c r="D8" s="125">
        <f t="shared" ref="D8:E8" si="2">sum(D7+1)</f>
        <v>3</v>
      </c>
      <c r="E8" s="125">
        <f t="shared" si="2"/>
        <v>3</v>
      </c>
      <c r="F8" s="244">
        <v>488163.0</v>
      </c>
      <c r="G8" s="241">
        <f t="shared" si="3"/>
        <v>124115</v>
      </c>
      <c r="H8" s="188"/>
      <c r="I8" s="188"/>
      <c r="J8" s="163"/>
    </row>
    <row r="9">
      <c r="D9" s="160">
        <f t="shared" ref="D9:E9" si="4">sum(D8+1)</f>
        <v>4</v>
      </c>
      <c r="E9" s="160">
        <f t="shared" si="4"/>
        <v>4</v>
      </c>
      <c r="F9" s="242">
        <v>591539.0</v>
      </c>
      <c r="G9" s="243">
        <f t="shared" si="3"/>
        <v>-103376</v>
      </c>
      <c r="H9" s="191"/>
      <c r="I9" s="191"/>
      <c r="J9" s="192"/>
    </row>
    <row r="10">
      <c r="D10" s="125">
        <f t="shared" ref="D10:E10" si="5">sum(D9+1)</f>
        <v>5</v>
      </c>
      <c r="E10" s="125">
        <f t="shared" si="5"/>
        <v>5</v>
      </c>
      <c r="F10" s="244">
        <v>597282.0</v>
      </c>
      <c r="G10" s="241">
        <f t="shared" si="3"/>
        <v>-5743</v>
      </c>
      <c r="H10" s="188"/>
      <c r="I10" s="188"/>
      <c r="J10" s="163"/>
    </row>
    <row r="11">
      <c r="D11" s="160">
        <f t="shared" ref="D11:E11" si="6">sum(D10+1)</f>
        <v>6</v>
      </c>
      <c r="E11" s="160">
        <f t="shared" si="6"/>
        <v>6</v>
      </c>
      <c r="F11" s="242">
        <v>569524.0</v>
      </c>
      <c r="G11" s="243">
        <f t="shared" si="3"/>
        <v>27758</v>
      </c>
      <c r="H11" s="191"/>
      <c r="I11" s="191"/>
      <c r="J11" s="192"/>
    </row>
    <row r="12">
      <c r="D12" s="125">
        <f t="shared" ref="D12:E12" si="7">sum(D11+1)</f>
        <v>7</v>
      </c>
      <c r="E12" s="125">
        <f t="shared" si="7"/>
        <v>7</v>
      </c>
      <c r="F12" s="244">
        <v>574948.0</v>
      </c>
      <c r="G12" s="241">
        <f t="shared" si="3"/>
        <v>-5424</v>
      </c>
      <c r="H12" s="188"/>
      <c r="I12" s="188"/>
      <c r="J12" s="163"/>
    </row>
    <row r="13">
      <c r="D13" s="160">
        <f t="shared" ref="D13:E13" si="8">sum(D12+1)</f>
        <v>8</v>
      </c>
      <c r="E13" s="160">
        <f t="shared" si="8"/>
        <v>8</v>
      </c>
      <c r="F13" s="242">
        <v>648651.0</v>
      </c>
      <c r="G13" s="243">
        <f t="shared" si="3"/>
        <v>-73703</v>
      </c>
      <c r="H13" s="191"/>
      <c r="I13" s="191"/>
      <c r="J13" s="192"/>
    </row>
    <row r="14">
      <c r="D14" s="125">
        <f t="shared" ref="D14:E14" si="9">sum(D13+1)</f>
        <v>9</v>
      </c>
      <c r="E14" s="125">
        <f t="shared" si="9"/>
        <v>9</v>
      </c>
      <c r="F14" s="244">
        <v>654713.0</v>
      </c>
      <c r="G14" s="241">
        <f t="shared" si="3"/>
        <v>-6062</v>
      </c>
      <c r="H14" s="188"/>
      <c r="I14" s="188"/>
      <c r="J14" s="163"/>
    </row>
    <row r="15">
      <c r="D15" s="160">
        <f t="shared" ref="D15:E15" si="10">sum(D14+1)</f>
        <v>10</v>
      </c>
      <c r="E15" s="160">
        <f t="shared" si="10"/>
        <v>10</v>
      </c>
      <c r="F15" s="242">
        <v>695553.0</v>
      </c>
      <c r="G15" s="243">
        <f t="shared" si="3"/>
        <v>-40840</v>
      </c>
      <c r="H15" s="191"/>
      <c r="I15" s="191"/>
      <c r="J15" s="192"/>
    </row>
    <row r="16">
      <c r="D16" s="125">
        <f t="shared" ref="D16:E16" si="11">sum(D15+1)</f>
        <v>11</v>
      </c>
      <c r="E16" s="125">
        <f t="shared" si="11"/>
        <v>11</v>
      </c>
      <c r="F16" s="244">
        <v>561547.0</v>
      </c>
      <c r="G16" s="241">
        <f t="shared" si="3"/>
        <v>134006</v>
      </c>
      <c r="H16" s="188"/>
      <c r="I16" s="188"/>
      <c r="J16" s="163"/>
    </row>
    <row r="17">
      <c r="D17" s="160">
        <f t="shared" ref="D17:E17" si="12">sum(D16+1)</f>
        <v>12</v>
      </c>
      <c r="E17" s="160">
        <f t="shared" si="12"/>
        <v>12</v>
      </c>
      <c r="F17" s="242">
        <v>424987.0</v>
      </c>
      <c r="G17" s="243">
        <f t="shared" si="3"/>
        <v>136560</v>
      </c>
      <c r="H17" s="191"/>
      <c r="I17" s="191"/>
      <c r="J17" s="192"/>
    </row>
    <row r="18">
      <c r="D18" s="83" t="s">
        <v>293</v>
      </c>
      <c r="E18" s="84" t="s">
        <v>321</v>
      </c>
      <c r="F18" s="83" t="s">
        <v>320</v>
      </c>
      <c r="G18" s="183" t="s">
        <v>324</v>
      </c>
      <c r="H18" s="184"/>
      <c r="I18" s="184"/>
      <c r="J18" s="185"/>
    </row>
    <row r="19">
      <c r="D19" s="87">
        <f>D17+1</f>
        <v>13</v>
      </c>
      <c r="E19" s="87">
        <v>1.0</v>
      </c>
      <c r="F19" s="245">
        <v>246428.0</v>
      </c>
      <c r="G19" s="246">
        <f>F17-F19</f>
        <v>178559</v>
      </c>
      <c r="H19" s="188"/>
      <c r="I19" s="188"/>
      <c r="J19" s="163"/>
    </row>
    <row r="20">
      <c r="D20" s="125">
        <f t="shared" ref="D20:E20" si="13">sum(D19+1)</f>
        <v>14</v>
      </c>
      <c r="E20" s="125">
        <f t="shared" si="13"/>
        <v>2</v>
      </c>
      <c r="F20" s="247">
        <v>193969.0</v>
      </c>
      <c r="G20" s="241">
        <f t="shared" ref="G20:G30" si="15">F19-F20</f>
        <v>52459</v>
      </c>
      <c r="H20" s="188"/>
      <c r="I20" s="188"/>
      <c r="J20" s="163"/>
    </row>
    <row r="21">
      <c r="D21" s="160">
        <f t="shared" ref="D21:E21" si="14">sum(D20+1)</f>
        <v>15</v>
      </c>
      <c r="E21" s="160">
        <f t="shared" si="14"/>
        <v>3</v>
      </c>
      <c r="F21" s="248">
        <v>206199.0</v>
      </c>
      <c r="G21" s="243">
        <f t="shared" si="15"/>
        <v>-12230</v>
      </c>
      <c r="H21" s="191"/>
      <c r="I21" s="191"/>
      <c r="J21" s="192"/>
    </row>
    <row r="22">
      <c r="D22" s="125">
        <f t="shared" ref="D22:E22" si="16">sum(D21+1)</f>
        <v>16</v>
      </c>
      <c r="E22" s="125">
        <f t="shared" si="16"/>
        <v>4</v>
      </c>
      <c r="F22" s="247">
        <v>176988.0</v>
      </c>
      <c r="G22" s="241">
        <f t="shared" si="15"/>
        <v>29211</v>
      </c>
      <c r="H22" s="188"/>
      <c r="I22" s="188"/>
      <c r="J22" s="163"/>
    </row>
    <row r="23">
      <c r="D23" s="160">
        <f t="shared" ref="D23:E23" si="17">sum(D22+1)</f>
        <v>17</v>
      </c>
      <c r="E23" s="160">
        <f t="shared" si="17"/>
        <v>5</v>
      </c>
      <c r="F23" s="248">
        <v>189218.0</v>
      </c>
      <c r="G23" s="243">
        <f t="shared" si="15"/>
        <v>-12230</v>
      </c>
      <c r="H23" s="191"/>
      <c r="I23" s="191"/>
      <c r="J23" s="192"/>
    </row>
    <row r="24">
      <c r="D24" s="125">
        <f t="shared" ref="D24:E24" si="18">sum(D23+1)</f>
        <v>18</v>
      </c>
      <c r="E24" s="125">
        <f t="shared" si="18"/>
        <v>6</v>
      </c>
      <c r="F24" s="247">
        <v>201651.0</v>
      </c>
      <c r="G24" s="241">
        <f t="shared" si="15"/>
        <v>-12433</v>
      </c>
      <c r="H24" s="188"/>
      <c r="I24" s="188"/>
      <c r="J24" s="163"/>
    </row>
    <row r="25">
      <c r="D25" s="160">
        <f t="shared" ref="D25:E25" si="19">sum(D24+1)</f>
        <v>19</v>
      </c>
      <c r="E25" s="160">
        <f t="shared" si="19"/>
        <v>7</v>
      </c>
      <c r="F25" s="249">
        <v>181941.0</v>
      </c>
      <c r="G25" s="243">
        <f t="shared" si="15"/>
        <v>19710</v>
      </c>
      <c r="H25" s="191"/>
      <c r="I25" s="191"/>
      <c r="J25" s="192"/>
    </row>
    <row r="26">
      <c r="D26" s="125">
        <f t="shared" ref="D26:E26" si="20">sum(D25+1)</f>
        <v>20</v>
      </c>
      <c r="E26" s="125">
        <f t="shared" si="20"/>
        <v>8</v>
      </c>
      <c r="F26" s="247">
        <v>237938.0</v>
      </c>
      <c r="G26" s="241">
        <f t="shared" si="15"/>
        <v>-55997</v>
      </c>
      <c r="H26" s="188"/>
      <c r="I26" s="188"/>
      <c r="J26" s="163"/>
    </row>
    <row r="27">
      <c r="D27" s="160">
        <f t="shared" ref="D27:E27" si="21">sum(D26+1)</f>
        <v>21</v>
      </c>
      <c r="E27" s="160">
        <f t="shared" si="21"/>
        <v>9</v>
      </c>
      <c r="F27" s="248">
        <v>185579.0</v>
      </c>
      <c r="G27" s="243">
        <f t="shared" si="15"/>
        <v>52359</v>
      </c>
      <c r="H27" s="191"/>
      <c r="I27" s="191"/>
      <c r="J27" s="192"/>
    </row>
    <row r="28">
      <c r="D28" s="125">
        <f t="shared" ref="D28:E28" si="22">sum(D27+1)</f>
        <v>22</v>
      </c>
      <c r="E28" s="125">
        <f t="shared" si="22"/>
        <v>10</v>
      </c>
      <c r="F28" s="247">
        <v>198315.0</v>
      </c>
      <c r="G28" s="241">
        <f t="shared" si="15"/>
        <v>-12736</v>
      </c>
      <c r="H28" s="188"/>
      <c r="I28" s="188"/>
      <c r="J28" s="163"/>
    </row>
    <row r="29">
      <c r="D29" s="160">
        <f t="shared" ref="D29:E29" si="23">sum(D28+1)</f>
        <v>23</v>
      </c>
      <c r="E29" s="160">
        <f t="shared" si="23"/>
        <v>11</v>
      </c>
      <c r="F29" s="248">
        <v>222372.0</v>
      </c>
      <c r="G29" s="243">
        <f t="shared" si="15"/>
        <v>-24057</v>
      </c>
      <c r="H29" s="191"/>
      <c r="I29" s="191"/>
      <c r="J29" s="192"/>
    </row>
    <row r="30">
      <c r="D30" s="125">
        <f t="shared" ref="D30:E30" si="24">sum(D29+1)</f>
        <v>24</v>
      </c>
      <c r="E30" s="125">
        <f t="shared" si="24"/>
        <v>12</v>
      </c>
      <c r="F30" s="247">
        <v>213174.0</v>
      </c>
      <c r="G30" s="241">
        <f t="shared" si="15"/>
        <v>9198</v>
      </c>
      <c r="H30" s="188"/>
      <c r="I30" s="188"/>
      <c r="J30" s="163"/>
    </row>
    <row r="31">
      <c r="D31" s="83" t="s">
        <v>293</v>
      </c>
      <c r="E31" s="84" t="s">
        <v>321</v>
      </c>
      <c r="F31" s="83" t="s">
        <v>320</v>
      </c>
      <c r="G31" s="183" t="s">
        <v>324</v>
      </c>
      <c r="H31" s="191"/>
      <c r="I31" s="191"/>
      <c r="J31" s="192"/>
    </row>
    <row r="32">
      <c r="D32" s="125">
        <f>D30+1</f>
        <v>25</v>
      </c>
      <c r="E32" s="125">
        <v>1.0</v>
      </c>
      <c r="F32" s="250">
        <v>228798.0</v>
      </c>
      <c r="G32" s="241">
        <f>F30-F32</f>
        <v>-15624</v>
      </c>
      <c r="H32" s="188"/>
      <c r="I32" s="188"/>
      <c r="J32" s="163"/>
    </row>
    <row r="33">
      <c r="D33" s="160">
        <f t="shared" ref="D33:E33" si="25">sum(D32+1)</f>
        <v>26</v>
      </c>
      <c r="E33" s="160">
        <f t="shared" si="25"/>
        <v>2</v>
      </c>
      <c r="F33" s="251">
        <v>277303.0</v>
      </c>
      <c r="G33" s="243">
        <f t="shared" ref="G33:G43" si="27">F32-F33</f>
        <v>-48505</v>
      </c>
      <c r="H33" s="191"/>
      <c r="I33" s="191"/>
      <c r="J33" s="192"/>
    </row>
    <row r="34">
      <c r="D34" s="125">
        <f t="shared" ref="D34:E34" si="26">sum(D33+1)</f>
        <v>27</v>
      </c>
      <c r="E34" s="125">
        <f t="shared" si="26"/>
        <v>3</v>
      </c>
      <c r="F34" s="250">
        <v>212095.0</v>
      </c>
      <c r="G34" s="241">
        <f t="shared" si="27"/>
        <v>65208</v>
      </c>
      <c r="H34" s="188"/>
      <c r="I34" s="188"/>
      <c r="J34" s="163"/>
    </row>
    <row r="35">
      <c r="D35" s="160">
        <f t="shared" ref="D35:E35" si="28">sum(D34+1)</f>
        <v>28</v>
      </c>
      <c r="E35" s="160">
        <f t="shared" si="28"/>
        <v>4</v>
      </c>
      <c r="F35" s="251">
        <v>261744.0</v>
      </c>
      <c r="G35" s="243">
        <f t="shared" si="27"/>
        <v>-49649</v>
      </c>
      <c r="H35" s="191"/>
      <c r="I35" s="191"/>
      <c r="J35" s="192"/>
    </row>
    <row r="36">
      <c r="D36" s="125">
        <f t="shared" ref="D36:E36" si="29">sum(D35+1)</f>
        <v>29</v>
      </c>
      <c r="E36" s="125">
        <f t="shared" si="29"/>
        <v>5</v>
      </c>
      <c r="F36" s="250">
        <v>228226.0</v>
      </c>
      <c r="G36" s="241">
        <f t="shared" si="27"/>
        <v>33518</v>
      </c>
      <c r="H36" s="188"/>
      <c r="I36" s="188"/>
      <c r="J36" s="163"/>
    </row>
    <row r="37">
      <c r="D37" s="160">
        <f t="shared" ref="D37:E37" si="30">sum(D36+1)</f>
        <v>30</v>
      </c>
      <c r="E37" s="160">
        <f t="shared" si="30"/>
        <v>6</v>
      </c>
      <c r="F37" s="251">
        <v>230399.0</v>
      </c>
      <c r="G37" s="243">
        <f t="shared" si="27"/>
        <v>-2173</v>
      </c>
      <c r="H37" s="191"/>
      <c r="I37" s="191"/>
      <c r="J37" s="192"/>
    </row>
    <row r="38">
      <c r="D38" s="125">
        <f t="shared" ref="D38:E38" si="31">sum(D37+1)</f>
        <v>31</v>
      </c>
      <c r="E38" s="125">
        <f t="shared" si="31"/>
        <v>7</v>
      </c>
      <c r="F38" s="250">
        <v>208091.0</v>
      </c>
      <c r="G38" s="241">
        <f t="shared" si="27"/>
        <v>22308</v>
      </c>
      <c r="H38" s="188"/>
      <c r="I38" s="188"/>
      <c r="J38" s="163"/>
    </row>
    <row r="39">
      <c r="D39" s="160">
        <f t="shared" ref="D39:E39" si="32">sum(D38+1)</f>
        <v>32</v>
      </c>
      <c r="E39" s="160">
        <f t="shared" si="32"/>
        <v>8</v>
      </c>
      <c r="F39" s="251">
        <v>234746.0</v>
      </c>
      <c r="G39" s="243">
        <f t="shared" si="27"/>
        <v>-26655</v>
      </c>
      <c r="H39" s="191"/>
      <c r="I39" s="191"/>
      <c r="J39" s="192"/>
    </row>
    <row r="40">
      <c r="D40" s="125">
        <f t="shared" ref="D40:E40" si="33">sum(D39+1)</f>
        <v>33</v>
      </c>
      <c r="E40" s="125">
        <f t="shared" si="33"/>
        <v>9</v>
      </c>
      <c r="F40" s="250">
        <v>224450.0</v>
      </c>
      <c r="G40" s="241">
        <f t="shared" si="27"/>
        <v>10296</v>
      </c>
      <c r="H40" s="188"/>
      <c r="I40" s="188"/>
      <c r="J40" s="163"/>
    </row>
    <row r="41">
      <c r="D41" s="160">
        <f t="shared" ref="D41:E41" si="34">sum(D40+1)</f>
        <v>34</v>
      </c>
      <c r="E41" s="160">
        <f t="shared" si="34"/>
        <v>10</v>
      </c>
      <c r="F41" s="251">
        <v>251677.0</v>
      </c>
      <c r="G41" s="243">
        <f t="shared" si="27"/>
        <v>-27227</v>
      </c>
      <c r="H41" s="191"/>
      <c r="I41" s="191"/>
      <c r="J41" s="192"/>
    </row>
    <row r="42">
      <c r="D42" s="125">
        <f t="shared" ref="D42:E42" si="35">sum(D41+1)</f>
        <v>35</v>
      </c>
      <c r="E42" s="125">
        <f t="shared" si="35"/>
        <v>11</v>
      </c>
      <c r="F42" s="250">
        <v>228570.0</v>
      </c>
      <c r="G42" s="241">
        <f t="shared" si="27"/>
        <v>23107</v>
      </c>
      <c r="H42" s="188"/>
      <c r="I42" s="188"/>
      <c r="J42" s="163"/>
    </row>
    <row r="43">
      <c r="D43" s="160">
        <f t="shared" ref="D43:E43" si="36">sum(D42+1)</f>
        <v>36</v>
      </c>
      <c r="E43" s="160">
        <f t="shared" si="36"/>
        <v>12</v>
      </c>
      <c r="F43" s="251">
        <v>198368.0</v>
      </c>
      <c r="G43" s="243">
        <f t="shared" si="27"/>
        <v>30202</v>
      </c>
      <c r="H43" s="191"/>
      <c r="I43" s="191"/>
      <c r="J43" s="192"/>
    </row>
    <row r="44">
      <c r="D44" s="83" t="s">
        <v>293</v>
      </c>
      <c r="E44" s="84" t="s">
        <v>321</v>
      </c>
      <c r="F44" s="83" t="s">
        <v>320</v>
      </c>
      <c r="G44" s="183" t="s">
        <v>324</v>
      </c>
      <c r="H44" s="188"/>
      <c r="I44" s="188"/>
      <c r="J44" s="163"/>
    </row>
    <row r="45">
      <c r="D45" s="160">
        <f>D43+1</f>
        <v>37</v>
      </c>
      <c r="E45" s="160">
        <v>1.0</v>
      </c>
      <c r="F45" s="252">
        <v>108815.0</v>
      </c>
      <c r="G45" s="243">
        <f>F43-F45</f>
        <v>89553</v>
      </c>
      <c r="H45" s="191"/>
      <c r="I45" s="191"/>
      <c r="J45" s="192"/>
    </row>
    <row r="46">
      <c r="D46" s="125">
        <f t="shared" ref="D46:E46" si="37">sum(D45+1)</f>
        <v>38</v>
      </c>
      <c r="E46" s="125">
        <f t="shared" si="37"/>
        <v>2</v>
      </c>
      <c r="F46" s="253">
        <v>104119.0</v>
      </c>
      <c r="G46" s="241">
        <f t="shared" ref="G46:G56" si="39">F45-F46</f>
        <v>4696</v>
      </c>
      <c r="H46" s="188"/>
      <c r="I46" s="188"/>
      <c r="J46" s="163"/>
    </row>
    <row r="47">
      <c r="D47" s="160">
        <f t="shared" ref="D47:E47" si="38">sum(D46+1)</f>
        <v>39</v>
      </c>
      <c r="E47" s="160">
        <f t="shared" si="38"/>
        <v>3</v>
      </c>
      <c r="F47" s="252">
        <v>116833.0</v>
      </c>
      <c r="G47" s="243">
        <f t="shared" si="39"/>
        <v>-12714</v>
      </c>
      <c r="H47" s="191"/>
      <c r="I47" s="191"/>
      <c r="J47" s="192"/>
    </row>
    <row r="48">
      <c r="D48" s="125">
        <f t="shared" ref="D48:E48" si="40">sum(D47+1)</f>
        <v>40</v>
      </c>
      <c r="E48" s="125">
        <f t="shared" si="40"/>
        <v>4</v>
      </c>
      <c r="F48" s="253">
        <v>112079.0</v>
      </c>
      <c r="G48" s="241">
        <f t="shared" si="39"/>
        <v>4754</v>
      </c>
      <c r="H48" s="188"/>
      <c r="I48" s="188"/>
      <c r="J48" s="163"/>
    </row>
    <row r="49">
      <c r="D49" s="160">
        <f t="shared" ref="D49:E49" si="41">sum(D48+1)</f>
        <v>41</v>
      </c>
      <c r="E49" s="160">
        <f t="shared" si="41"/>
        <v>5</v>
      </c>
      <c r="F49" s="252">
        <v>107211.0</v>
      </c>
      <c r="G49" s="243">
        <f t="shared" si="39"/>
        <v>4868</v>
      </c>
      <c r="H49" s="191"/>
      <c r="I49" s="191"/>
      <c r="J49" s="192"/>
    </row>
    <row r="50">
      <c r="D50" s="125">
        <f t="shared" ref="D50:E50" si="42">sum(D49+1)</f>
        <v>42</v>
      </c>
      <c r="E50" s="125">
        <f t="shared" si="42"/>
        <v>6</v>
      </c>
      <c r="F50" s="253">
        <v>102229.0</v>
      </c>
      <c r="G50" s="241">
        <f t="shared" si="39"/>
        <v>4982</v>
      </c>
      <c r="H50" s="188"/>
      <c r="I50" s="188"/>
      <c r="J50" s="163"/>
    </row>
    <row r="51">
      <c r="D51" s="160">
        <f t="shared" ref="D51:E51" si="43">sum(D50+1)</f>
        <v>43</v>
      </c>
      <c r="E51" s="160">
        <f t="shared" si="43"/>
        <v>7</v>
      </c>
      <c r="F51" s="252">
        <v>103202.0</v>
      </c>
      <c r="G51" s="243">
        <f t="shared" si="39"/>
        <v>-973</v>
      </c>
      <c r="H51" s="191"/>
      <c r="I51" s="191"/>
      <c r="J51" s="192"/>
    </row>
    <row r="52">
      <c r="D52" s="125">
        <f t="shared" ref="D52:E52" si="44">sum(D51+1)</f>
        <v>44</v>
      </c>
      <c r="E52" s="125">
        <f t="shared" si="44"/>
        <v>8</v>
      </c>
      <c r="F52" s="253">
        <v>110304.0</v>
      </c>
      <c r="G52" s="241">
        <f t="shared" si="39"/>
        <v>-7102</v>
      </c>
      <c r="H52" s="188"/>
      <c r="I52" s="188"/>
      <c r="J52" s="163"/>
    </row>
    <row r="53">
      <c r="D53" s="160">
        <f t="shared" ref="D53:E53" si="45">sum(D52+1)</f>
        <v>45</v>
      </c>
      <c r="E53" s="160">
        <f t="shared" si="45"/>
        <v>9</v>
      </c>
      <c r="F53" s="252">
        <v>117520.0</v>
      </c>
      <c r="G53" s="243">
        <f t="shared" si="39"/>
        <v>-7216</v>
      </c>
      <c r="H53" s="191"/>
      <c r="I53" s="191"/>
      <c r="J53" s="192"/>
    </row>
    <row r="54">
      <c r="D54" s="125">
        <f t="shared" ref="D54:E54" si="46">sum(D53+1)</f>
        <v>46</v>
      </c>
      <c r="E54" s="125">
        <f t="shared" si="46"/>
        <v>10</v>
      </c>
      <c r="F54" s="253">
        <v>124851.0</v>
      </c>
      <c r="G54" s="241">
        <f t="shared" si="39"/>
        <v>-7331</v>
      </c>
      <c r="H54" s="188"/>
      <c r="I54" s="188"/>
      <c r="J54" s="163"/>
    </row>
    <row r="55">
      <c r="D55" s="160">
        <f t="shared" ref="D55:E55" si="47">sum(D54+1)</f>
        <v>47</v>
      </c>
      <c r="E55" s="160">
        <f t="shared" si="47"/>
        <v>11</v>
      </c>
      <c r="F55" s="252">
        <v>138596.0</v>
      </c>
      <c r="G55" s="243">
        <f t="shared" si="39"/>
        <v>-13745</v>
      </c>
      <c r="H55" s="191"/>
      <c r="I55" s="191"/>
      <c r="J55" s="192"/>
    </row>
    <row r="56">
      <c r="D56" s="125">
        <f t="shared" ref="D56:E56" si="48">sum(D55+1)</f>
        <v>48</v>
      </c>
      <c r="E56" s="125">
        <f t="shared" si="48"/>
        <v>12</v>
      </c>
      <c r="F56" s="253">
        <v>197068.0</v>
      </c>
      <c r="G56" s="241">
        <f t="shared" si="39"/>
        <v>-58472</v>
      </c>
      <c r="H56" s="188"/>
      <c r="I56" s="188"/>
      <c r="J56" s="163"/>
    </row>
  </sheetData>
  <mergeCells count="54">
    <mergeCell ref="D1:J3"/>
    <mergeCell ref="H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42:J42"/>
    <mergeCell ref="G43:J43"/>
    <mergeCell ref="G44:J44"/>
    <mergeCell ref="G52:J52"/>
    <mergeCell ref="G53:J53"/>
    <mergeCell ref="G54:J54"/>
    <mergeCell ref="G55:J55"/>
    <mergeCell ref="G56:J56"/>
    <mergeCell ref="G45:J45"/>
    <mergeCell ref="G46:J46"/>
    <mergeCell ref="G47:J47"/>
    <mergeCell ref="G48:J48"/>
    <mergeCell ref="G49:J49"/>
    <mergeCell ref="G50:J50"/>
    <mergeCell ref="G51:J51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88"/>
    <col customWidth="1" min="10" max="10" width="25.75"/>
    <col customWidth="1" min="13" max="13" width="16.38"/>
  </cols>
  <sheetData>
    <row r="2">
      <c r="B2" s="57" t="s">
        <v>325</v>
      </c>
      <c r="K2" s="85"/>
      <c r="L2" s="85"/>
      <c r="M2" s="85"/>
      <c r="N2" s="85"/>
      <c r="O2" s="85"/>
      <c r="P2" s="85"/>
      <c r="Q2" s="85"/>
      <c r="R2" s="85"/>
    </row>
    <row r="3">
      <c r="K3" s="85"/>
      <c r="L3" s="58" t="s">
        <v>273</v>
      </c>
      <c r="M3" s="85"/>
      <c r="N3" s="85"/>
      <c r="O3" s="85"/>
      <c r="P3" s="85"/>
      <c r="Q3" s="85"/>
      <c r="R3" s="85"/>
    </row>
    <row r="4">
      <c r="B4" s="66"/>
      <c r="C4" s="60">
        <v>2023.0</v>
      </c>
      <c r="D4" s="60">
        <v>2022.0</v>
      </c>
      <c r="E4" s="60">
        <v>2021.0</v>
      </c>
      <c r="F4" s="60">
        <v>2020.0</v>
      </c>
      <c r="K4" s="85"/>
      <c r="L4" s="135"/>
      <c r="M4" s="254">
        <v>2023.0</v>
      </c>
      <c r="N4" s="254">
        <v>2022.0</v>
      </c>
      <c r="O4" s="254">
        <v>2021.0</v>
      </c>
      <c r="P4" s="254">
        <v>2020.0</v>
      </c>
      <c r="Q4" s="85"/>
      <c r="R4" s="85"/>
    </row>
    <row r="5">
      <c r="B5" s="66" t="s">
        <v>89</v>
      </c>
      <c r="C5" s="63">
        <f>4438269000/26125000000</f>
        <v>0.1698858947</v>
      </c>
      <c r="D5" s="63">
        <f>3618366000/27406000000</f>
        <v>0.132028242</v>
      </c>
      <c r="E5" s="63">
        <f>1869122000/26615550000</f>
        <v>0.07022669079</v>
      </c>
      <c r="F5" s="63">
        <f>1351664000/2593657000</f>
        <v>0.5211421557</v>
      </c>
      <c r="K5" s="85"/>
      <c r="L5" s="135" t="s">
        <v>326</v>
      </c>
      <c r="M5" s="62">
        <f>-1736869</f>
        <v>-1736869</v>
      </c>
      <c r="N5" s="255">
        <f>2166555</f>
        <v>2166555</v>
      </c>
      <c r="O5" s="255">
        <f>-1354401</f>
        <v>-1354401</v>
      </c>
      <c r="P5" s="255">
        <f>-1540754</f>
        <v>-1540754</v>
      </c>
    </row>
    <row r="6">
      <c r="M6" s="137"/>
      <c r="N6" s="85"/>
      <c r="O6" s="85"/>
      <c r="P6" s="85"/>
      <c r="Q6" s="85"/>
      <c r="R6" s="85"/>
    </row>
    <row r="7">
      <c r="M7" s="256"/>
      <c r="N7" s="122"/>
      <c r="O7" s="122"/>
      <c r="P7" s="122"/>
      <c r="Q7" s="122"/>
      <c r="R7" s="122"/>
    </row>
    <row r="18">
      <c r="R18" s="58" t="s">
        <v>327</v>
      </c>
    </row>
    <row r="38">
      <c r="B38" s="257"/>
      <c r="C38" s="58"/>
      <c r="D38" s="58"/>
      <c r="E38" s="58"/>
      <c r="F38" s="58"/>
      <c r="J38" s="58"/>
      <c r="K38" s="58"/>
      <c r="L38" s="58"/>
      <c r="M38" s="58"/>
      <c r="N38" s="58"/>
    </row>
    <row r="39">
      <c r="B39" s="257"/>
      <c r="C39" s="58"/>
      <c r="D39" s="58"/>
      <c r="E39" s="58"/>
      <c r="F39" s="58"/>
      <c r="J39" s="58" t="s">
        <v>273</v>
      </c>
      <c r="K39" s="58"/>
      <c r="L39" s="58"/>
      <c r="M39" s="58"/>
      <c r="N39" s="58"/>
    </row>
    <row r="40">
      <c r="B40" s="66"/>
      <c r="C40" s="60">
        <v>2023.0</v>
      </c>
      <c r="D40" s="60">
        <v>2022.0</v>
      </c>
      <c r="E40" s="60">
        <v>2021.0</v>
      </c>
      <c r="F40" s="60">
        <v>2020.0</v>
      </c>
      <c r="J40" s="60"/>
      <c r="K40" s="60">
        <v>2023.0</v>
      </c>
      <c r="L40" s="60">
        <v>2022.0</v>
      </c>
      <c r="M40" s="60">
        <v>2021.0</v>
      </c>
      <c r="N40" s="60">
        <v>2020.0</v>
      </c>
    </row>
    <row r="41">
      <c r="B41" s="66" t="s">
        <v>97</v>
      </c>
      <c r="C41" s="63">
        <f>-18.89%</f>
        <v>-0.1889</v>
      </c>
      <c r="D41" s="63">
        <f>-70.84%</f>
        <v>-0.7084</v>
      </c>
      <c r="E41" s="258">
        <v>-0.906</v>
      </c>
      <c r="F41" s="63">
        <f>-136.97%</f>
        <v>-1.3697</v>
      </c>
      <c r="J41" s="60" t="s">
        <v>113</v>
      </c>
      <c r="K41" s="62">
        <f>-377753</f>
        <v>-377753</v>
      </c>
      <c r="L41" s="62">
        <f>-616168</f>
        <v>-616168</v>
      </c>
      <c r="M41" s="62">
        <f>-867121</f>
        <v>-867121</v>
      </c>
      <c r="N41" s="62">
        <f>-1095124</f>
        <v>-1095124</v>
      </c>
    </row>
  </sheetData>
  <drawing r:id="rId1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75"/>
  <cols>
    <col customWidth="1" min="3" max="3" width="36.13"/>
    <col customWidth="1" min="4" max="4" width="30.5"/>
    <col customWidth="1" min="8" max="8" width="22.25"/>
    <col customWidth="1" min="9" max="9" width="30.5"/>
  </cols>
  <sheetData>
    <row r="1">
      <c r="A1" s="68" t="s">
        <v>89</v>
      </c>
      <c r="B1" s="69"/>
      <c r="C1" s="69"/>
      <c r="D1" s="107"/>
      <c r="E1" s="259"/>
      <c r="F1" s="68" t="s">
        <v>328</v>
      </c>
      <c r="G1" s="69"/>
      <c r="H1" s="69"/>
      <c r="I1" s="107"/>
    </row>
    <row r="2">
      <c r="A2" s="74"/>
      <c r="D2" s="108"/>
      <c r="E2" s="259"/>
      <c r="F2" s="74"/>
      <c r="I2" s="108"/>
    </row>
    <row r="3">
      <c r="A3" s="124" t="s">
        <v>273</v>
      </c>
      <c r="B3" s="37"/>
      <c r="C3" s="37"/>
      <c r="D3" s="38"/>
      <c r="E3" s="259"/>
      <c r="F3" s="124" t="s">
        <v>273</v>
      </c>
      <c r="G3" s="37"/>
      <c r="H3" s="37"/>
      <c r="I3" s="38"/>
    </row>
    <row r="4">
      <c r="A4" s="83" t="s">
        <v>293</v>
      </c>
      <c r="B4" s="84" t="s">
        <v>301</v>
      </c>
      <c r="C4" s="84" t="s">
        <v>329</v>
      </c>
      <c r="D4" s="84" t="s">
        <v>330</v>
      </c>
      <c r="E4" s="260"/>
      <c r="F4" s="83" t="s">
        <v>293</v>
      </c>
      <c r="G4" s="84" t="s">
        <v>301</v>
      </c>
      <c r="H4" s="84" t="s">
        <v>331</v>
      </c>
      <c r="I4" s="84" t="s">
        <v>332</v>
      </c>
    </row>
    <row r="5">
      <c r="A5" s="125">
        <v>1.0</v>
      </c>
      <c r="B5" s="125">
        <v>1.0</v>
      </c>
      <c r="C5" s="129">
        <v>2456205.0</v>
      </c>
      <c r="D5" s="261">
        <v>337000.0</v>
      </c>
      <c r="E5" s="262"/>
      <c r="F5" s="125">
        <v>1.0</v>
      </c>
      <c r="G5" s="125">
        <v>1.0</v>
      </c>
      <c r="H5" s="129">
        <v>-389456.75</v>
      </c>
      <c r="I5" s="261">
        <v>-389456.75</v>
      </c>
    </row>
    <row r="6">
      <c r="A6" s="125">
        <v>2.0</v>
      </c>
      <c r="B6" s="125">
        <v>2.0</v>
      </c>
      <c r="C6" s="129">
        <v>2488320.0</v>
      </c>
      <c r="D6" s="261">
        <v>338500.0</v>
      </c>
      <c r="E6" s="262"/>
      <c r="F6" s="125">
        <v>2.0</v>
      </c>
      <c r="G6" s="125">
        <v>2.0</v>
      </c>
      <c r="H6" s="129">
        <v>-412789.33</v>
      </c>
      <c r="I6" s="261">
        <v>-802246.08</v>
      </c>
    </row>
    <row r="7">
      <c r="A7" s="125">
        <v>3.0</v>
      </c>
      <c r="B7" s="125">
        <v>3.0</v>
      </c>
      <c r="C7" s="129">
        <v>2550389.0</v>
      </c>
      <c r="D7" s="261">
        <v>336750.0</v>
      </c>
      <c r="E7" s="262"/>
      <c r="F7" s="125">
        <v>3.0</v>
      </c>
      <c r="G7" s="125">
        <v>3.0</v>
      </c>
      <c r="H7" s="129">
        <v>-364123.92</v>
      </c>
      <c r="I7" s="261">
        <v>-1166369.99</v>
      </c>
    </row>
    <row r="8">
      <c r="A8" s="125">
        <v>4.0</v>
      </c>
      <c r="B8" s="125">
        <v>4.0</v>
      </c>
      <c r="C8" s="263">
        <v>2593657.0</v>
      </c>
      <c r="D8" s="261">
        <v>339414.0</v>
      </c>
      <c r="E8" s="262"/>
      <c r="F8" s="125">
        <v>4.0</v>
      </c>
      <c r="G8" s="125">
        <v>4.0</v>
      </c>
      <c r="H8" s="263">
        <v>-374384.01</v>
      </c>
      <c r="I8" s="261">
        <v>-1540754.0</v>
      </c>
    </row>
    <row r="9">
      <c r="A9" s="227" t="s">
        <v>333</v>
      </c>
      <c r="B9" s="188"/>
      <c r="C9" s="163"/>
      <c r="D9" s="129">
        <f>1351664</f>
        <v>1351664</v>
      </c>
      <c r="E9" s="262"/>
      <c r="F9" s="264" t="s">
        <v>334</v>
      </c>
      <c r="G9" s="188"/>
      <c r="H9" s="163"/>
      <c r="I9" s="265">
        <v>-1540754.0</v>
      </c>
    </row>
    <row r="10">
      <c r="A10" s="264" t="s">
        <v>335</v>
      </c>
      <c r="B10" s="191"/>
      <c r="C10" s="192"/>
      <c r="D10" s="266">
        <f>D9/C8</f>
        <v>0.5211421557</v>
      </c>
      <c r="E10" s="262"/>
      <c r="F10" s="125">
        <v>5.0</v>
      </c>
      <c r="G10" s="131">
        <v>1.0</v>
      </c>
      <c r="H10" s="261">
        <v>-376830.75</v>
      </c>
      <c r="I10" s="261">
        <v>-376830.75</v>
      </c>
    </row>
    <row r="11">
      <c r="A11" s="125">
        <v>5.0</v>
      </c>
      <c r="B11" s="131">
        <v>1.0</v>
      </c>
      <c r="C11" s="267">
        <v>2.542653E7</v>
      </c>
      <c r="D11" s="129">
        <v>452367.0</v>
      </c>
      <c r="E11" s="262"/>
      <c r="F11" s="125">
        <v>6.0</v>
      </c>
      <c r="G11" s="131">
        <v>2.0</v>
      </c>
      <c r="H11" s="261">
        <v>-367569.42</v>
      </c>
      <c r="I11" s="261">
        <v>-744400.17</v>
      </c>
    </row>
    <row r="12">
      <c r="A12" s="125">
        <v>6.0</v>
      </c>
      <c r="B12" s="131">
        <v>2.0</v>
      </c>
      <c r="C12" s="267">
        <v>2.6212455E7</v>
      </c>
      <c r="D12" s="129">
        <v>478954.0</v>
      </c>
      <c r="E12" s="262"/>
      <c r="F12" s="125">
        <v>7.0</v>
      </c>
      <c r="G12" s="131">
        <v>3.0</v>
      </c>
      <c r="H12" s="261">
        <v>-368481.29</v>
      </c>
      <c r="I12" s="261">
        <v>-1112881.46</v>
      </c>
    </row>
    <row r="13">
      <c r="A13" s="125">
        <v>7.0</v>
      </c>
      <c r="B13" s="131">
        <v>3.0</v>
      </c>
      <c r="C13" s="267">
        <v>2653165.0</v>
      </c>
      <c r="D13" s="129">
        <v>462892.0</v>
      </c>
      <c r="E13" s="262"/>
      <c r="F13" s="125">
        <v>8.0</v>
      </c>
      <c r="G13" s="131">
        <v>4.0</v>
      </c>
      <c r="H13" s="261">
        <v>-241519.54</v>
      </c>
      <c r="I13" s="261">
        <v>-1354401.0</v>
      </c>
    </row>
    <row r="14">
      <c r="A14" s="125">
        <v>8.0</v>
      </c>
      <c r="B14" s="131">
        <v>4.0</v>
      </c>
      <c r="C14" s="267">
        <v>2.661555E7</v>
      </c>
      <c r="D14" s="129">
        <v>474909.0</v>
      </c>
      <c r="E14" s="262"/>
      <c r="F14" s="268" t="s">
        <v>336</v>
      </c>
      <c r="G14" s="191"/>
      <c r="H14" s="192"/>
      <c r="I14" s="269">
        <v>-1354401.0</v>
      </c>
    </row>
    <row r="15">
      <c r="A15" s="227" t="s">
        <v>333</v>
      </c>
      <c r="B15" s="188"/>
      <c r="C15" s="163"/>
      <c r="D15" s="129">
        <v>1869122.0</v>
      </c>
      <c r="E15" s="262"/>
      <c r="F15" s="131">
        <v>11.0</v>
      </c>
      <c r="G15" s="131">
        <v>1.0</v>
      </c>
      <c r="H15" s="261">
        <v>-589456.75</v>
      </c>
      <c r="I15" s="261">
        <v>-589456.75</v>
      </c>
    </row>
    <row r="16">
      <c r="A16" s="268" t="s">
        <v>337</v>
      </c>
      <c r="B16" s="191"/>
      <c r="C16" s="192"/>
      <c r="D16" s="270">
        <f>D15/C14</f>
        <v>0.07022669079</v>
      </c>
      <c r="E16" s="262"/>
      <c r="F16" s="131">
        <v>12.0</v>
      </c>
      <c r="G16" s="131">
        <v>2.0</v>
      </c>
      <c r="H16" s="261">
        <v>-612789.33</v>
      </c>
      <c r="I16" s="261">
        <v>-1202246.08</v>
      </c>
    </row>
    <row r="17">
      <c r="A17" s="131">
        <v>11.0</v>
      </c>
      <c r="B17" s="131">
        <v>1.0</v>
      </c>
      <c r="C17" s="267">
        <v>2.68334E7</v>
      </c>
      <c r="D17" s="261">
        <v>892714.0</v>
      </c>
      <c r="F17" s="131">
        <v>13.0</v>
      </c>
      <c r="G17" s="131">
        <v>3.0</v>
      </c>
      <c r="H17" s="261">
        <v>-564123.92</v>
      </c>
      <c r="I17" s="261">
        <v>-1766369.99</v>
      </c>
    </row>
    <row r="18">
      <c r="A18" s="131">
        <v>12.0</v>
      </c>
      <c r="B18" s="131">
        <v>2.0</v>
      </c>
      <c r="C18" s="267">
        <v>2.6954165E7</v>
      </c>
      <c r="D18" s="129">
        <v>906482.0</v>
      </c>
      <c r="F18" s="271">
        <v>14.0</v>
      </c>
      <c r="G18" s="272">
        <v>4.0</v>
      </c>
      <c r="H18" s="261">
        <v>3932925.0</v>
      </c>
      <c r="I18" s="261">
        <v>2166555.0</v>
      </c>
    </row>
    <row r="19">
      <c r="A19" s="131">
        <v>13.0</v>
      </c>
      <c r="B19" s="131">
        <v>3.0</v>
      </c>
      <c r="C19" s="267">
        <v>2.7055325E7</v>
      </c>
      <c r="D19" s="129">
        <v>879965.0</v>
      </c>
      <c r="F19" s="268" t="s">
        <v>338</v>
      </c>
      <c r="G19" s="188"/>
      <c r="H19" s="163"/>
      <c r="I19" s="269">
        <v>2166555.0</v>
      </c>
    </row>
    <row r="20">
      <c r="A20" s="271">
        <v>14.0</v>
      </c>
      <c r="B20" s="272">
        <v>4.0</v>
      </c>
      <c r="C20" s="267">
        <v>2.7406E7</v>
      </c>
      <c r="D20" s="129">
        <v>939205.0</v>
      </c>
      <c r="F20" s="131">
        <v>15.0</v>
      </c>
      <c r="G20" s="131">
        <v>5.0</v>
      </c>
      <c r="H20" s="261">
        <v>-421946.75</v>
      </c>
      <c r="I20" s="261">
        <v>-421946.75</v>
      </c>
    </row>
    <row r="21">
      <c r="A21" s="273" t="s">
        <v>333</v>
      </c>
      <c r="B21" s="188"/>
      <c r="C21" s="163"/>
      <c r="D21" s="274">
        <v>3618366.0</v>
      </c>
      <c r="F21" s="131">
        <v>16.0</v>
      </c>
      <c r="G21" s="131">
        <v>6.0</v>
      </c>
      <c r="H21" s="261">
        <v>-428346.12</v>
      </c>
      <c r="I21" s="261">
        <v>-850292.87</v>
      </c>
    </row>
    <row r="22">
      <c r="A22" s="268" t="s">
        <v>339</v>
      </c>
      <c r="B22" s="191"/>
      <c r="C22" s="192"/>
      <c r="D22" s="270">
        <f>D21/C20</f>
        <v>0.132028242</v>
      </c>
      <c r="F22" s="131">
        <v>17.0</v>
      </c>
      <c r="G22" s="131">
        <v>7.0</v>
      </c>
      <c r="H22" s="261">
        <v>-450278.59</v>
      </c>
      <c r="I22" s="261">
        <v>-1300571.46</v>
      </c>
    </row>
    <row r="23">
      <c r="A23" s="131">
        <v>15.0</v>
      </c>
      <c r="B23" s="131">
        <v>5.0</v>
      </c>
      <c r="C23" s="267">
        <v>2.725922E7</v>
      </c>
      <c r="D23" s="129">
        <v>1102345.0</v>
      </c>
      <c r="F23" s="131">
        <v>18.0</v>
      </c>
      <c r="G23" s="131">
        <v>8.0</v>
      </c>
      <c r="H23" s="261">
        <v>-436297.54</v>
      </c>
      <c r="I23" s="261">
        <v>-1736869.0</v>
      </c>
    </row>
    <row r="24">
      <c r="A24" s="131">
        <v>16.0</v>
      </c>
      <c r="B24" s="131">
        <v>6.0</v>
      </c>
      <c r="C24" s="267">
        <v>2685595.0</v>
      </c>
      <c r="D24" s="129">
        <v>1110678.0</v>
      </c>
      <c r="F24" s="268" t="s">
        <v>340</v>
      </c>
      <c r="G24" s="191"/>
      <c r="H24" s="192"/>
      <c r="I24" s="269">
        <v>-1736869.0</v>
      </c>
    </row>
    <row r="25">
      <c r="A25" s="131">
        <v>17.0</v>
      </c>
      <c r="B25" s="131">
        <v>7.0</v>
      </c>
      <c r="C25" s="267">
        <v>2.628965E7</v>
      </c>
      <c r="D25" s="129">
        <v>1081234.0</v>
      </c>
    </row>
    <row r="26">
      <c r="A26" s="131">
        <v>18.0</v>
      </c>
      <c r="B26" s="131">
        <v>8.0</v>
      </c>
      <c r="C26" s="275">
        <v>2.6125E7</v>
      </c>
      <c r="D26" s="129">
        <v>1143012.0</v>
      </c>
    </row>
    <row r="27">
      <c r="A27" s="273" t="s">
        <v>333</v>
      </c>
      <c r="B27" s="37"/>
      <c r="C27" s="38"/>
      <c r="D27" s="129">
        <v>4438269.0</v>
      </c>
    </row>
    <row r="28">
      <c r="A28" s="268" t="s">
        <v>341</v>
      </c>
      <c r="B28" s="191"/>
      <c r="C28" s="192"/>
      <c r="D28" s="270">
        <f>D27/C26</f>
        <v>0.1698858947</v>
      </c>
    </row>
    <row r="31">
      <c r="A31" s="68" t="s">
        <v>342</v>
      </c>
      <c r="B31" s="69"/>
      <c r="C31" s="69"/>
      <c r="D31" s="107"/>
      <c r="F31" s="68" t="s">
        <v>343</v>
      </c>
      <c r="G31" s="69"/>
      <c r="H31" s="69"/>
      <c r="I31" s="107"/>
    </row>
    <row r="32">
      <c r="A32" s="74"/>
      <c r="D32" s="108"/>
      <c r="F32" s="74"/>
      <c r="I32" s="108"/>
    </row>
    <row r="33">
      <c r="A33" s="124" t="s">
        <v>273</v>
      </c>
      <c r="B33" s="37"/>
      <c r="C33" s="37"/>
      <c r="D33" s="38"/>
      <c r="F33" s="124" t="s">
        <v>273</v>
      </c>
      <c r="G33" s="37"/>
      <c r="H33" s="37"/>
      <c r="I33" s="38"/>
    </row>
    <row r="34">
      <c r="A34" s="83" t="s">
        <v>293</v>
      </c>
      <c r="B34" s="84" t="s">
        <v>301</v>
      </c>
      <c r="C34" s="84" t="s">
        <v>342</v>
      </c>
      <c r="D34" s="84" t="s">
        <v>344</v>
      </c>
      <c r="F34" s="83" t="s">
        <v>293</v>
      </c>
      <c r="G34" s="84" t="s">
        <v>301</v>
      </c>
      <c r="H34" s="84" t="s">
        <v>345</v>
      </c>
      <c r="I34" s="84" t="s">
        <v>346</v>
      </c>
    </row>
    <row r="35">
      <c r="A35" s="125">
        <v>1.0</v>
      </c>
      <c r="B35" s="125">
        <v>1.0</v>
      </c>
      <c r="C35" s="261">
        <v>-482100.0</v>
      </c>
      <c r="D35" s="261">
        <v>-482100.0</v>
      </c>
      <c r="F35" s="125">
        <v>1.0</v>
      </c>
      <c r="G35" s="125">
        <v>1.0</v>
      </c>
      <c r="H35" s="261">
        <v>-3424.25</v>
      </c>
      <c r="I35" s="261">
        <v>2500.0</v>
      </c>
    </row>
    <row r="36">
      <c r="A36" s="125">
        <v>2.0</v>
      </c>
      <c r="B36" s="125">
        <v>2.0</v>
      </c>
      <c r="C36" s="261">
        <v>-129800.0</v>
      </c>
      <c r="D36" s="261">
        <v>-611900.0</v>
      </c>
      <c r="F36" s="125">
        <v>2.0</v>
      </c>
      <c r="G36" s="125">
        <v>2.0</v>
      </c>
      <c r="H36" s="261">
        <v>-3847.56</v>
      </c>
      <c r="I36" s="261">
        <v>2800.0</v>
      </c>
    </row>
    <row r="37">
      <c r="A37" s="125">
        <v>3.0</v>
      </c>
      <c r="B37" s="125">
        <v>3.0</v>
      </c>
      <c r="C37" s="261">
        <v>-251500.0</v>
      </c>
      <c r="D37" s="261">
        <v>-863400.0</v>
      </c>
      <c r="F37" s="125">
        <v>3.0</v>
      </c>
      <c r="G37" s="125">
        <v>3.0</v>
      </c>
      <c r="H37" s="261">
        <v>-4116.86</v>
      </c>
      <c r="I37" s="261">
        <v>2000.0</v>
      </c>
    </row>
    <row r="38">
      <c r="A38" s="125"/>
      <c r="B38" s="125"/>
      <c r="C38" s="261"/>
      <c r="D38" s="261"/>
      <c r="F38" s="125">
        <v>4.0</v>
      </c>
      <c r="G38" s="125">
        <v>4.0</v>
      </c>
      <c r="H38" s="261">
        <v>-4203.86</v>
      </c>
      <c r="I38" s="261">
        <v>3068.0</v>
      </c>
    </row>
    <row r="39">
      <c r="A39" s="125">
        <v>4.0</v>
      </c>
      <c r="B39" s="125">
        <v>4.0</v>
      </c>
      <c r="C39" s="261">
        <v>-231724.0</v>
      </c>
      <c r="D39" s="261">
        <v>-1095124.0</v>
      </c>
      <c r="F39" s="227" t="s">
        <v>347</v>
      </c>
      <c r="G39" s="163"/>
      <c r="H39" s="261">
        <v>-14197.02</v>
      </c>
      <c r="I39" s="276">
        <v>10368.0</v>
      </c>
    </row>
    <row r="40">
      <c r="A40" s="264" t="s">
        <v>348</v>
      </c>
      <c r="B40" s="191"/>
      <c r="C40" s="192"/>
      <c r="D40" s="265">
        <v>-1095124.0</v>
      </c>
      <c r="F40" s="264" t="s">
        <v>348</v>
      </c>
      <c r="G40" s="191"/>
      <c r="H40" s="192"/>
      <c r="I40" s="277">
        <v>-1.3697</v>
      </c>
    </row>
    <row r="41">
      <c r="A41" s="125">
        <v>5.0</v>
      </c>
      <c r="B41" s="131">
        <v>1.0</v>
      </c>
      <c r="C41" s="261">
        <v>-289040.33</v>
      </c>
      <c r="D41" s="261">
        <v>-289040.33</v>
      </c>
      <c r="F41" s="125">
        <v>5.0</v>
      </c>
      <c r="G41" s="131">
        <v>1.0</v>
      </c>
      <c r="H41" s="261">
        <v>-7248.0</v>
      </c>
      <c r="I41" s="261">
        <v>8000.0</v>
      </c>
    </row>
    <row r="42">
      <c r="A42" s="125">
        <v>6.0</v>
      </c>
      <c r="B42" s="131">
        <v>2.0</v>
      </c>
      <c r="C42" s="261">
        <v>-242983.92</v>
      </c>
      <c r="D42" s="261">
        <v>-532024.25</v>
      </c>
      <c r="F42" s="125">
        <v>6.0</v>
      </c>
      <c r="G42" s="131">
        <v>2.0</v>
      </c>
      <c r="H42" s="261">
        <v>-8135.0</v>
      </c>
      <c r="I42" s="261">
        <v>9000.0</v>
      </c>
    </row>
    <row r="43">
      <c r="A43" s="125">
        <v>7.0</v>
      </c>
      <c r="B43" s="131">
        <v>3.0</v>
      </c>
      <c r="C43" s="261">
        <v>-204096.75</v>
      </c>
      <c r="D43" s="261">
        <v>-736121.0</v>
      </c>
      <c r="F43" s="125">
        <v>7.0</v>
      </c>
      <c r="G43" s="131">
        <v>3.0</v>
      </c>
      <c r="H43" s="261">
        <v>-9042.0</v>
      </c>
      <c r="I43" s="261">
        <v>10000.0</v>
      </c>
    </row>
    <row r="44">
      <c r="A44" s="125">
        <v>8.0</v>
      </c>
      <c r="B44" s="131">
        <v>4.0</v>
      </c>
      <c r="C44" s="261">
        <v>-131000.0</v>
      </c>
      <c r="D44" s="261">
        <v>-867121.0</v>
      </c>
      <c r="F44" s="125">
        <v>8.0</v>
      </c>
      <c r="G44" s="131">
        <v>4.0</v>
      </c>
      <c r="H44" s="261">
        <v>-12670.0</v>
      </c>
      <c r="I44" s="261">
        <v>13995.0</v>
      </c>
    </row>
    <row r="45">
      <c r="A45" s="268" t="s">
        <v>349</v>
      </c>
      <c r="B45" s="188"/>
      <c r="C45" s="163"/>
      <c r="D45" s="269">
        <v>-867121.0</v>
      </c>
      <c r="F45" s="227" t="s">
        <v>347</v>
      </c>
      <c r="G45" s="163"/>
      <c r="H45" s="261" t="s">
        <v>350</v>
      </c>
      <c r="I45" s="276">
        <v>32995.0</v>
      </c>
    </row>
    <row r="46">
      <c r="A46" s="131">
        <v>11.0</v>
      </c>
      <c r="B46" s="131">
        <v>1.0</v>
      </c>
      <c r="C46" s="261">
        <v>-154042.0</v>
      </c>
      <c r="D46" s="261">
        <v>-154042.0</v>
      </c>
      <c r="F46" s="268" t="s">
        <v>349</v>
      </c>
      <c r="G46" s="191"/>
      <c r="H46" s="192"/>
      <c r="I46" s="278">
        <v>-0.906</v>
      </c>
    </row>
    <row r="47">
      <c r="A47" s="131">
        <v>12.0</v>
      </c>
      <c r="B47" s="131">
        <v>2.0</v>
      </c>
      <c r="C47" s="261">
        <v>-157246.0</v>
      </c>
      <c r="D47" s="261">
        <v>-311288.0</v>
      </c>
      <c r="F47" s="131">
        <v>11.0</v>
      </c>
      <c r="G47" s="131">
        <v>1.0</v>
      </c>
      <c r="H47" s="261">
        <v>-70840.0</v>
      </c>
      <c r="I47" s="261">
        <v>100000.0</v>
      </c>
    </row>
    <row r="48">
      <c r="A48" s="131">
        <v>13.0</v>
      </c>
      <c r="B48" s="131">
        <v>3.0</v>
      </c>
      <c r="C48" s="261">
        <v>-156480.0</v>
      </c>
      <c r="D48" s="261">
        <v>-467768.0</v>
      </c>
      <c r="F48" s="131">
        <v>12.0</v>
      </c>
      <c r="G48" s="131">
        <v>2.0</v>
      </c>
      <c r="H48" s="261">
        <v>-85008.0</v>
      </c>
      <c r="I48" s="261">
        <v>120000.0</v>
      </c>
    </row>
    <row r="49">
      <c r="A49" s="271">
        <v>14.0</v>
      </c>
      <c r="B49" s="272">
        <v>4.0</v>
      </c>
      <c r="C49" s="261">
        <v>-148400.0</v>
      </c>
      <c r="D49" s="261">
        <v>-616168.0</v>
      </c>
      <c r="F49" s="131">
        <v>13.0</v>
      </c>
      <c r="G49" s="131">
        <v>3.0</v>
      </c>
      <c r="H49" s="261">
        <v>-75042.0</v>
      </c>
      <c r="I49" s="261">
        <v>106311.0</v>
      </c>
    </row>
    <row r="50">
      <c r="A50" s="268" t="s">
        <v>351</v>
      </c>
      <c r="B50" s="191"/>
      <c r="C50" s="192"/>
      <c r="D50" s="269">
        <v>-616168.0</v>
      </c>
      <c r="F50" s="271">
        <v>14.0</v>
      </c>
      <c r="G50" s="272">
        <v>4.0</v>
      </c>
      <c r="H50" s="261">
        <v>-70840.0</v>
      </c>
      <c r="I50" s="261">
        <v>100000.0</v>
      </c>
    </row>
    <row r="51">
      <c r="A51" s="131">
        <v>15.0</v>
      </c>
      <c r="B51" s="131">
        <v>5.0</v>
      </c>
      <c r="C51" s="261">
        <v>-94438.25</v>
      </c>
      <c r="D51" s="261">
        <v>-94438.25</v>
      </c>
      <c r="F51" s="279" t="s">
        <v>347</v>
      </c>
      <c r="G51" s="163"/>
      <c r="H51" s="261" t="s">
        <v>352</v>
      </c>
      <c r="I51" s="276">
        <v>426311.0</v>
      </c>
    </row>
    <row r="52">
      <c r="A52" s="131">
        <v>16.0</v>
      </c>
      <c r="B52" s="131">
        <v>6.0</v>
      </c>
      <c r="C52" s="261">
        <v>-78748.75</v>
      </c>
      <c r="D52" s="261">
        <v>-173187.0</v>
      </c>
      <c r="F52" s="268" t="s">
        <v>351</v>
      </c>
      <c r="G52" s="191"/>
      <c r="H52" s="192"/>
      <c r="I52" s="278">
        <v>-0.7084</v>
      </c>
    </row>
    <row r="53">
      <c r="A53" s="131">
        <v>17.0</v>
      </c>
      <c r="B53" s="131">
        <v>7.0</v>
      </c>
      <c r="C53" s="261">
        <v>-204096.75</v>
      </c>
      <c r="D53" s="261">
        <v>-377283.75</v>
      </c>
      <c r="F53" s="131">
        <v>15.0</v>
      </c>
      <c r="G53" s="131">
        <v>5.0</v>
      </c>
      <c r="H53" s="261">
        <v>-1701.0</v>
      </c>
      <c r="I53" s="261">
        <v>9000.0</v>
      </c>
    </row>
    <row r="54">
      <c r="A54" s="131">
        <v>18.0</v>
      </c>
      <c r="B54" s="131">
        <v>8.0</v>
      </c>
      <c r="C54" s="261">
        <v>-470.0</v>
      </c>
      <c r="D54" s="261">
        <v>-377753.75</v>
      </c>
      <c r="F54" s="131">
        <v>16.0</v>
      </c>
      <c r="G54" s="131">
        <v>6.0</v>
      </c>
      <c r="H54" s="261">
        <v>-1889.0</v>
      </c>
      <c r="I54" s="261">
        <v>10000.0</v>
      </c>
    </row>
    <row r="55">
      <c r="A55" s="268" t="s">
        <v>353</v>
      </c>
      <c r="B55" s="191"/>
      <c r="C55" s="192"/>
      <c r="D55" s="269">
        <v>-377753.0</v>
      </c>
      <c r="F55" s="131">
        <v>17.0</v>
      </c>
      <c r="G55" s="131">
        <v>7.0</v>
      </c>
      <c r="H55" s="261">
        <v>-2077.0</v>
      </c>
      <c r="I55" s="261">
        <v>11000.0</v>
      </c>
    </row>
    <row r="56">
      <c r="F56" s="131">
        <v>18.0</v>
      </c>
      <c r="G56" s="131">
        <v>8.0</v>
      </c>
      <c r="H56" s="261">
        <v>-1529.0</v>
      </c>
      <c r="I56" s="261">
        <v>8100.0</v>
      </c>
    </row>
    <row r="57">
      <c r="F57" s="273" t="s">
        <v>347</v>
      </c>
      <c r="G57" s="38"/>
      <c r="H57" s="261" t="s">
        <v>354</v>
      </c>
      <c r="I57" s="276">
        <v>38167.0</v>
      </c>
    </row>
    <row r="58">
      <c r="F58" s="268" t="s">
        <v>353</v>
      </c>
      <c r="G58" s="191"/>
      <c r="H58" s="192"/>
      <c r="I58" s="278">
        <v>-0.1889</v>
      </c>
    </row>
  </sheetData>
  <mergeCells count="32">
    <mergeCell ref="A1:D2"/>
    <mergeCell ref="F1:I2"/>
    <mergeCell ref="A3:D3"/>
    <mergeCell ref="F3:I3"/>
    <mergeCell ref="A9:C9"/>
    <mergeCell ref="F9:H9"/>
    <mergeCell ref="A10:C10"/>
    <mergeCell ref="F14:H14"/>
    <mergeCell ref="A15:C15"/>
    <mergeCell ref="A16:C16"/>
    <mergeCell ref="F19:H19"/>
    <mergeCell ref="A21:C21"/>
    <mergeCell ref="A22:C22"/>
    <mergeCell ref="F24:H24"/>
    <mergeCell ref="F39:G39"/>
    <mergeCell ref="F40:H40"/>
    <mergeCell ref="A27:C27"/>
    <mergeCell ref="A28:C28"/>
    <mergeCell ref="A31:D32"/>
    <mergeCell ref="F31:I32"/>
    <mergeCell ref="A33:D33"/>
    <mergeCell ref="F33:I33"/>
    <mergeCell ref="A40:C40"/>
    <mergeCell ref="F57:G57"/>
    <mergeCell ref="F58:H58"/>
    <mergeCell ref="A45:C45"/>
    <mergeCell ref="F45:G45"/>
    <mergeCell ref="F46:H46"/>
    <mergeCell ref="A50:C50"/>
    <mergeCell ref="F51:G51"/>
    <mergeCell ref="F52:H52"/>
    <mergeCell ref="A55:C55"/>
  </mergeCells>
  <drawing r:id="rId1"/>
  <tableParts count="2">
    <tablePart r:id="rId4"/>
    <tablePart r:id="rId5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4" max="4" width="25.13"/>
    <col customWidth="1" min="5" max="5" width="25.63"/>
  </cols>
  <sheetData>
    <row r="3">
      <c r="B3" s="68" t="s">
        <v>89</v>
      </c>
      <c r="C3" s="69"/>
      <c r="D3" s="69"/>
      <c r="E3" s="107"/>
    </row>
    <row r="4">
      <c r="B4" s="74"/>
      <c r="E4" s="108"/>
    </row>
    <row r="5">
      <c r="B5" s="124" t="s">
        <v>273</v>
      </c>
      <c r="C5" s="37"/>
      <c r="D5" s="37"/>
      <c r="E5" s="38"/>
    </row>
    <row r="6">
      <c r="B6" s="83" t="s">
        <v>293</v>
      </c>
      <c r="C6" s="84" t="s">
        <v>301</v>
      </c>
      <c r="D6" s="84" t="s">
        <v>329</v>
      </c>
      <c r="E6" s="84" t="s">
        <v>330</v>
      </c>
    </row>
    <row r="7">
      <c r="B7" s="125">
        <v>1.0</v>
      </c>
      <c r="C7" s="125">
        <v>1.0</v>
      </c>
      <c r="D7" s="129">
        <v>2456205.0</v>
      </c>
      <c r="E7" s="261">
        <v>337000.0</v>
      </c>
    </row>
    <row r="8">
      <c r="B8" s="125">
        <v>2.0</v>
      </c>
      <c r="C8" s="125">
        <v>2.0</v>
      </c>
      <c r="D8" s="129">
        <v>2488320.0</v>
      </c>
      <c r="E8" s="261">
        <v>338500.0</v>
      </c>
    </row>
    <row r="9">
      <c r="B9" s="125">
        <v>3.0</v>
      </c>
      <c r="C9" s="125">
        <v>3.0</v>
      </c>
      <c r="D9" s="129">
        <v>2550389.0</v>
      </c>
      <c r="E9" s="261">
        <v>336750.0</v>
      </c>
    </row>
    <row r="10">
      <c r="B10" s="125">
        <v>4.0</v>
      </c>
      <c r="C10" s="125">
        <v>4.0</v>
      </c>
      <c r="D10" s="263">
        <v>2593657.0</v>
      </c>
      <c r="E10" s="261">
        <v>339414.0</v>
      </c>
    </row>
    <row r="11">
      <c r="B11" s="125">
        <v>5.0</v>
      </c>
      <c r="C11" s="131">
        <v>1.0</v>
      </c>
      <c r="D11" s="267">
        <v>2.542653E7</v>
      </c>
      <c r="E11" s="129">
        <v>452367.0</v>
      </c>
    </row>
    <row r="12">
      <c r="B12" s="125">
        <v>6.0</v>
      </c>
      <c r="C12" s="131">
        <v>2.0</v>
      </c>
      <c r="D12" s="267">
        <v>2.6212455E7</v>
      </c>
      <c r="E12" s="129">
        <v>478954.0</v>
      </c>
    </row>
    <row r="13">
      <c r="B13" s="125">
        <v>7.0</v>
      </c>
      <c r="C13" s="131">
        <v>3.0</v>
      </c>
      <c r="D13" s="267">
        <v>2653165.0</v>
      </c>
      <c r="E13" s="129">
        <v>462892.0</v>
      </c>
    </row>
    <row r="14">
      <c r="B14" s="125">
        <v>8.0</v>
      </c>
      <c r="C14" s="131">
        <v>4.0</v>
      </c>
      <c r="D14" s="267">
        <v>2.661555E7</v>
      </c>
      <c r="E14" s="129">
        <v>474909.0</v>
      </c>
    </row>
    <row r="15">
      <c r="B15" s="131">
        <v>11.0</v>
      </c>
      <c r="C15" s="131">
        <v>1.0</v>
      </c>
      <c r="D15" s="267">
        <v>2.68334E7</v>
      </c>
      <c r="E15" s="280">
        <v>892714.0</v>
      </c>
    </row>
    <row r="16">
      <c r="B16" s="131">
        <v>12.0</v>
      </c>
      <c r="C16" s="131">
        <v>2.0</v>
      </c>
      <c r="D16" s="267">
        <v>2.6954165E7</v>
      </c>
      <c r="E16" s="129">
        <v>906482.0</v>
      </c>
    </row>
    <row r="17">
      <c r="B17" s="131">
        <v>13.0</v>
      </c>
      <c r="C17" s="131">
        <v>3.0</v>
      </c>
      <c r="D17" s="267">
        <v>2.7055325E7</v>
      </c>
      <c r="E17" s="129">
        <v>879965.0</v>
      </c>
    </row>
    <row r="18">
      <c r="B18" s="271">
        <v>14.0</v>
      </c>
      <c r="C18" s="272">
        <v>4.0</v>
      </c>
      <c r="D18" s="267">
        <v>2.7406E7</v>
      </c>
      <c r="E18" s="129">
        <v>939205.0</v>
      </c>
    </row>
    <row r="19">
      <c r="B19" s="131">
        <v>15.0</v>
      </c>
      <c r="C19" s="131">
        <v>5.0</v>
      </c>
      <c r="D19" s="267">
        <v>2.725922E7</v>
      </c>
      <c r="E19" s="129">
        <v>1102345.0</v>
      </c>
    </row>
    <row r="20">
      <c r="B20" s="131">
        <v>16.0</v>
      </c>
      <c r="C20" s="131">
        <v>6.0</v>
      </c>
      <c r="D20" s="267">
        <v>2685595.0</v>
      </c>
      <c r="E20" s="129">
        <v>1110678.0</v>
      </c>
    </row>
    <row r="21">
      <c r="B21" s="131">
        <v>17.0</v>
      </c>
      <c r="C21" s="131">
        <v>7.0</v>
      </c>
      <c r="D21" s="267">
        <v>2.628965E7</v>
      </c>
      <c r="E21" s="129">
        <v>1081234.0</v>
      </c>
    </row>
    <row r="22">
      <c r="B22" s="131">
        <v>18.0</v>
      </c>
      <c r="C22" s="131">
        <v>8.0</v>
      </c>
      <c r="D22" s="274">
        <v>2.6125E7</v>
      </c>
      <c r="E22" s="129">
        <v>1143012.0</v>
      </c>
    </row>
  </sheetData>
  <mergeCells count="2">
    <mergeCell ref="B3:E4"/>
    <mergeCell ref="B5:E5"/>
  </mergeCells>
  <drawing r:id="rId1"/>
  <tableParts count="2">
    <tablePart r:id="rId4"/>
    <tablePart r:id="rId5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4" max="4" width="25.13"/>
    <col customWidth="1" min="5" max="5" width="25.63"/>
  </cols>
  <sheetData>
    <row r="1">
      <c r="A1" s="281" t="s">
        <v>288</v>
      </c>
      <c r="B1" s="282" t="s">
        <v>329</v>
      </c>
      <c r="C1" s="282" t="s">
        <v>330</v>
      </c>
    </row>
    <row r="2">
      <c r="A2" s="283">
        <v>43831.0</v>
      </c>
      <c r="B2" s="284">
        <v>2456205.0</v>
      </c>
      <c r="C2" s="285">
        <v>337000.0</v>
      </c>
    </row>
    <row r="3">
      <c r="A3" s="283">
        <v>43922.0</v>
      </c>
      <c r="B3" s="284">
        <v>2488320.0</v>
      </c>
      <c r="C3" s="285">
        <v>338500.0</v>
      </c>
    </row>
    <row r="4">
      <c r="A4" s="283">
        <v>44013.0</v>
      </c>
      <c r="B4" s="284">
        <v>2550389.0</v>
      </c>
      <c r="C4" s="285">
        <v>336750.0</v>
      </c>
    </row>
    <row r="5">
      <c r="A5" s="286">
        <v>44105.0</v>
      </c>
      <c r="B5" s="287">
        <v>2593657.0</v>
      </c>
      <c r="C5" s="285">
        <v>339414.0</v>
      </c>
    </row>
    <row r="6">
      <c r="A6" s="283">
        <v>44197.0</v>
      </c>
      <c r="B6" s="284">
        <v>2.542653E7</v>
      </c>
      <c r="C6" s="284">
        <v>452367.0</v>
      </c>
    </row>
    <row r="7">
      <c r="A7" s="283">
        <v>44287.0</v>
      </c>
      <c r="B7" s="284">
        <v>2.6212455E7</v>
      </c>
      <c r="C7" s="284">
        <v>478954.0</v>
      </c>
    </row>
    <row r="8">
      <c r="A8" s="283">
        <v>44378.0</v>
      </c>
      <c r="B8" s="284">
        <v>2653165.0</v>
      </c>
      <c r="C8" s="284">
        <v>462892.0</v>
      </c>
    </row>
    <row r="9">
      <c r="A9" s="283">
        <v>44470.0</v>
      </c>
      <c r="B9" s="284">
        <v>2.661555E7</v>
      </c>
      <c r="C9" s="284">
        <v>474909.0</v>
      </c>
    </row>
    <row r="10">
      <c r="A10" s="283">
        <v>44562.0</v>
      </c>
      <c r="B10" s="284">
        <v>2.68334E7</v>
      </c>
      <c r="C10" s="285">
        <v>892714.0</v>
      </c>
    </row>
    <row r="11">
      <c r="A11" s="283">
        <v>44652.0</v>
      </c>
      <c r="B11" s="284">
        <v>2.6954165E7</v>
      </c>
      <c r="C11" s="284">
        <v>906482.0</v>
      </c>
    </row>
    <row r="12">
      <c r="A12" s="283">
        <v>44743.0</v>
      </c>
      <c r="B12" s="284">
        <v>2.7055325E7</v>
      </c>
      <c r="C12" s="284">
        <v>879965.0</v>
      </c>
    </row>
    <row r="13">
      <c r="A13" s="283">
        <v>44835.0</v>
      </c>
      <c r="B13" s="284">
        <v>2.7406E7</v>
      </c>
      <c r="C13" s="284">
        <v>939205.0</v>
      </c>
    </row>
    <row r="14">
      <c r="A14" s="283">
        <v>44927.0</v>
      </c>
      <c r="B14" s="284">
        <v>2.725922E7</v>
      </c>
      <c r="C14" s="284">
        <v>1102345.0</v>
      </c>
    </row>
    <row r="15">
      <c r="A15" s="283">
        <v>45017.0</v>
      </c>
      <c r="B15" s="284">
        <v>2685595.0</v>
      </c>
      <c r="C15" s="284">
        <v>1110678.0</v>
      </c>
    </row>
    <row r="16">
      <c r="A16" s="283">
        <v>45108.0</v>
      </c>
      <c r="B16" s="284">
        <v>2.628965E7</v>
      </c>
      <c r="C16" s="284">
        <v>1081234.0</v>
      </c>
    </row>
    <row r="17">
      <c r="A17" s="288">
        <v>45200.0</v>
      </c>
      <c r="B17" s="285">
        <v>2.6125E7</v>
      </c>
      <c r="C17" s="284">
        <v>1143012.0</v>
      </c>
    </row>
  </sheetData>
  <drawing r:id="rId1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4" max="4" width="25.25"/>
    <col customWidth="1" min="5" max="5" width="25.63"/>
  </cols>
  <sheetData>
    <row r="2">
      <c r="B2" s="68" t="s">
        <v>343</v>
      </c>
      <c r="C2" s="69"/>
      <c r="D2" s="69"/>
      <c r="E2" s="107"/>
    </row>
    <row r="3">
      <c r="B3" s="74"/>
      <c r="E3" s="108"/>
    </row>
    <row r="4">
      <c r="B4" s="124" t="s">
        <v>273</v>
      </c>
      <c r="C4" s="37"/>
      <c r="D4" s="37"/>
      <c r="E4" s="38"/>
    </row>
    <row r="5">
      <c r="B5" s="83" t="s">
        <v>293</v>
      </c>
      <c r="C5" s="84" t="s">
        <v>301</v>
      </c>
      <c r="D5" s="84" t="s">
        <v>345</v>
      </c>
      <c r="E5" s="84" t="s">
        <v>346</v>
      </c>
    </row>
    <row r="6">
      <c r="B6" s="125">
        <v>1.0</v>
      </c>
      <c r="C6" s="125">
        <v>1.0</v>
      </c>
      <c r="D6" s="261">
        <v>-3424.25</v>
      </c>
      <c r="E6" s="261">
        <v>2500.0</v>
      </c>
    </row>
    <row r="7">
      <c r="B7" s="125">
        <v>2.0</v>
      </c>
      <c r="C7" s="125">
        <v>2.0</v>
      </c>
      <c r="D7" s="261">
        <v>-3847.56</v>
      </c>
      <c r="E7" s="261">
        <v>2800.0</v>
      </c>
    </row>
    <row r="8">
      <c r="B8" s="125">
        <v>3.0</v>
      </c>
      <c r="C8" s="125">
        <v>3.0</v>
      </c>
      <c r="D8" s="261">
        <v>-4116.86</v>
      </c>
      <c r="E8" s="261">
        <v>2000.0</v>
      </c>
    </row>
    <row r="9">
      <c r="B9" s="125">
        <v>4.0</v>
      </c>
      <c r="C9" s="125">
        <v>4.0</v>
      </c>
      <c r="D9" s="261">
        <v>-4203.86</v>
      </c>
      <c r="E9" s="261">
        <v>3068.0</v>
      </c>
    </row>
    <row r="10">
      <c r="B10" s="227" t="s">
        <v>347</v>
      </c>
      <c r="C10" s="163"/>
      <c r="D10" s="261">
        <v>-14197.02</v>
      </c>
      <c r="E10" s="276">
        <v>10368.0</v>
      </c>
    </row>
    <row r="11">
      <c r="B11" s="264" t="s">
        <v>348</v>
      </c>
      <c r="C11" s="191"/>
      <c r="D11" s="192"/>
      <c r="E11" s="277">
        <v>-1.3697</v>
      </c>
    </row>
    <row r="12">
      <c r="B12" s="125">
        <v>5.0</v>
      </c>
      <c r="C12" s="131">
        <v>1.0</v>
      </c>
      <c r="D12" s="261">
        <v>-7248.0</v>
      </c>
      <c r="E12" s="261">
        <v>8000.0</v>
      </c>
    </row>
    <row r="13">
      <c r="B13" s="125">
        <v>6.0</v>
      </c>
      <c r="C13" s="131">
        <v>2.0</v>
      </c>
      <c r="D13" s="261">
        <v>-8135.0</v>
      </c>
      <c r="E13" s="261">
        <v>9000.0</v>
      </c>
    </row>
    <row r="14">
      <c r="B14" s="125">
        <v>7.0</v>
      </c>
      <c r="C14" s="131">
        <v>3.0</v>
      </c>
      <c r="D14" s="261">
        <v>-9042.0</v>
      </c>
      <c r="E14" s="261">
        <v>10000.0</v>
      </c>
    </row>
    <row r="15">
      <c r="B15" s="125">
        <v>8.0</v>
      </c>
      <c r="C15" s="131">
        <v>4.0</v>
      </c>
      <c r="D15" s="261">
        <v>-12670.0</v>
      </c>
      <c r="E15" s="261">
        <v>13995.0</v>
      </c>
    </row>
    <row r="16">
      <c r="B16" s="227" t="s">
        <v>347</v>
      </c>
      <c r="C16" s="163"/>
      <c r="D16" s="261" t="s">
        <v>350</v>
      </c>
      <c r="E16" s="276">
        <v>32995.0</v>
      </c>
    </row>
    <row r="17">
      <c r="B17" s="268" t="s">
        <v>349</v>
      </c>
      <c r="C17" s="191"/>
      <c r="D17" s="192"/>
      <c r="E17" s="278">
        <v>-0.906</v>
      </c>
    </row>
    <row r="18">
      <c r="B18" s="131">
        <v>11.0</v>
      </c>
      <c r="C18" s="131">
        <v>1.0</v>
      </c>
      <c r="D18" s="261">
        <v>-70840.0</v>
      </c>
      <c r="E18" s="261">
        <v>100000.0</v>
      </c>
    </row>
    <row r="19">
      <c r="B19" s="131">
        <v>12.0</v>
      </c>
      <c r="C19" s="131">
        <v>2.0</v>
      </c>
      <c r="D19" s="261">
        <v>-85008.0</v>
      </c>
      <c r="E19" s="261">
        <v>120000.0</v>
      </c>
    </row>
    <row r="20">
      <c r="B20" s="131">
        <v>13.0</v>
      </c>
      <c r="C20" s="131">
        <v>3.0</v>
      </c>
      <c r="D20" s="261">
        <v>-75042.0</v>
      </c>
      <c r="E20" s="261">
        <v>106311.0</v>
      </c>
    </row>
    <row r="21">
      <c r="B21" s="271">
        <v>14.0</v>
      </c>
      <c r="C21" s="272">
        <v>4.0</v>
      </c>
      <c r="D21" s="261">
        <v>-70840.0</v>
      </c>
      <c r="E21" s="261">
        <v>100000.0</v>
      </c>
    </row>
    <row r="22">
      <c r="B22" s="279" t="s">
        <v>347</v>
      </c>
      <c r="C22" s="163"/>
      <c r="D22" s="261" t="s">
        <v>352</v>
      </c>
      <c r="E22" s="276">
        <v>426311.0</v>
      </c>
    </row>
    <row r="23">
      <c r="B23" s="268" t="s">
        <v>351</v>
      </c>
      <c r="C23" s="191"/>
      <c r="D23" s="192"/>
      <c r="E23" s="278">
        <v>-0.7084</v>
      </c>
    </row>
    <row r="24">
      <c r="B24" s="131">
        <v>15.0</v>
      </c>
      <c r="C24" s="131">
        <v>5.0</v>
      </c>
      <c r="D24" s="261">
        <v>-1701.0</v>
      </c>
      <c r="E24" s="261">
        <v>9000.0</v>
      </c>
    </row>
    <row r="25">
      <c r="B25" s="131">
        <v>16.0</v>
      </c>
      <c r="C25" s="131">
        <v>6.0</v>
      </c>
      <c r="D25" s="261">
        <v>-1889.0</v>
      </c>
      <c r="E25" s="261">
        <v>10000.0</v>
      </c>
    </row>
    <row r="26">
      <c r="B26" s="131">
        <v>17.0</v>
      </c>
      <c r="C26" s="131">
        <v>7.0</v>
      </c>
      <c r="D26" s="261">
        <v>-2077.0</v>
      </c>
      <c r="E26" s="261">
        <v>11000.0</v>
      </c>
    </row>
    <row r="27">
      <c r="B27" s="131">
        <v>18.0</v>
      </c>
      <c r="C27" s="131">
        <v>8.0</v>
      </c>
      <c r="D27" s="261">
        <v>-1529.0</v>
      </c>
      <c r="E27" s="261">
        <v>8100.0</v>
      </c>
    </row>
    <row r="28">
      <c r="B28" s="273" t="s">
        <v>347</v>
      </c>
      <c r="C28" s="38"/>
      <c r="D28" s="261" t="s">
        <v>354</v>
      </c>
      <c r="E28" s="276">
        <v>38167.0</v>
      </c>
    </row>
    <row r="29">
      <c r="B29" s="268" t="s">
        <v>353</v>
      </c>
      <c r="C29" s="191"/>
      <c r="D29" s="192"/>
      <c r="E29" s="278">
        <v>-0.1889</v>
      </c>
    </row>
  </sheetData>
  <mergeCells count="10">
    <mergeCell ref="B22:C22"/>
    <mergeCell ref="B28:C28"/>
    <mergeCell ref="B29:D29"/>
    <mergeCell ref="B2:E3"/>
    <mergeCell ref="B4:E4"/>
    <mergeCell ref="B10:C10"/>
    <mergeCell ref="B11:D11"/>
    <mergeCell ref="B16:C16"/>
    <mergeCell ref="B17:D17"/>
    <mergeCell ref="B23:D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showGridLines="0" workbookViewId="0"/>
  </sheetViews>
  <sheetFormatPr customHeight="1" defaultColWidth="12.63" defaultRowHeight="15.75"/>
  <cols>
    <col customWidth="1" min="9" max="9" width="19.88"/>
    <col customWidth="1" min="10" max="10" width="12.88"/>
    <col customWidth="1" min="15" max="15" width="15.25"/>
    <col customWidth="1" min="22" max="22" width="20.63"/>
  </cols>
  <sheetData>
    <row r="2">
      <c r="B2" s="57" t="s">
        <v>272</v>
      </c>
    </row>
    <row r="3">
      <c r="C3" s="58"/>
      <c r="D3" s="58"/>
      <c r="E3" s="58"/>
      <c r="F3" s="58" t="s">
        <v>273</v>
      </c>
      <c r="G3" s="58"/>
    </row>
    <row r="4">
      <c r="B4" s="59"/>
      <c r="C4" s="60">
        <v>2023.0</v>
      </c>
      <c r="D4" s="60">
        <v>2022.0</v>
      </c>
      <c r="E4" s="60">
        <v>2021.0</v>
      </c>
      <c r="F4" s="60">
        <v>2020.0</v>
      </c>
      <c r="G4" s="60">
        <v>2019.0</v>
      </c>
      <c r="I4" s="61"/>
      <c r="J4" s="60">
        <v>2023.0</v>
      </c>
      <c r="K4" s="60">
        <v>2022.0</v>
      </c>
      <c r="L4" s="60">
        <v>2021.0</v>
      </c>
      <c r="M4" s="60">
        <v>2020.0</v>
      </c>
      <c r="O4" s="60"/>
      <c r="P4" s="60">
        <v>2023.0</v>
      </c>
      <c r="Q4" s="60">
        <v>2022.0</v>
      </c>
      <c r="R4" s="60">
        <v>2021.0</v>
      </c>
      <c r="S4" s="60">
        <v>2020.0</v>
      </c>
      <c r="T4" s="60">
        <v>2019.0</v>
      </c>
    </row>
    <row r="5">
      <c r="B5" s="60" t="s">
        <v>34</v>
      </c>
      <c r="C5" s="62">
        <f>-2056320</f>
        <v>-2056320</v>
      </c>
      <c r="D5" s="62">
        <f>1852623</f>
        <v>1852623</v>
      </c>
      <c r="E5" s="62">
        <f>-1554752</f>
        <v>-1554752</v>
      </c>
      <c r="F5" s="62">
        <f>-1651431</f>
        <v>-1651431</v>
      </c>
      <c r="G5" s="62">
        <f>-2687103</f>
        <v>-2687103</v>
      </c>
      <c r="I5" s="61" t="s">
        <v>274</v>
      </c>
      <c r="J5" s="63">
        <f>-1378000000/4438000000</f>
        <v>-0.3105002253</v>
      </c>
      <c r="K5" s="63">
        <f>1978000000/3618000000</f>
        <v>0.54671089</v>
      </c>
      <c r="L5" s="63">
        <f>-1676000000/1869000000</f>
        <v>-0.8967362226</v>
      </c>
      <c r="M5" s="63">
        <f>-1349042000000/1351664000000</f>
        <v>-0.9980601688</v>
      </c>
      <c r="O5" s="60" t="s">
        <v>275</v>
      </c>
      <c r="P5" s="63">
        <f>-5%</f>
        <v>-0.05</v>
      </c>
      <c r="Q5" s="63">
        <f>7%</f>
        <v>0.07</v>
      </c>
      <c r="R5" s="63">
        <f>-7%</f>
        <v>-0.07</v>
      </c>
      <c r="S5" s="63">
        <f>-84%</f>
        <v>-0.84</v>
      </c>
      <c r="T5" s="63">
        <f>-242%</f>
        <v>-2.42</v>
      </c>
    </row>
    <row r="6">
      <c r="I6" s="64"/>
    </row>
    <row r="34">
      <c r="I34" s="65"/>
      <c r="J34" s="65"/>
    </row>
    <row r="40">
      <c r="B40" s="66"/>
      <c r="C40" s="60">
        <v>2023.0</v>
      </c>
      <c r="D40" s="60">
        <v>2022.0</v>
      </c>
      <c r="E40" s="60">
        <v>2021.0</v>
      </c>
      <c r="F40" s="60">
        <v>2020.0</v>
      </c>
      <c r="G40" s="60">
        <v>2019.0</v>
      </c>
    </row>
    <row r="41">
      <c r="B41" s="66" t="s">
        <v>44</v>
      </c>
      <c r="C41" s="63">
        <f>-1.58%</f>
        <v>-0.0158</v>
      </c>
      <c r="D41" s="63">
        <f>-5.27%</f>
        <v>-0.0527</v>
      </c>
      <c r="E41" s="63">
        <f>7.93%</f>
        <v>0.0793</v>
      </c>
      <c r="F41" s="63">
        <f>-13.3%</f>
        <v>-0.133</v>
      </c>
      <c r="G41" s="63">
        <f>-96.24%</f>
        <v>-0.9624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3" width="25.25"/>
    <col customWidth="1" min="4" max="4" width="25.63"/>
  </cols>
  <sheetData>
    <row r="1">
      <c r="A1" s="289" t="s">
        <v>288</v>
      </c>
      <c r="B1" s="289" t="s">
        <v>345</v>
      </c>
      <c r="C1" s="289" t="s">
        <v>346</v>
      </c>
    </row>
    <row r="2">
      <c r="A2" s="290">
        <v>43831.0</v>
      </c>
      <c r="B2" s="291">
        <v>-3424.25</v>
      </c>
      <c r="C2" s="291">
        <v>2500.0</v>
      </c>
    </row>
    <row r="3">
      <c r="A3" s="290">
        <v>43922.0</v>
      </c>
      <c r="B3" s="291">
        <v>-3847.56</v>
      </c>
      <c r="C3" s="291">
        <v>2800.0</v>
      </c>
    </row>
    <row r="4">
      <c r="A4" s="290">
        <v>44013.0</v>
      </c>
      <c r="B4" s="291">
        <v>-4116.86</v>
      </c>
      <c r="C4" s="291">
        <v>2000.0</v>
      </c>
    </row>
    <row r="5">
      <c r="A5" s="290">
        <v>44105.0</v>
      </c>
      <c r="B5" s="291">
        <v>-4203.86</v>
      </c>
      <c r="C5" s="291">
        <v>3068.0</v>
      </c>
    </row>
    <row r="6">
      <c r="A6" s="290">
        <v>44197.0</v>
      </c>
      <c r="B6" s="291">
        <v>-7248.0</v>
      </c>
      <c r="C6" s="291">
        <v>8000.0</v>
      </c>
    </row>
    <row r="7">
      <c r="A7" s="290">
        <v>44287.0</v>
      </c>
      <c r="B7" s="291">
        <v>-8135.0</v>
      </c>
      <c r="C7" s="291">
        <v>9000.0</v>
      </c>
    </row>
    <row r="8">
      <c r="A8" s="290">
        <v>44378.0</v>
      </c>
      <c r="B8" s="291">
        <v>-9042.0</v>
      </c>
      <c r="C8" s="291">
        <v>10000.0</v>
      </c>
    </row>
    <row r="9">
      <c r="A9" s="290">
        <v>44470.0</v>
      </c>
      <c r="B9" s="291">
        <v>-12670.0</v>
      </c>
      <c r="C9" s="291">
        <v>13995.0</v>
      </c>
    </row>
    <row r="10">
      <c r="A10" s="290">
        <v>44562.0</v>
      </c>
      <c r="B10" s="291">
        <v>-70840.0</v>
      </c>
      <c r="C10" s="291">
        <v>100000.0</v>
      </c>
    </row>
    <row r="11">
      <c r="A11" s="290">
        <v>44652.0</v>
      </c>
      <c r="B11" s="291">
        <v>-85008.0</v>
      </c>
      <c r="C11" s="291">
        <v>120000.0</v>
      </c>
    </row>
    <row r="12">
      <c r="A12" s="290">
        <v>44743.0</v>
      </c>
      <c r="B12" s="291">
        <v>-75042.0</v>
      </c>
      <c r="C12" s="291">
        <v>106311.0</v>
      </c>
    </row>
    <row r="13">
      <c r="A13" s="290">
        <v>44835.0</v>
      </c>
      <c r="B13" s="291">
        <v>-70840.0</v>
      </c>
      <c r="C13" s="291">
        <v>100000.0</v>
      </c>
    </row>
    <row r="14">
      <c r="A14" s="292">
        <v>44927.0</v>
      </c>
      <c r="B14" s="291">
        <v>-1701.0</v>
      </c>
      <c r="C14" s="291">
        <v>9000.0</v>
      </c>
    </row>
    <row r="15">
      <c r="A15" s="292">
        <v>45017.0</v>
      </c>
      <c r="B15" s="291">
        <v>-1889.0</v>
      </c>
      <c r="C15" s="291">
        <v>10000.0</v>
      </c>
    </row>
    <row r="16">
      <c r="A16" s="292">
        <v>45108.0</v>
      </c>
      <c r="B16" s="291">
        <v>-2077.0</v>
      </c>
      <c r="C16" s="291">
        <v>11000.0</v>
      </c>
    </row>
    <row r="17">
      <c r="A17" s="293">
        <v>45200.0</v>
      </c>
      <c r="B17" s="291">
        <v>-1529.0</v>
      </c>
      <c r="C17" s="291">
        <v>8100.0</v>
      </c>
    </row>
  </sheetData>
  <drawing r:id="rId1"/>
  <tableParts count="2">
    <tablePart r:id="rId4"/>
    <tablePart r:id="rId5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4" max="4" width="25.63"/>
    <col customWidth="1" min="5" max="5" width="38.25"/>
  </cols>
  <sheetData>
    <row r="2">
      <c r="B2" s="68" t="s">
        <v>328</v>
      </c>
      <c r="C2" s="69"/>
      <c r="D2" s="69"/>
      <c r="E2" s="107"/>
    </row>
    <row r="3">
      <c r="B3" s="74"/>
      <c r="E3" s="108"/>
    </row>
    <row r="4">
      <c r="B4" s="124" t="s">
        <v>273</v>
      </c>
      <c r="C4" s="37"/>
      <c r="D4" s="37"/>
      <c r="E4" s="38"/>
    </row>
    <row r="5">
      <c r="B5" s="83" t="s">
        <v>293</v>
      </c>
      <c r="C5" s="84" t="s">
        <v>301</v>
      </c>
      <c r="D5" s="84" t="s">
        <v>331</v>
      </c>
      <c r="E5" s="84" t="s">
        <v>332</v>
      </c>
    </row>
    <row r="6">
      <c r="B6" s="125">
        <v>1.0</v>
      </c>
      <c r="C6" s="125">
        <v>1.0</v>
      </c>
      <c r="D6" s="129">
        <v>-389456.75</v>
      </c>
      <c r="E6" s="261">
        <v>-389456.75</v>
      </c>
    </row>
    <row r="7">
      <c r="B7" s="125">
        <v>2.0</v>
      </c>
      <c r="C7" s="125">
        <v>2.0</v>
      </c>
      <c r="D7" s="129">
        <v>-412789.33</v>
      </c>
      <c r="E7" s="261">
        <v>-802246.08</v>
      </c>
    </row>
    <row r="8">
      <c r="B8" s="125">
        <v>3.0</v>
      </c>
      <c r="C8" s="125">
        <v>3.0</v>
      </c>
      <c r="D8" s="129">
        <v>-364123.92</v>
      </c>
      <c r="E8" s="261">
        <v>-1166369.99</v>
      </c>
    </row>
    <row r="9">
      <c r="B9" s="125">
        <v>4.0</v>
      </c>
      <c r="C9" s="125">
        <v>4.0</v>
      </c>
      <c r="D9" s="263">
        <v>-374384.01</v>
      </c>
      <c r="E9" s="261">
        <v>-1540754.0</v>
      </c>
    </row>
    <row r="10">
      <c r="B10" s="264" t="s">
        <v>334</v>
      </c>
      <c r="C10" s="188"/>
      <c r="D10" s="163"/>
      <c r="E10" s="265">
        <v>-1540754.0</v>
      </c>
    </row>
    <row r="11">
      <c r="B11" s="125">
        <v>5.0</v>
      </c>
      <c r="C11" s="131">
        <v>1.0</v>
      </c>
      <c r="D11" s="261">
        <v>-376830.75</v>
      </c>
      <c r="E11" s="261">
        <v>-376830.75</v>
      </c>
    </row>
    <row r="12">
      <c r="B12" s="125">
        <v>6.0</v>
      </c>
      <c r="C12" s="131">
        <v>2.0</v>
      </c>
      <c r="D12" s="261">
        <v>-367569.42</v>
      </c>
      <c r="E12" s="261">
        <v>-744400.17</v>
      </c>
    </row>
    <row r="13">
      <c r="B13" s="125">
        <v>7.0</v>
      </c>
      <c r="C13" s="131">
        <v>3.0</v>
      </c>
      <c r="D13" s="261">
        <v>-368481.29</v>
      </c>
      <c r="E13" s="261">
        <v>-1112881.46</v>
      </c>
    </row>
    <row r="14">
      <c r="B14" s="125">
        <v>8.0</v>
      </c>
      <c r="C14" s="131">
        <v>4.0</v>
      </c>
      <c r="D14" s="261">
        <v>-241519.54</v>
      </c>
      <c r="E14" s="261">
        <v>-1354401.0</v>
      </c>
    </row>
    <row r="15">
      <c r="B15" s="268" t="s">
        <v>336</v>
      </c>
      <c r="C15" s="191"/>
      <c r="D15" s="192"/>
      <c r="E15" s="269">
        <v>-1354401.0</v>
      </c>
    </row>
    <row r="16">
      <c r="B16" s="131">
        <v>11.0</v>
      </c>
      <c r="C16" s="131">
        <v>1.0</v>
      </c>
      <c r="D16" s="261">
        <v>-589456.75</v>
      </c>
      <c r="E16" s="261">
        <v>-589456.75</v>
      </c>
    </row>
    <row r="17">
      <c r="B17" s="131">
        <v>12.0</v>
      </c>
      <c r="C17" s="131">
        <v>2.0</v>
      </c>
      <c r="D17" s="261">
        <v>-612789.33</v>
      </c>
      <c r="E17" s="261">
        <v>-1202246.08</v>
      </c>
    </row>
    <row r="18">
      <c r="B18" s="131">
        <v>13.0</v>
      </c>
      <c r="C18" s="131">
        <v>3.0</v>
      </c>
      <c r="D18" s="261">
        <v>-564123.92</v>
      </c>
      <c r="E18" s="261">
        <v>-1766369.99</v>
      </c>
    </row>
    <row r="19">
      <c r="B19" s="271">
        <v>14.0</v>
      </c>
      <c r="C19" s="272">
        <v>4.0</v>
      </c>
      <c r="D19" s="261">
        <v>3932925.0</v>
      </c>
      <c r="E19" s="261">
        <v>2166555.0</v>
      </c>
    </row>
    <row r="20">
      <c r="B20" s="268" t="s">
        <v>338</v>
      </c>
      <c r="C20" s="188"/>
      <c r="D20" s="163"/>
      <c r="E20" s="269">
        <v>2166555.0</v>
      </c>
    </row>
    <row r="21">
      <c r="B21" s="131">
        <v>15.0</v>
      </c>
      <c r="C21" s="131">
        <v>5.0</v>
      </c>
      <c r="D21" s="261">
        <v>-421946.75</v>
      </c>
      <c r="E21" s="261">
        <v>-421946.75</v>
      </c>
    </row>
    <row r="22">
      <c r="B22" s="131">
        <v>16.0</v>
      </c>
      <c r="C22" s="131">
        <v>6.0</v>
      </c>
      <c r="D22" s="261">
        <v>-428346.12</v>
      </c>
      <c r="E22" s="261">
        <v>-850292.87</v>
      </c>
    </row>
    <row r="23">
      <c r="B23" s="131">
        <v>17.0</v>
      </c>
      <c r="C23" s="131">
        <v>7.0</v>
      </c>
      <c r="D23" s="261">
        <v>-450278.59</v>
      </c>
      <c r="E23" s="261">
        <v>-1300571.46</v>
      </c>
    </row>
    <row r="24">
      <c r="B24" s="131">
        <v>18.0</v>
      </c>
      <c r="C24" s="131">
        <v>8.0</v>
      </c>
      <c r="D24" s="261">
        <v>-436297.54</v>
      </c>
      <c r="E24" s="261">
        <v>-1736869.0</v>
      </c>
    </row>
    <row r="25">
      <c r="B25" s="268" t="s">
        <v>340</v>
      </c>
      <c r="C25" s="191"/>
      <c r="D25" s="192"/>
      <c r="E25" s="269">
        <v>-1736869.0</v>
      </c>
    </row>
  </sheetData>
  <mergeCells count="6">
    <mergeCell ref="B2:E3"/>
    <mergeCell ref="B4:E4"/>
    <mergeCell ref="B10:D10"/>
    <mergeCell ref="B15:D15"/>
    <mergeCell ref="B20:D20"/>
    <mergeCell ref="B25:D25"/>
  </mergeCells>
  <drawing r:id="rId1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3" width="34.25"/>
  </cols>
  <sheetData>
    <row r="1">
      <c r="A1" s="289" t="s">
        <v>288</v>
      </c>
      <c r="B1" s="294" t="s">
        <v>355</v>
      </c>
      <c r="C1" s="294" t="s">
        <v>356</v>
      </c>
    </row>
    <row r="2">
      <c r="A2" s="295">
        <v>43831.0</v>
      </c>
      <c r="B2" s="296">
        <v>1500000.0</v>
      </c>
      <c r="C2" s="297">
        <v>1889457.0</v>
      </c>
    </row>
    <row r="3">
      <c r="A3" s="295">
        <v>43922.0</v>
      </c>
      <c r="B3" s="296">
        <v>1600000.0</v>
      </c>
      <c r="C3" s="297">
        <v>2012789.0</v>
      </c>
    </row>
    <row r="4">
      <c r="A4" s="295">
        <v>44013.0</v>
      </c>
      <c r="B4" s="297">
        <v>1450000.0</v>
      </c>
      <c r="C4" s="297">
        <v>1814124.0</v>
      </c>
    </row>
    <row r="5">
      <c r="A5" s="298">
        <v>44105.0</v>
      </c>
      <c r="B5" s="297">
        <v>1480000.0</v>
      </c>
      <c r="C5" s="297">
        <v>1854384.0</v>
      </c>
    </row>
    <row r="6">
      <c r="A6" s="299">
        <v>44197.0</v>
      </c>
      <c r="B6" s="297">
        <v>1470000.0</v>
      </c>
      <c r="C6" s="297">
        <v>1846831.0</v>
      </c>
    </row>
    <row r="7">
      <c r="A7" s="299">
        <v>44287.0</v>
      </c>
      <c r="B7" s="297">
        <v>1460000.0</v>
      </c>
      <c r="C7" s="297">
        <v>1827569.0</v>
      </c>
    </row>
    <row r="8">
      <c r="A8" s="299">
        <v>44378.0</v>
      </c>
      <c r="B8" s="297">
        <v>1450000.0</v>
      </c>
      <c r="C8" s="297">
        <v>1818481.0</v>
      </c>
    </row>
    <row r="9">
      <c r="A9" s="299">
        <v>44470.0</v>
      </c>
      <c r="B9" s="297">
        <v>1300000.0</v>
      </c>
      <c r="C9" s="297">
        <v>1541520.0</v>
      </c>
    </row>
    <row r="10">
      <c r="A10" s="299">
        <v>44562.0</v>
      </c>
      <c r="B10" s="297">
        <v>1800000.0</v>
      </c>
      <c r="C10" s="297">
        <v>2389457.0</v>
      </c>
    </row>
    <row r="11">
      <c r="A11" s="299">
        <v>44652.0</v>
      </c>
      <c r="B11" s="297">
        <v>1900000.0</v>
      </c>
      <c r="C11" s="297">
        <v>2512789.0</v>
      </c>
    </row>
    <row r="12">
      <c r="A12" s="299">
        <v>44743.0</v>
      </c>
      <c r="B12" s="297">
        <v>1750000.0</v>
      </c>
      <c r="C12" s="297">
        <v>2314124.0</v>
      </c>
    </row>
    <row r="13">
      <c r="A13" s="299">
        <v>44835.0</v>
      </c>
      <c r="B13" s="297">
        <v>6000000.0</v>
      </c>
      <c r="C13" s="297">
        <v>2067075.0</v>
      </c>
    </row>
    <row r="14">
      <c r="A14" s="299">
        <v>44927.0</v>
      </c>
      <c r="B14" s="297">
        <v>1600000.0</v>
      </c>
      <c r="C14" s="296">
        <v>2021947.0</v>
      </c>
    </row>
    <row r="15">
      <c r="A15" s="299">
        <v>45017.0</v>
      </c>
      <c r="B15" s="297">
        <v>1620000.0</v>
      </c>
      <c r="C15" s="297">
        <v>2048346.0</v>
      </c>
    </row>
    <row r="16">
      <c r="A16" s="299">
        <v>45108.0</v>
      </c>
      <c r="B16" s="297">
        <v>1650000.0</v>
      </c>
      <c r="C16" s="296">
        <v>2100279.0</v>
      </c>
    </row>
    <row r="17">
      <c r="A17" s="299">
        <v>45200.0</v>
      </c>
      <c r="B17" s="296">
        <v>1630000.0</v>
      </c>
      <c r="C17" s="297">
        <v>2066298.0</v>
      </c>
    </row>
    <row r="18">
      <c r="B18" s="106"/>
      <c r="C18" s="106"/>
    </row>
    <row r="19">
      <c r="A19" s="300"/>
      <c r="B19" s="301"/>
      <c r="C19" s="106"/>
    </row>
    <row r="20">
      <c r="A20" s="302"/>
      <c r="B20" s="297"/>
      <c r="C20" s="106"/>
    </row>
    <row r="21">
      <c r="A21" s="302"/>
      <c r="B21" s="297"/>
      <c r="C21" s="106"/>
    </row>
    <row r="22">
      <c r="A22" s="302"/>
      <c r="B22" s="297"/>
      <c r="C22" s="106"/>
    </row>
    <row r="23">
      <c r="A23" s="302"/>
      <c r="B23" s="297"/>
      <c r="C23" s="106"/>
    </row>
    <row r="24">
      <c r="A24" s="302"/>
      <c r="B24" s="297"/>
      <c r="C24" s="106"/>
    </row>
    <row r="25">
      <c r="A25" s="302"/>
      <c r="B25" s="297"/>
      <c r="C25" s="106"/>
    </row>
    <row r="26">
      <c r="A26" s="302"/>
      <c r="B26" s="297"/>
      <c r="C26" s="106"/>
    </row>
    <row r="27">
      <c r="A27" s="302"/>
      <c r="B27" s="297"/>
      <c r="C27" s="106"/>
    </row>
    <row r="28">
      <c r="A28" s="302"/>
      <c r="B28" s="297"/>
      <c r="C28" s="106"/>
    </row>
    <row r="29">
      <c r="A29" s="302"/>
      <c r="B29" s="297"/>
      <c r="C29" s="106"/>
    </row>
    <row r="30">
      <c r="A30" s="302"/>
      <c r="B30" s="297"/>
      <c r="C30" s="106"/>
    </row>
    <row r="31">
      <c r="A31" s="302"/>
      <c r="B31" s="297"/>
      <c r="C31" s="106"/>
    </row>
    <row r="32">
      <c r="A32" s="302"/>
      <c r="B32" s="297"/>
      <c r="C32" s="106"/>
    </row>
    <row r="33">
      <c r="A33" s="302"/>
      <c r="B33" s="297"/>
      <c r="C33" s="106"/>
    </row>
    <row r="34">
      <c r="A34" s="302"/>
      <c r="B34" s="297"/>
      <c r="C34" s="106"/>
    </row>
    <row r="35">
      <c r="A35" s="302"/>
      <c r="B35" s="297"/>
      <c r="C35" s="106"/>
    </row>
    <row r="36">
      <c r="B36" s="106"/>
      <c r="C36" s="106"/>
    </row>
    <row r="37">
      <c r="B37" s="106"/>
      <c r="C37" s="106"/>
    </row>
    <row r="38">
      <c r="B38" s="106"/>
      <c r="C38" s="106"/>
    </row>
    <row r="39">
      <c r="B39" s="106"/>
      <c r="C39" s="106"/>
    </row>
    <row r="40">
      <c r="B40" s="106"/>
      <c r="C40" s="106"/>
    </row>
    <row r="41">
      <c r="B41" s="106"/>
      <c r="C41" s="106"/>
    </row>
    <row r="42">
      <c r="B42" s="106"/>
      <c r="C42" s="106"/>
    </row>
    <row r="43">
      <c r="B43" s="106"/>
      <c r="C43" s="106"/>
    </row>
    <row r="44">
      <c r="B44" s="106"/>
      <c r="C44" s="106"/>
    </row>
    <row r="45">
      <c r="B45" s="106"/>
      <c r="C45" s="106"/>
    </row>
    <row r="46">
      <c r="B46" s="106"/>
      <c r="C46" s="106"/>
    </row>
    <row r="47">
      <c r="B47" s="106"/>
      <c r="C47" s="106"/>
    </row>
    <row r="48">
      <c r="B48" s="106"/>
      <c r="C48" s="106"/>
    </row>
    <row r="49">
      <c r="B49" s="106"/>
      <c r="C49" s="106"/>
    </row>
    <row r="50">
      <c r="B50" s="106"/>
      <c r="C50" s="106"/>
    </row>
    <row r="51">
      <c r="B51" s="106"/>
      <c r="C51" s="106"/>
    </row>
    <row r="52">
      <c r="B52" s="106"/>
      <c r="C52" s="106"/>
    </row>
    <row r="53">
      <c r="B53" s="106"/>
      <c r="C53" s="106"/>
    </row>
    <row r="54">
      <c r="B54" s="106"/>
      <c r="C54" s="106"/>
    </row>
    <row r="55">
      <c r="B55" s="106"/>
      <c r="C55" s="106"/>
    </row>
    <row r="56">
      <c r="B56" s="106"/>
      <c r="C56" s="106"/>
    </row>
    <row r="57">
      <c r="B57" s="106"/>
      <c r="C57" s="106"/>
    </row>
    <row r="58">
      <c r="B58" s="106"/>
      <c r="C58" s="106"/>
    </row>
    <row r="59">
      <c r="B59" s="106"/>
      <c r="C59" s="106"/>
    </row>
    <row r="60">
      <c r="B60" s="106"/>
      <c r="C60" s="106"/>
    </row>
    <row r="61">
      <c r="B61" s="106"/>
      <c r="C61" s="106"/>
    </row>
    <row r="62">
      <c r="B62" s="106"/>
      <c r="C62" s="106"/>
    </row>
    <row r="63">
      <c r="B63" s="106"/>
      <c r="C63" s="106"/>
    </row>
    <row r="64">
      <c r="B64" s="106"/>
      <c r="C64" s="106"/>
    </row>
    <row r="65">
      <c r="B65" s="106"/>
      <c r="C65" s="106"/>
    </row>
    <row r="66">
      <c r="B66" s="106"/>
      <c r="C66" s="106"/>
    </row>
    <row r="67">
      <c r="B67" s="106"/>
      <c r="C67" s="106"/>
    </row>
    <row r="68">
      <c r="B68" s="106"/>
      <c r="C68" s="106"/>
    </row>
    <row r="69">
      <c r="B69" s="106"/>
      <c r="C69" s="106"/>
    </row>
    <row r="70">
      <c r="B70" s="106"/>
      <c r="C70" s="106"/>
    </row>
    <row r="71">
      <c r="B71" s="106"/>
      <c r="C71" s="106"/>
    </row>
    <row r="72">
      <c r="B72" s="106"/>
      <c r="C72" s="106"/>
    </row>
    <row r="73">
      <c r="B73" s="106"/>
      <c r="C73" s="106"/>
    </row>
    <row r="74">
      <c r="B74" s="106"/>
      <c r="C74" s="106"/>
    </row>
    <row r="75">
      <c r="B75" s="106"/>
      <c r="C75" s="106"/>
    </row>
    <row r="76">
      <c r="B76" s="106"/>
      <c r="C76" s="106"/>
    </row>
    <row r="77">
      <c r="B77" s="106"/>
      <c r="C77" s="106"/>
    </row>
    <row r="78">
      <c r="B78" s="106"/>
      <c r="C78" s="106"/>
    </row>
    <row r="79">
      <c r="B79" s="106"/>
      <c r="C79" s="106"/>
    </row>
    <row r="80">
      <c r="B80" s="106"/>
      <c r="C80" s="106"/>
    </row>
    <row r="81">
      <c r="B81" s="106"/>
      <c r="C81" s="106"/>
    </row>
    <row r="82">
      <c r="B82" s="106"/>
      <c r="C82" s="106"/>
    </row>
    <row r="83">
      <c r="B83" s="106"/>
      <c r="C83" s="106"/>
    </row>
    <row r="84">
      <c r="B84" s="106"/>
      <c r="C84" s="106"/>
    </row>
    <row r="85">
      <c r="B85" s="106"/>
      <c r="C85" s="106"/>
    </row>
    <row r="86">
      <c r="B86" s="106"/>
      <c r="C86" s="106"/>
    </row>
    <row r="87">
      <c r="B87" s="106"/>
      <c r="C87" s="106"/>
    </row>
    <row r="88">
      <c r="B88" s="106"/>
      <c r="C88" s="106"/>
    </row>
    <row r="89">
      <c r="B89" s="106"/>
      <c r="C89" s="106"/>
    </row>
    <row r="90">
      <c r="B90" s="106"/>
      <c r="C90" s="106"/>
    </row>
    <row r="91">
      <c r="B91" s="106"/>
      <c r="C91" s="106"/>
    </row>
    <row r="92">
      <c r="B92" s="106"/>
      <c r="C92" s="106"/>
    </row>
    <row r="93">
      <c r="B93" s="106"/>
      <c r="C93" s="106"/>
    </row>
    <row r="94">
      <c r="B94" s="106"/>
      <c r="C94" s="106"/>
    </row>
    <row r="95">
      <c r="B95" s="106"/>
      <c r="C95" s="106"/>
    </row>
    <row r="96">
      <c r="B96" s="106"/>
      <c r="C96" s="106"/>
    </row>
    <row r="97">
      <c r="B97" s="106"/>
      <c r="C97" s="106"/>
    </row>
    <row r="98">
      <c r="B98" s="106"/>
      <c r="C98" s="106"/>
    </row>
    <row r="99">
      <c r="B99" s="106"/>
      <c r="C99" s="106"/>
    </row>
    <row r="100">
      <c r="B100" s="106"/>
      <c r="C100" s="106"/>
    </row>
    <row r="101">
      <c r="B101" s="106"/>
      <c r="C101" s="106"/>
    </row>
    <row r="102">
      <c r="B102" s="106"/>
      <c r="C102" s="106"/>
    </row>
    <row r="103">
      <c r="B103" s="106"/>
      <c r="C103" s="106"/>
    </row>
    <row r="104">
      <c r="B104" s="106"/>
      <c r="C104" s="106"/>
    </row>
    <row r="105">
      <c r="B105" s="106"/>
      <c r="C105" s="106"/>
    </row>
    <row r="106">
      <c r="B106" s="106"/>
      <c r="C106" s="106"/>
    </row>
    <row r="107">
      <c r="B107" s="106"/>
      <c r="C107" s="106"/>
    </row>
    <row r="108">
      <c r="B108" s="106"/>
      <c r="C108" s="106"/>
    </row>
    <row r="109">
      <c r="B109" s="106"/>
      <c r="C109" s="106"/>
    </row>
    <row r="110">
      <c r="B110" s="106"/>
      <c r="C110" s="106"/>
    </row>
    <row r="111">
      <c r="B111" s="106"/>
      <c r="C111" s="106"/>
    </row>
    <row r="112">
      <c r="B112" s="106"/>
      <c r="C112" s="106"/>
    </row>
    <row r="113">
      <c r="B113" s="106"/>
      <c r="C113" s="106"/>
    </row>
    <row r="114">
      <c r="B114" s="106"/>
      <c r="C114" s="106"/>
    </row>
    <row r="115">
      <c r="B115" s="106"/>
      <c r="C115" s="106"/>
    </row>
    <row r="116">
      <c r="B116" s="106"/>
      <c r="C116" s="106"/>
    </row>
    <row r="117">
      <c r="B117" s="106"/>
      <c r="C117" s="106"/>
    </row>
    <row r="118">
      <c r="B118" s="106"/>
      <c r="C118" s="106"/>
    </row>
    <row r="119">
      <c r="B119" s="106"/>
      <c r="C119" s="106"/>
    </row>
    <row r="120">
      <c r="B120" s="106"/>
      <c r="C120" s="106"/>
    </row>
    <row r="121">
      <c r="B121" s="106"/>
      <c r="C121" s="106"/>
    </row>
    <row r="122">
      <c r="B122" s="106"/>
      <c r="C122" s="106"/>
    </row>
    <row r="123">
      <c r="B123" s="106"/>
      <c r="C123" s="106"/>
    </row>
    <row r="124">
      <c r="B124" s="106"/>
      <c r="C124" s="106"/>
    </row>
    <row r="125">
      <c r="B125" s="106"/>
      <c r="C125" s="106"/>
    </row>
    <row r="126">
      <c r="B126" s="106"/>
      <c r="C126" s="106"/>
    </row>
    <row r="127">
      <c r="B127" s="106"/>
      <c r="C127" s="106"/>
    </row>
    <row r="128">
      <c r="B128" s="106"/>
      <c r="C128" s="106"/>
    </row>
    <row r="129">
      <c r="B129" s="106"/>
      <c r="C129" s="106"/>
    </row>
    <row r="130">
      <c r="B130" s="106"/>
      <c r="C130" s="106"/>
    </row>
    <row r="131">
      <c r="B131" s="106"/>
      <c r="C131" s="106"/>
    </row>
    <row r="132">
      <c r="B132" s="106"/>
      <c r="C132" s="106"/>
    </row>
    <row r="133">
      <c r="B133" s="106"/>
      <c r="C133" s="106"/>
    </row>
    <row r="134">
      <c r="B134" s="106"/>
      <c r="C134" s="106"/>
    </row>
    <row r="135">
      <c r="B135" s="106"/>
      <c r="C135" s="106"/>
    </row>
    <row r="136">
      <c r="B136" s="106"/>
      <c r="C136" s="106"/>
    </row>
    <row r="137">
      <c r="B137" s="106"/>
      <c r="C137" s="106"/>
    </row>
    <row r="138">
      <c r="B138" s="106"/>
      <c r="C138" s="106"/>
    </row>
    <row r="139">
      <c r="B139" s="106"/>
      <c r="C139" s="106"/>
    </row>
    <row r="140">
      <c r="B140" s="106"/>
      <c r="C140" s="106"/>
    </row>
    <row r="141">
      <c r="B141" s="106"/>
      <c r="C141" s="106"/>
    </row>
    <row r="142">
      <c r="B142" s="106"/>
      <c r="C142" s="106"/>
    </row>
    <row r="143">
      <c r="B143" s="106"/>
      <c r="C143" s="106"/>
    </row>
    <row r="144">
      <c r="B144" s="106"/>
      <c r="C144" s="106"/>
    </row>
    <row r="145">
      <c r="B145" s="106"/>
      <c r="C145" s="106"/>
    </row>
    <row r="146">
      <c r="B146" s="106"/>
      <c r="C146" s="106"/>
    </row>
    <row r="147">
      <c r="B147" s="106"/>
      <c r="C147" s="106"/>
    </row>
    <row r="148">
      <c r="B148" s="106"/>
      <c r="C148" s="106"/>
    </row>
    <row r="149">
      <c r="B149" s="106"/>
      <c r="C149" s="106"/>
    </row>
    <row r="150">
      <c r="B150" s="106"/>
      <c r="C150" s="106"/>
    </row>
    <row r="151">
      <c r="B151" s="106"/>
      <c r="C151" s="106"/>
    </row>
    <row r="152">
      <c r="B152" s="106"/>
      <c r="C152" s="106"/>
    </row>
    <row r="153">
      <c r="B153" s="106"/>
      <c r="C153" s="106"/>
    </row>
    <row r="154">
      <c r="B154" s="106"/>
      <c r="C154" s="106"/>
    </row>
    <row r="155">
      <c r="B155" s="106"/>
      <c r="C155" s="106"/>
    </row>
    <row r="156">
      <c r="B156" s="106"/>
      <c r="C156" s="106"/>
    </row>
    <row r="157">
      <c r="B157" s="106"/>
      <c r="C157" s="106"/>
    </row>
    <row r="158">
      <c r="B158" s="106"/>
      <c r="C158" s="106"/>
    </row>
    <row r="159">
      <c r="B159" s="106"/>
      <c r="C159" s="106"/>
    </row>
    <row r="160">
      <c r="B160" s="106"/>
      <c r="C160" s="106"/>
    </row>
    <row r="161">
      <c r="B161" s="106"/>
      <c r="C161" s="106"/>
    </row>
    <row r="162">
      <c r="B162" s="106"/>
      <c r="C162" s="106"/>
    </row>
    <row r="163">
      <c r="B163" s="106"/>
      <c r="C163" s="106"/>
    </row>
    <row r="164">
      <c r="B164" s="106"/>
      <c r="C164" s="106"/>
    </row>
    <row r="165">
      <c r="B165" s="106"/>
      <c r="C165" s="106"/>
    </row>
    <row r="166">
      <c r="B166" s="106"/>
      <c r="C166" s="106"/>
    </row>
    <row r="167">
      <c r="B167" s="106"/>
      <c r="C167" s="106"/>
    </row>
    <row r="168">
      <c r="B168" s="106"/>
      <c r="C168" s="106"/>
    </row>
    <row r="169">
      <c r="B169" s="106"/>
      <c r="C169" s="106"/>
    </row>
    <row r="170">
      <c r="B170" s="106"/>
      <c r="C170" s="106"/>
    </row>
    <row r="171">
      <c r="B171" s="106"/>
      <c r="C171" s="106"/>
    </row>
    <row r="172">
      <c r="B172" s="106"/>
      <c r="C172" s="106"/>
    </row>
    <row r="173">
      <c r="B173" s="106"/>
      <c r="C173" s="106"/>
    </row>
    <row r="174">
      <c r="B174" s="106"/>
      <c r="C174" s="106"/>
    </row>
    <row r="175">
      <c r="B175" s="106"/>
      <c r="C175" s="106"/>
    </row>
    <row r="176">
      <c r="B176" s="106"/>
      <c r="C176" s="106"/>
    </row>
    <row r="177">
      <c r="B177" s="106"/>
      <c r="C177" s="106"/>
    </row>
    <row r="178">
      <c r="B178" s="106"/>
      <c r="C178" s="106"/>
    </row>
    <row r="179">
      <c r="B179" s="106"/>
      <c r="C179" s="106"/>
    </row>
    <row r="180">
      <c r="B180" s="106"/>
      <c r="C180" s="106"/>
    </row>
    <row r="181">
      <c r="B181" s="106"/>
      <c r="C181" s="106"/>
    </row>
    <row r="182">
      <c r="B182" s="106"/>
      <c r="C182" s="106"/>
    </row>
    <row r="183">
      <c r="B183" s="106"/>
      <c r="C183" s="106"/>
    </row>
    <row r="184">
      <c r="B184" s="106"/>
      <c r="C184" s="106"/>
    </row>
    <row r="185">
      <c r="B185" s="106"/>
      <c r="C185" s="106"/>
    </row>
    <row r="186">
      <c r="B186" s="106"/>
      <c r="C186" s="106"/>
    </row>
    <row r="187">
      <c r="B187" s="106"/>
      <c r="C187" s="106"/>
    </row>
    <row r="188">
      <c r="B188" s="106"/>
      <c r="C188" s="106"/>
    </row>
    <row r="189">
      <c r="B189" s="106"/>
      <c r="C189" s="106"/>
    </row>
    <row r="190">
      <c r="B190" s="106"/>
      <c r="C190" s="106"/>
    </row>
    <row r="191">
      <c r="B191" s="106"/>
      <c r="C191" s="106"/>
    </row>
    <row r="192">
      <c r="B192" s="106"/>
      <c r="C192" s="106"/>
    </row>
    <row r="193">
      <c r="B193" s="106"/>
      <c r="C193" s="106"/>
    </row>
    <row r="194">
      <c r="B194" s="106"/>
      <c r="C194" s="106"/>
    </row>
    <row r="195">
      <c r="B195" s="106"/>
      <c r="C195" s="106"/>
    </row>
    <row r="196">
      <c r="B196" s="106"/>
      <c r="C196" s="106"/>
    </row>
    <row r="197">
      <c r="B197" s="106"/>
      <c r="C197" s="106"/>
    </row>
    <row r="198">
      <c r="B198" s="106"/>
      <c r="C198" s="106"/>
    </row>
    <row r="199">
      <c r="B199" s="106"/>
      <c r="C199" s="106"/>
    </row>
    <row r="200">
      <c r="B200" s="106"/>
      <c r="C200" s="106"/>
    </row>
    <row r="201">
      <c r="B201" s="106"/>
      <c r="C201" s="106"/>
    </row>
    <row r="202">
      <c r="B202" s="106"/>
      <c r="C202" s="106"/>
    </row>
    <row r="203">
      <c r="B203" s="106"/>
      <c r="C203" s="106"/>
    </row>
    <row r="204">
      <c r="B204" s="106"/>
      <c r="C204" s="106"/>
    </row>
    <row r="205">
      <c r="B205" s="106"/>
      <c r="C205" s="106"/>
    </row>
    <row r="206">
      <c r="B206" s="106"/>
      <c r="C206" s="106"/>
    </row>
    <row r="207">
      <c r="B207" s="106"/>
      <c r="C207" s="106"/>
    </row>
    <row r="208">
      <c r="B208" s="106"/>
      <c r="C208" s="106"/>
    </row>
    <row r="209">
      <c r="B209" s="106"/>
      <c r="C209" s="106"/>
    </row>
    <row r="210">
      <c r="B210" s="106"/>
      <c r="C210" s="106"/>
    </row>
    <row r="211">
      <c r="B211" s="106"/>
      <c r="C211" s="106"/>
    </row>
    <row r="212">
      <c r="B212" s="106"/>
      <c r="C212" s="106"/>
    </row>
    <row r="213">
      <c r="B213" s="106"/>
      <c r="C213" s="106"/>
    </row>
    <row r="214">
      <c r="B214" s="106"/>
      <c r="C214" s="106"/>
    </row>
    <row r="215">
      <c r="B215" s="106"/>
      <c r="C215" s="106"/>
    </row>
    <row r="216">
      <c r="B216" s="106"/>
      <c r="C216" s="106"/>
    </row>
    <row r="217">
      <c r="B217" s="106"/>
      <c r="C217" s="106"/>
    </row>
    <row r="218">
      <c r="B218" s="106"/>
      <c r="C218" s="106"/>
    </row>
    <row r="219">
      <c r="B219" s="106"/>
      <c r="C219" s="106"/>
    </row>
    <row r="220">
      <c r="B220" s="106"/>
      <c r="C220" s="106"/>
    </row>
    <row r="221">
      <c r="B221" s="106"/>
      <c r="C221" s="106"/>
    </row>
    <row r="222">
      <c r="B222" s="106"/>
      <c r="C222" s="106"/>
    </row>
    <row r="223">
      <c r="B223" s="106"/>
      <c r="C223" s="106"/>
    </row>
    <row r="224">
      <c r="B224" s="106"/>
      <c r="C224" s="106"/>
    </row>
    <row r="225">
      <c r="B225" s="106"/>
      <c r="C225" s="106"/>
    </row>
    <row r="226">
      <c r="B226" s="106"/>
      <c r="C226" s="106"/>
    </row>
    <row r="227">
      <c r="B227" s="106"/>
      <c r="C227" s="106"/>
    </row>
    <row r="228">
      <c r="B228" s="106"/>
      <c r="C228" s="106"/>
    </row>
    <row r="229">
      <c r="B229" s="106"/>
      <c r="C229" s="106"/>
    </row>
    <row r="230">
      <c r="B230" s="106"/>
      <c r="C230" s="106"/>
    </row>
    <row r="231">
      <c r="B231" s="106"/>
      <c r="C231" s="106"/>
    </row>
    <row r="232">
      <c r="B232" s="106"/>
      <c r="C232" s="106"/>
    </row>
    <row r="233">
      <c r="B233" s="106"/>
      <c r="C233" s="106"/>
    </row>
    <row r="234">
      <c r="B234" s="106"/>
      <c r="C234" s="106"/>
    </row>
    <row r="235">
      <c r="B235" s="106"/>
      <c r="C235" s="106"/>
    </row>
    <row r="236">
      <c r="B236" s="106"/>
      <c r="C236" s="106"/>
    </row>
    <row r="237">
      <c r="B237" s="106"/>
      <c r="C237" s="106"/>
    </row>
    <row r="238">
      <c r="B238" s="106"/>
      <c r="C238" s="106"/>
    </row>
    <row r="239">
      <c r="B239" s="106"/>
      <c r="C239" s="106"/>
    </row>
    <row r="240">
      <c r="B240" s="106"/>
      <c r="C240" s="106"/>
    </row>
    <row r="241">
      <c r="B241" s="106"/>
      <c r="C241" s="106"/>
    </row>
    <row r="242">
      <c r="B242" s="106"/>
      <c r="C242" s="106"/>
    </row>
    <row r="243">
      <c r="B243" s="106"/>
      <c r="C243" s="106"/>
    </row>
    <row r="244">
      <c r="B244" s="106"/>
      <c r="C244" s="106"/>
    </row>
    <row r="245">
      <c r="B245" s="106"/>
      <c r="C245" s="106"/>
    </row>
    <row r="246">
      <c r="B246" s="106"/>
      <c r="C246" s="106"/>
    </row>
    <row r="247">
      <c r="B247" s="106"/>
      <c r="C247" s="106"/>
    </row>
    <row r="248">
      <c r="B248" s="106"/>
      <c r="C248" s="106"/>
    </row>
    <row r="249">
      <c r="B249" s="106"/>
      <c r="C249" s="106"/>
    </row>
    <row r="250">
      <c r="B250" s="106"/>
      <c r="C250" s="106"/>
    </row>
    <row r="251">
      <c r="B251" s="106"/>
      <c r="C251" s="106"/>
    </row>
    <row r="252">
      <c r="B252" s="106"/>
      <c r="C252" s="106"/>
    </row>
    <row r="253">
      <c r="B253" s="106"/>
      <c r="C253" s="106"/>
    </row>
    <row r="254">
      <c r="B254" s="106"/>
      <c r="C254" s="106"/>
    </row>
    <row r="255">
      <c r="B255" s="106"/>
      <c r="C255" s="106"/>
    </row>
    <row r="256">
      <c r="B256" s="106"/>
      <c r="C256" s="106"/>
    </row>
    <row r="257">
      <c r="B257" s="106"/>
      <c r="C257" s="106"/>
    </row>
    <row r="258">
      <c r="B258" s="106"/>
      <c r="C258" s="106"/>
    </row>
    <row r="259">
      <c r="B259" s="106"/>
      <c r="C259" s="106"/>
    </row>
    <row r="260">
      <c r="B260" s="106"/>
      <c r="C260" s="106"/>
    </row>
    <row r="261">
      <c r="B261" s="106"/>
      <c r="C261" s="106"/>
    </row>
    <row r="262">
      <c r="B262" s="106"/>
      <c r="C262" s="106"/>
    </row>
    <row r="263">
      <c r="B263" s="106"/>
      <c r="C263" s="106"/>
    </row>
    <row r="264">
      <c r="B264" s="106"/>
      <c r="C264" s="106"/>
    </row>
    <row r="265">
      <c r="B265" s="106"/>
      <c r="C265" s="106"/>
    </row>
    <row r="266">
      <c r="B266" s="106"/>
      <c r="C266" s="106"/>
    </row>
    <row r="267">
      <c r="B267" s="106"/>
      <c r="C267" s="106"/>
    </row>
    <row r="268">
      <c r="B268" s="106"/>
      <c r="C268" s="106"/>
    </row>
    <row r="269">
      <c r="B269" s="106"/>
      <c r="C269" s="106"/>
    </row>
    <row r="270">
      <c r="B270" s="106"/>
      <c r="C270" s="106"/>
    </row>
    <row r="271">
      <c r="B271" s="106"/>
      <c r="C271" s="106"/>
    </row>
    <row r="272">
      <c r="B272" s="106"/>
      <c r="C272" s="106"/>
    </row>
    <row r="273">
      <c r="B273" s="106"/>
      <c r="C273" s="106"/>
    </row>
    <row r="274">
      <c r="B274" s="106"/>
      <c r="C274" s="106"/>
    </row>
    <row r="275">
      <c r="B275" s="106"/>
      <c r="C275" s="106"/>
    </row>
    <row r="276">
      <c r="B276" s="106"/>
      <c r="C276" s="106"/>
    </row>
    <row r="277">
      <c r="B277" s="106"/>
      <c r="C277" s="106"/>
    </row>
    <row r="278">
      <c r="B278" s="106"/>
      <c r="C278" s="106"/>
    </row>
    <row r="279">
      <c r="B279" s="106"/>
      <c r="C279" s="106"/>
    </row>
    <row r="280">
      <c r="B280" s="106"/>
      <c r="C280" s="106"/>
    </row>
    <row r="281">
      <c r="B281" s="106"/>
      <c r="C281" s="106"/>
    </row>
    <row r="282">
      <c r="B282" s="106"/>
      <c r="C282" s="106"/>
    </row>
    <row r="283">
      <c r="B283" s="106"/>
      <c r="C283" s="106"/>
    </row>
    <row r="284">
      <c r="B284" s="106"/>
      <c r="C284" s="106"/>
    </row>
    <row r="285">
      <c r="B285" s="106"/>
      <c r="C285" s="106"/>
    </row>
    <row r="286">
      <c r="B286" s="106"/>
      <c r="C286" s="106"/>
    </row>
    <row r="287">
      <c r="B287" s="106"/>
      <c r="C287" s="106"/>
    </row>
    <row r="288">
      <c r="B288" s="106"/>
      <c r="C288" s="106"/>
    </row>
    <row r="289">
      <c r="B289" s="106"/>
      <c r="C289" s="106"/>
    </row>
    <row r="290">
      <c r="B290" s="106"/>
      <c r="C290" s="106"/>
    </row>
    <row r="291">
      <c r="B291" s="106"/>
      <c r="C291" s="106"/>
    </row>
    <row r="292">
      <c r="B292" s="106"/>
      <c r="C292" s="106"/>
    </row>
    <row r="293">
      <c r="B293" s="106"/>
      <c r="C293" s="106"/>
    </row>
    <row r="294">
      <c r="B294" s="106"/>
      <c r="C294" s="106"/>
    </row>
    <row r="295">
      <c r="B295" s="106"/>
      <c r="C295" s="106"/>
    </row>
    <row r="296">
      <c r="B296" s="106"/>
      <c r="C296" s="106"/>
    </row>
    <row r="297">
      <c r="B297" s="106"/>
      <c r="C297" s="106"/>
    </row>
    <row r="298">
      <c r="B298" s="106"/>
      <c r="C298" s="106"/>
    </row>
    <row r="299">
      <c r="B299" s="106"/>
      <c r="C299" s="106"/>
    </row>
    <row r="300">
      <c r="B300" s="106"/>
      <c r="C300" s="106"/>
    </row>
    <row r="301">
      <c r="B301" s="106"/>
      <c r="C301" s="106"/>
    </row>
    <row r="302">
      <c r="B302" s="106"/>
      <c r="C302" s="106"/>
    </row>
    <row r="303">
      <c r="B303" s="106"/>
      <c r="C303" s="106"/>
    </row>
    <row r="304">
      <c r="B304" s="106"/>
      <c r="C304" s="106"/>
    </row>
    <row r="305">
      <c r="B305" s="106"/>
      <c r="C305" s="106"/>
    </row>
    <row r="306">
      <c r="B306" s="106"/>
      <c r="C306" s="106"/>
    </row>
    <row r="307">
      <c r="B307" s="106"/>
      <c r="C307" s="106"/>
    </row>
    <row r="308">
      <c r="B308" s="106"/>
      <c r="C308" s="106"/>
    </row>
    <row r="309">
      <c r="B309" s="106"/>
      <c r="C309" s="106"/>
    </row>
    <row r="310">
      <c r="B310" s="106"/>
      <c r="C310" s="106"/>
    </row>
    <row r="311">
      <c r="B311" s="106"/>
      <c r="C311" s="106"/>
    </row>
    <row r="312">
      <c r="B312" s="106"/>
      <c r="C312" s="106"/>
    </row>
    <row r="313">
      <c r="B313" s="106"/>
      <c r="C313" s="106"/>
    </row>
    <row r="314">
      <c r="B314" s="106"/>
      <c r="C314" s="106"/>
    </row>
    <row r="315">
      <c r="B315" s="106"/>
      <c r="C315" s="106"/>
    </row>
    <row r="316">
      <c r="B316" s="106"/>
      <c r="C316" s="106"/>
    </row>
    <row r="317">
      <c r="B317" s="106"/>
      <c r="C317" s="106"/>
    </row>
    <row r="318">
      <c r="B318" s="106"/>
      <c r="C318" s="106"/>
    </row>
    <row r="319">
      <c r="B319" s="106"/>
      <c r="C319" s="106"/>
    </row>
    <row r="320">
      <c r="B320" s="106"/>
      <c r="C320" s="106"/>
    </row>
    <row r="321">
      <c r="B321" s="106"/>
      <c r="C321" s="106"/>
    </row>
    <row r="322">
      <c r="B322" s="106"/>
      <c r="C322" s="106"/>
    </row>
    <row r="323">
      <c r="B323" s="106"/>
      <c r="C323" s="106"/>
    </row>
    <row r="324">
      <c r="B324" s="106"/>
      <c r="C324" s="106"/>
    </row>
    <row r="325">
      <c r="B325" s="106"/>
      <c r="C325" s="106"/>
    </row>
    <row r="326">
      <c r="B326" s="106"/>
      <c r="C326" s="106"/>
    </row>
    <row r="327">
      <c r="B327" s="106"/>
      <c r="C327" s="106"/>
    </row>
    <row r="328">
      <c r="B328" s="106"/>
      <c r="C328" s="106"/>
    </row>
    <row r="329">
      <c r="B329" s="106"/>
      <c r="C329" s="106"/>
    </row>
    <row r="330">
      <c r="B330" s="106"/>
      <c r="C330" s="106"/>
    </row>
    <row r="331">
      <c r="B331" s="106"/>
      <c r="C331" s="106"/>
    </row>
    <row r="332">
      <c r="B332" s="106"/>
      <c r="C332" s="106"/>
    </row>
    <row r="333">
      <c r="B333" s="106"/>
      <c r="C333" s="106"/>
    </row>
    <row r="334">
      <c r="B334" s="106"/>
      <c r="C334" s="106"/>
    </row>
    <row r="335">
      <c r="B335" s="106"/>
      <c r="C335" s="106"/>
    </row>
    <row r="336">
      <c r="B336" s="106"/>
      <c r="C336" s="106"/>
    </row>
    <row r="337">
      <c r="B337" s="106"/>
      <c r="C337" s="106"/>
    </row>
    <row r="338">
      <c r="B338" s="106"/>
      <c r="C338" s="106"/>
    </row>
    <row r="339">
      <c r="B339" s="106"/>
      <c r="C339" s="106"/>
    </row>
    <row r="340">
      <c r="B340" s="106"/>
      <c r="C340" s="106"/>
    </row>
    <row r="341">
      <c r="B341" s="106"/>
      <c r="C341" s="106"/>
    </row>
    <row r="342">
      <c r="B342" s="106"/>
      <c r="C342" s="106"/>
    </row>
    <row r="343">
      <c r="B343" s="106"/>
      <c r="C343" s="106"/>
    </row>
    <row r="344">
      <c r="B344" s="106"/>
      <c r="C344" s="106"/>
    </row>
    <row r="345">
      <c r="B345" s="106"/>
      <c r="C345" s="106"/>
    </row>
    <row r="346">
      <c r="B346" s="106"/>
      <c r="C346" s="106"/>
    </row>
    <row r="347">
      <c r="B347" s="106"/>
      <c r="C347" s="106"/>
    </row>
    <row r="348">
      <c r="B348" s="106"/>
      <c r="C348" s="106"/>
    </row>
    <row r="349">
      <c r="B349" s="106"/>
      <c r="C349" s="106"/>
    </row>
    <row r="350">
      <c r="B350" s="106"/>
      <c r="C350" s="106"/>
    </row>
    <row r="351">
      <c r="B351" s="106"/>
      <c r="C351" s="106"/>
    </row>
    <row r="352">
      <c r="B352" s="106"/>
      <c r="C352" s="106"/>
    </row>
    <row r="353">
      <c r="B353" s="106"/>
      <c r="C353" s="106"/>
    </row>
    <row r="354">
      <c r="B354" s="106"/>
      <c r="C354" s="106"/>
    </row>
    <row r="355">
      <c r="B355" s="106"/>
      <c r="C355" s="106"/>
    </row>
    <row r="356">
      <c r="B356" s="106"/>
      <c r="C356" s="106"/>
    </row>
    <row r="357">
      <c r="B357" s="106"/>
      <c r="C357" s="106"/>
    </row>
    <row r="358">
      <c r="B358" s="106"/>
      <c r="C358" s="106"/>
    </row>
    <row r="359">
      <c r="B359" s="106"/>
      <c r="C359" s="106"/>
    </row>
    <row r="360">
      <c r="B360" s="106"/>
      <c r="C360" s="106"/>
    </row>
    <row r="361">
      <c r="B361" s="106"/>
      <c r="C361" s="106"/>
    </row>
    <row r="362">
      <c r="B362" s="106"/>
      <c r="C362" s="106"/>
    </row>
    <row r="363">
      <c r="B363" s="106"/>
      <c r="C363" s="106"/>
    </row>
    <row r="364">
      <c r="B364" s="106"/>
      <c r="C364" s="106"/>
    </row>
    <row r="365">
      <c r="B365" s="106"/>
      <c r="C365" s="106"/>
    </row>
    <row r="366">
      <c r="B366" s="106"/>
      <c r="C366" s="106"/>
    </row>
    <row r="367">
      <c r="B367" s="106"/>
      <c r="C367" s="106"/>
    </row>
    <row r="368">
      <c r="B368" s="106"/>
      <c r="C368" s="106"/>
    </row>
    <row r="369">
      <c r="B369" s="106"/>
      <c r="C369" s="106"/>
    </row>
    <row r="370">
      <c r="B370" s="106"/>
      <c r="C370" s="106"/>
    </row>
    <row r="371">
      <c r="B371" s="106"/>
      <c r="C371" s="106"/>
    </row>
    <row r="372">
      <c r="B372" s="106"/>
      <c r="C372" s="106"/>
    </row>
    <row r="373">
      <c r="B373" s="106"/>
      <c r="C373" s="106"/>
    </row>
    <row r="374">
      <c r="B374" s="106"/>
      <c r="C374" s="106"/>
    </row>
    <row r="375">
      <c r="B375" s="106"/>
      <c r="C375" s="106"/>
    </row>
    <row r="376">
      <c r="B376" s="106"/>
      <c r="C376" s="106"/>
    </row>
    <row r="377">
      <c r="B377" s="106"/>
      <c r="C377" s="106"/>
    </row>
    <row r="378">
      <c r="B378" s="106"/>
      <c r="C378" s="106"/>
    </row>
    <row r="379">
      <c r="B379" s="106"/>
      <c r="C379" s="106"/>
    </row>
    <row r="380">
      <c r="B380" s="106"/>
      <c r="C380" s="106"/>
    </row>
    <row r="381">
      <c r="B381" s="106"/>
      <c r="C381" s="106"/>
    </row>
    <row r="382">
      <c r="B382" s="106"/>
      <c r="C382" s="106"/>
    </row>
    <row r="383">
      <c r="B383" s="106"/>
      <c r="C383" s="106"/>
    </row>
    <row r="384">
      <c r="B384" s="106"/>
      <c r="C384" s="106"/>
    </row>
    <row r="385">
      <c r="B385" s="106"/>
      <c r="C385" s="106"/>
    </row>
    <row r="386">
      <c r="B386" s="106"/>
      <c r="C386" s="106"/>
    </row>
    <row r="387">
      <c r="B387" s="106"/>
      <c r="C387" s="106"/>
    </row>
    <row r="388">
      <c r="B388" s="106"/>
      <c r="C388" s="106"/>
    </row>
    <row r="389">
      <c r="B389" s="106"/>
      <c r="C389" s="106"/>
    </row>
    <row r="390">
      <c r="B390" s="106"/>
      <c r="C390" s="106"/>
    </row>
    <row r="391">
      <c r="B391" s="106"/>
      <c r="C391" s="106"/>
    </row>
    <row r="392">
      <c r="B392" s="106"/>
      <c r="C392" s="106"/>
    </row>
    <row r="393">
      <c r="B393" s="106"/>
      <c r="C393" s="106"/>
    </row>
    <row r="394">
      <c r="B394" s="106"/>
      <c r="C394" s="106"/>
    </row>
    <row r="395">
      <c r="B395" s="106"/>
      <c r="C395" s="106"/>
    </row>
    <row r="396">
      <c r="B396" s="106"/>
      <c r="C396" s="106"/>
    </row>
    <row r="397">
      <c r="B397" s="106"/>
      <c r="C397" s="106"/>
    </row>
    <row r="398">
      <c r="B398" s="106"/>
      <c r="C398" s="106"/>
    </row>
    <row r="399">
      <c r="B399" s="106"/>
      <c r="C399" s="106"/>
    </row>
    <row r="400">
      <c r="B400" s="106"/>
      <c r="C400" s="106"/>
    </row>
    <row r="401">
      <c r="B401" s="106"/>
      <c r="C401" s="106"/>
    </row>
    <row r="402">
      <c r="B402" s="106"/>
      <c r="C402" s="106"/>
    </row>
    <row r="403">
      <c r="B403" s="106"/>
      <c r="C403" s="106"/>
    </row>
    <row r="404">
      <c r="B404" s="106"/>
      <c r="C404" s="106"/>
    </row>
    <row r="405">
      <c r="B405" s="106"/>
      <c r="C405" s="106"/>
    </row>
    <row r="406">
      <c r="B406" s="106"/>
      <c r="C406" s="106"/>
    </row>
    <row r="407">
      <c r="B407" s="106"/>
      <c r="C407" s="106"/>
    </row>
    <row r="408">
      <c r="B408" s="106"/>
      <c r="C408" s="106"/>
    </row>
    <row r="409">
      <c r="B409" s="106"/>
      <c r="C409" s="106"/>
    </row>
    <row r="410">
      <c r="B410" s="106"/>
      <c r="C410" s="106"/>
    </row>
    <row r="411">
      <c r="B411" s="106"/>
      <c r="C411" s="106"/>
    </row>
    <row r="412">
      <c r="B412" s="106"/>
      <c r="C412" s="106"/>
    </row>
    <row r="413">
      <c r="B413" s="106"/>
      <c r="C413" s="106"/>
    </row>
    <row r="414">
      <c r="B414" s="106"/>
      <c r="C414" s="106"/>
    </row>
    <row r="415">
      <c r="B415" s="106"/>
      <c r="C415" s="106"/>
    </row>
    <row r="416">
      <c r="B416" s="106"/>
      <c r="C416" s="106"/>
    </row>
    <row r="417">
      <c r="B417" s="106"/>
      <c r="C417" s="106"/>
    </row>
    <row r="418">
      <c r="B418" s="106"/>
      <c r="C418" s="106"/>
    </row>
    <row r="419">
      <c r="B419" s="106"/>
      <c r="C419" s="106"/>
    </row>
    <row r="420">
      <c r="B420" s="106"/>
      <c r="C420" s="106"/>
    </row>
    <row r="421">
      <c r="B421" s="106"/>
      <c r="C421" s="106"/>
    </row>
    <row r="422">
      <c r="B422" s="106"/>
      <c r="C422" s="106"/>
    </row>
    <row r="423">
      <c r="B423" s="106"/>
      <c r="C423" s="106"/>
    </row>
    <row r="424">
      <c r="B424" s="106"/>
      <c r="C424" s="106"/>
    </row>
    <row r="425">
      <c r="B425" s="106"/>
      <c r="C425" s="106"/>
    </row>
    <row r="426">
      <c r="B426" s="106"/>
      <c r="C426" s="106"/>
    </row>
    <row r="427">
      <c r="B427" s="106"/>
      <c r="C427" s="106"/>
    </row>
    <row r="428">
      <c r="B428" s="106"/>
      <c r="C428" s="106"/>
    </row>
    <row r="429">
      <c r="B429" s="106"/>
      <c r="C429" s="106"/>
    </row>
    <row r="430">
      <c r="B430" s="106"/>
      <c r="C430" s="106"/>
    </row>
    <row r="431">
      <c r="B431" s="106"/>
      <c r="C431" s="106"/>
    </row>
    <row r="432">
      <c r="B432" s="106"/>
      <c r="C432" s="106"/>
    </row>
    <row r="433">
      <c r="B433" s="106"/>
      <c r="C433" s="106"/>
    </row>
    <row r="434">
      <c r="B434" s="106"/>
      <c r="C434" s="106"/>
    </row>
    <row r="435">
      <c r="B435" s="106"/>
      <c r="C435" s="106"/>
    </row>
    <row r="436">
      <c r="B436" s="106"/>
      <c r="C436" s="106"/>
    </row>
    <row r="437">
      <c r="B437" s="106"/>
      <c r="C437" s="106"/>
    </row>
    <row r="438">
      <c r="B438" s="106"/>
      <c r="C438" s="106"/>
    </row>
    <row r="439">
      <c r="B439" s="106"/>
      <c r="C439" s="106"/>
    </row>
    <row r="440">
      <c r="B440" s="106"/>
      <c r="C440" s="106"/>
    </row>
    <row r="441">
      <c r="B441" s="106"/>
      <c r="C441" s="106"/>
    </row>
    <row r="442">
      <c r="B442" s="106"/>
      <c r="C442" s="106"/>
    </row>
    <row r="443">
      <c r="B443" s="106"/>
      <c r="C443" s="106"/>
    </row>
    <row r="444">
      <c r="B444" s="106"/>
      <c r="C444" s="106"/>
    </row>
    <row r="445">
      <c r="B445" s="106"/>
      <c r="C445" s="106"/>
    </row>
    <row r="446">
      <c r="B446" s="106"/>
      <c r="C446" s="106"/>
    </row>
    <row r="447">
      <c r="B447" s="106"/>
      <c r="C447" s="106"/>
    </row>
    <row r="448">
      <c r="B448" s="106"/>
      <c r="C448" s="106"/>
    </row>
    <row r="449">
      <c r="B449" s="106"/>
      <c r="C449" s="106"/>
    </row>
    <row r="450">
      <c r="B450" s="106"/>
      <c r="C450" s="106"/>
    </row>
    <row r="451">
      <c r="B451" s="106"/>
      <c r="C451" s="106"/>
    </row>
    <row r="452">
      <c r="B452" s="106"/>
      <c r="C452" s="106"/>
    </row>
    <row r="453">
      <c r="B453" s="106"/>
      <c r="C453" s="106"/>
    </row>
    <row r="454">
      <c r="B454" s="106"/>
      <c r="C454" s="106"/>
    </row>
    <row r="455">
      <c r="B455" s="106"/>
      <c r="C455" s="106"/>
    </row>
    <row r="456">
      <c r="B456" s="106"/>
      <c r="C456" s="106"/>
    </row>
    <row r="457">
      <c r="B457" s="106"/>
      <c r="C457" s="106"/>
    </row>
    <row r="458">
      <c r="B458" s="106"/>
      <c r="C458" s="106"/>
    </row>
    <row r="459">
      <c r="B459" s="106"/>
      <c r="C459" s="106"/>
    </row>
    <row r="460">
      <c r="B460" s="106"/>
      <c r="C460" s="106"/>
    </row>
    <row r="461">
      <c r="B461" s="106"/>
      <c r="C461" s="106"/>
    </row>
    <row r="462">
      <c r="B462" s="106"/>
      <c r="C462" s="106"/>
    </row>
    <row r="463">
      <c r="B463" s="106"/>
      <c r="C463" s="106"/>
    </row>
    <row r="464">
      <c r="B464" s="106"/>
      <c r="C464" s="106"/>
    </row>
    <row r="465">
      <c r="B465" s="106"/>
      <c r="C465" s="106"/>
    </row>
    <row r="466">
      <c r="B466" s="106"/>
      <c r="C466" s="106"/>
    </row>
    <row r="467">
      <c r="B467" s="106"/>
      <c r="C467" s="106"/>
    </row>
    <row r="468">
      <c r="B468" s="106"/>
      <c r="C468" s="106"/>
    </row>
    <row r="469">
      <c r="B469" s="106"/>
      <c r="C469" s="106"/>
    </row>
    <row r="470">
      <c r="B470" s="106"/>
      <c r="C470" s="106"/>
    </row>
    <row r="471">
      <c r="B471" s="106"/>
      <c r="C471" s="106"/>
    </row>
    <row r="472">
      <c r="B472" s="106"/>
      <c r="C472" s="106"/>
    </row>
    <row r="473">
      <c r="B473" s="106"/>
      <c r="C473" s="106"/>
    </row>
    <row r="474">
      <c r="B474" s="106"/>
      <c r="C474" s="106"/>
    </row>
    <row r="475">
      <c r="B475" s="106"/>
      <c r="C475" s="106"/>
    </row>
    <row r="476">
      <c r="B476" s="106"/>
      <c r="C476" s="106"/>
    </row>
    <row r="477">
      <c r="B477" s="106"/>
      <c r="C477" s="106"/>
    </row>
    <row r="478">
      <c r="B478" s="106"/>
      <c r="C478" s="106"/>
    </row>
    <row r="479">
      <c r="B479" s="106"/>
      <c r="C479" s="106"/>
    </row>
    <row r="480">
      <c r="B480" s="106"/>
      <c r="C480" s="106"/>
    </row>
    <row r="481">
      <c r="B481" s="106"/>
      <c r="C481" s="106"/>
    </row>
    <row r="482">
      <c r="B482" s="106"/>
      <c r="C482" s="106"/>
    </row>
    <row r="483">
      <c r="B483" s="106"/>
      <c r="C483" s="106"/>
    </row>
    <row r="484">
      <c r="B484" s="106"/>
      <c r="C484" s="106"/>
    </row>
    <row r="485">
      <c r="B485" s="106"/>
      <c r="C485" s="106"/>
    </row>
    <row r="486">
      <c r="B486" s="106"/>
      <c r="C486" s="106"/>
    </row>
    <row r="487">
      <c r="B487" s="106"/>
      <c r="C487" s="106"/>
    </row>
    <row r="488">
      <c r="B488" s="106"/>
      <c r="C488" s="106"/>
    </row>
    <row r="489">
      <c r="B489" s="106"/>
      <c r="C489" s="106"/>
    </row>
    <row r="490">
      <c r="B490" s="106"/>
      <c r="C490" s="106"/>
    </row>
    <row r="491">
      <c r="B491" s="106"/>
      <c r="C491" s="106"/>
    </row>
    <row r="492">
      <c r="B492" s="106"/>
      <c r="C492" s="106"/>
    </row>
    <row r="493">
      <c r="B493" s="106"/>
      <c r="C493" s="106"/>
    </row>
    <row r="494">
      <c r="B494" s="106"/>
      <c r="C494" s="106"/>
    </row>
    <row r="495">
      <c r="B495" s="106"/>
      <c r="C495" s="106"/>
    </row>
    <row r="496">
      <c r="B496" s="106"/>
      <c r="C496" s="106"/>
    </row>
    <row r="497">
      <c r="B497" s="106"/>
      <c r="C497" s="106"/>
    </row>
    <row r="498">
      <c r="B498" s="106"/>
      <c r="C498" s="106"/>
    </row>
    <row r="499">
      <c r="B499" s="106"/>
      <c r="C499" s="106"/>
    </row>
    <row r="500">
      <c r="B500" s="106"/>
      <c r="C500" s="106"/>
    </row>
    <row r="501">
      <c r="B501" s="106"/>
      <c r="C501" s="106"/>
    </row>
    <row r="502">
      <c r="B502" s="106"/>
      <c r="C502" s="106"/>
    </row>
    <row r="503">
      <c r="B503" s="106"/>
      <c r="C503" s="106"/>
    </row>
    <row r="504">
      <c r="B504" s="106"/>
      <c r="C504" s="106"/>
    </row>
    <row r="505">
      <c r="B505" s="106"/>
      <c r="C505" s="106"/>
    </row>
    <row r="506">
      <c r="B506" s="106"/>
      <c r="C506" s="106"/>
    </row>
    <row r="507">
      <c r="B507" s="106"/>
      <c r="C507" s="106"/>
    </row>
    <row r="508">
      <c r="B508" s="106"/>
      <c r="C508" s="106"/>
    </row>
    <row r="509">
      <c r="B509" s="106"/>
      <c r="C509" s="106"/>
    </row>
    <row r="510">
      <c r="B510" s="106"/>
      <c r="C510" s="106"/>
    </row>
    <row r="511">
      <c r="B511" s="106"/>
      <c r="C511" s="106"/>
    </row>
    <row r="512">
      <c r="B512" s="106"/>
      <c r="C512" s="106"/>
    </row>
    <row r="513">
      <c r="B513" s="106"/>
      <c r="C513" s="106"/>
    </row>
    <row r="514">
      <c r="B514" s="106"/>
      <c r="C514" s="106"/>
    </row>
    <row r="515">
      <c r="B515" s="106"/>
      <c r="C515" s="106"/>
    </row>
    <row r="516">
      <c r="B516" s="106"/>
      <c r="C516" s="106"/>
    </row>
    <row r="517">
      <c r="B517" s="106"/>
      <c r="C517" s="106"/>
    </row>
    <row r="518">
      <c r="B518" s="106"/>
      <c r="C518" s="106"/>
    </row>
    <row r="519">
      <c r="B519" s="106"/>
      <c r="C519" s="106"/>
    </row>
    <row r="520">
      <c r="B520" s="106"/>
      <c r="C520" s="106"/>
    </row>
    <row r="521">
      <c r="B521" s="106"/>
      <c r="C521" s="106"/>
    </row>
    <row r="522">
      <c r="B522" s="106"/>
      <c r="C522" s="106"/>
    </row>
    <row r="523">
      <c r="B523" s="106"/>
      <c r="C523" s="106"/>
    </row>
    <row r="524">
      <c r="B524" s="106"/>
      <c r="C524" s="106"/>
    </row>
    <row r="525">
      <c r="B525" s="106"/>
      <c r="C525" s="106"/>
    </row>
    <row r="526">
      <c r="B526" s="106"/>
      <c r="C526" s="106"/>
    </row>
    <row r="527">
      <c r="B527" s="106"/>
      <c r="C527" s="106"/>
    </row>
    <row r="528">
      <c r="B528" s="106"/>
      <c r="C528" s="106"/>
    </row>
    <row r="529">
      <c r="B529" s="106"/>
      <c r="C529" s="106"/>
    </row>
    <row r="530">
      <c r="B530" s="106"/>
      <c r="C530" s="106"/>
    </row>
    <row r="531">
      <c r="B531" s="106"/>
      <c r="C531" s="106"/>
    </row>
    <row r="532">
      <c r="B532" s="106"/>
      <c r="C532" s="106"/>
    </row>
    <row r="533">
      <c r="B533" s="106"/>
      <c r="C533" s="106"/>
    </row>
    <row r="534">
      <c r="B534" s="106"/>
      <c r="C534" s="106"/>
    </row>
    <row r="535">
      <c r="B535" s="106"/>
      <c r="C535" s="106"/>
    </row>
    <row r="536">
      <c r="B536" s="106"/>
      <c r="C536" s="106"/>
    </row>
    <row r="537">
      <c r="B537" s="106"/>
      <c r="C537" s="106"/>
    </row>
    <row r="538">
      <c r="B538" s="106"/>
      <c r="C538" s="106"/>
    </row>
    <row r="539">
      <c r="B539" s="106"/>
      <c r="C539" s="106"/>
    </row>
    <row r="540">
      <c r="B540" s="106"/>
      <c r="C540" s="106"/>
    </row>
    <row r="541">
      <c r="B541" s="106"/>
      <c r="C541" s="106"/>
    </row>
    <row r="542">
      <c r="B542" s="106"/>
      <c r="C542" s="106"/>
    </row>
    <row r="543">
      <c r="B543" s="106"/>
      <c r="C543" s="106"/>
    </row>
    <row r="544">
      <c r="B544" s="106"/>
      <c r="C544" s="106"/>
    </row>
    <row r="545">
      <c r="B545" s="106"/>
      <c r="C545" s="106"/>
    </row>
    <row r="546">
      <c r="B546" s="106"/>
      <c r="C546" s="106"/>
    </row>
    <row r="547">
      <c r="B547" s="106"/>
      <c r="C547" s="106"/>
    </row>
    <row r="548">
      <c r="B548" s="106"/>
      <c r="C548" s="106"/>
    </row>
    <row r="549">
      <c r="B549" s="106"/>
      <c r="C549" s="106"/>
    </row>
    <row r="550">
      <c r="B550" s="106"/>
      <c r="C550" s="106"/>
    </row>
    <row r="551">
      <c r="B551" s="106"/>
      <c r="C551" s="106"/>
    </row>
    <row r="552">
      <c r="B552" s="106"/>
      <c r="C552" s="106"/>
    </row>
    <row r="553">
      <c r="B553" s="106"/>
      <c r="C553" s="106"/>
    </row>
    <row r="554">
      <c r="B554" s="106"/>
      <c r="C554" s="106"/>
    </row>
    <row r="555">
      <c r="B555" s="106"/>
      <c r="C555" s="106"/>
    </row>
    <row r="556">
      <c r="B556" s="106"/>
      <c r="C556" s="106"/>
    </row>
    <row r="557">
      <c r="B557" s="106"/>
      <c r="C557" s="106"/>
    </row>
    <row r="558">
      <c r="B558" s="106"/>
      <c r="C558" s="106"/>
    </row>
    <row r="559">
      <c r="B559" s="106"/>
      <c r="C559" s="106"/>
    </row>
    <row r="560">
      <c r="B560" s="106"/>
      <c r="C560" s="106"/>
    </row>
    <row r="561">
      <c r="B561" s="106"/>
      <c r="C561" s="106"/>
    </row>
    <row r="562">
      <c r="B562" s="106"/>
      <c r="C562" s="106"/>
    </row>
    <row r="563">
      <c r="B563" s="106"/>
      <c r="C563" s="106"/>
    </row>
    <row r="564">
      <c r="B564" s="106"/>
      <c r="C564" s="106"/>
    </row>
    <row r="565">
      <c r="B565" s="106"/>
      <c r="C565" s="106"/>
    </row>
    <row r="566">
      <c r="B566" s="106"/>
      <c r="C566" s="106"/>
    </row>
    <row r="567">
      <c r="B567" s="106"/>
      <c r="C567" s="106"/>
    </row>
    <row r="568">
      <c r="B568" s="106"/>
      <c r="C568" s="106"/>
    </row>
    <row r="569">
      <c r="B569" s="106"/>
      <c r="C569" s="106"/>
    </row>
    <row r="570">
      <c r="B570" s="106"/>
      <c r="C570" s="106"/>
    </row>
    <row r="571">
      <c r="B571" s="106"/>
      <c r="C571" s="106"/>
    </row>
    <row r="572">
      <c r="B572" s="106"/>
      <c r="C572" s="106"/>
    </row>
    <row r="573">
      <c r="B573" s="106"/>
      <c r="C573" s="106"/>
    </row>
    <row r="574">
      <c r="B574" s="106"/>
      <c r="C574" s="106"/>
    </row>
    <row r="575">
      <c r="B575" s="106"/>
      <c r="C575" s="106"/>
    </row>
    <row r="576">
      <c r="B576" s="106"/>
      <c r="C576" s="106"/>
    </row>
    <row r="577">
      <c r="B577" s="106"/>
      <c r="C577" s="106"/>
    </row>
    <row r="578">
      <c r="B578" s="106"/>
      <c r="C578" s="106"/>
    </row>
    <row r="579">
      <c r="B579" s="106"/>
      <c r="C579" s="106"/>
    </row>
    <row r="580">
      <c r="B580" s="106"/>
      <c r="C580" s="106"/>
    </row>
    <row r="581">
      <c r="B581" s="106"/>
      <c r="C581" s="106"/>
    </row>
    <row r="582">
      <c r="B582" s="106"/>
      <c r="C582" s="106"/>
    </row>
    <row r="583">
      <c r="B583" s="106"/>
      <c r="C583" s="106"/>
    </row>
    <row r="584">
      <c r="B584" s="106"/>
      <c r="C584" s="106"/>
    </row>
    <row r="585">
      <c r="B585" s="106"/>
      <c r="C585" s="106"/>
    </row>
    <row r="586">
      <c r="B586" s="106"/>
      <c r="C586" s="106"/>
    </row>
    <row r="587">
      <c r="B587" s="106"/>
      <c r="C587" s="106"/>
    </row>
    <row r="588">
      <c r="B588" s="106"/>
      <c r="C588" s="106"/>
    </row>
    <row r="589">
      <c r="B589" s="106"/>
      <c r="C589" s="106"/>
    </row>
    <row r="590">
      <c r="B590" s="106"/>
      <c r="C590" s="106"/>
    </row>
    <row r="591">
      <c r="B591" s="106"/>
      <c r="C591" s="106"/>
    </row>
    <row r="592">
      <c r="B592" s="106"/>
      <c r="C592" s="106"/>
    </row>
    <row r="593">
      <c r="B593" s="106"/>
      <c r="C593" s="106"/>
    </row>
    <row r="594">
      <c r="B594" s="106"/>
      <c r="C594" s="106"/>
    </row>
    <row r="595">
      <c r="B595" s="106"/>
      <c r="C595" s="106"/>
    </row>
    <row r="596">
      <c r="B596" s="106"/>
      <c r="C596" s="106"/>
    </row>
    <row r="597">
      <c r="B597" s="106"/>
      <c r="C597" s="106"/>
    </row>
    <row r="598">
      <c r="B598" s="106"/>
      <c r="C598" s="106"/>
    </row>
    <row r="599">
      <c r="B599" s="106"/>
      <c r="C599" s="106"/>
    </row>
    <row r="600">
      <c r="B600" s="106"/>
      <c r="C600" s="106"/>
    </row>
    <row r="601">
      <c r="B601" s="106"/>
      <c r="C601" s="106"/>
    </row>
    <row r="602">
      <c r="B602" s="106"/>
      <c r="C602" s="106"/>
    </row>
    <row r="603">
      <c r="B603" s="106"/>
      <c r="C603" s="106"/>
    </row>
    <row r="604">
      <c r="B604" s="106"/>
      <c r="C604" s="106"/>
    </row>
    <row r="605">
      <c r="B605" s="106"/>
      <c r="C605" s="106"/>
    </row>
    <row r="606">
      <c r="B606" s="106"/>
      <c r="C606" s="106"/>
    </row>
    <row r="607">
      <c r="B607" s="106"/>
      <c r="C607" s="106"/>
    </row>
    <row r="608">
      <c r="B608" s="106"/>
      <c r="C608" s="106"/>
    </row>
    <row r="609">
      <c r="B609" s="106"/>
      <c r="C609" s="106"/>
    </row>
    <row r="610">
      <c r="B610" s="106"/>
      <c r="C610" s="106"/>
    </row>
    <row r="611">
      <c r="B611" s="106"/>
      <c r="C611" s="106"/>
    </row>
    <row r="612">
      <c r="B612" s="106"/>
      <c r="C612" s="106"/>
    </row>
    <row r="613">
      <c r="B613" s="106"/>
      <c r="C613" s="106"/>
    </row>
    <row r="614">
      <c r="B614" s="106"/>
      <c r="C614" s="106"/>
    </row>
    <row r="615">
      <c r="B615" s="106"/>
      <c r="C615" s="106"/>
    </row>
    <row r="616">
      <c r="B616" s="106"/>
      <c r="C616" s="106"/>
    </row>
    <row r="617">
      <c r="B617" s="106"/>
      <c r="C617" s="106"/>
    </row>
    <row r="618">
      <c r="B618" s="106"/>
      <c r="C618" s="106"/>
    </row>
    <row r="619">
      <c r="B619" s="106"/>
      <c r="C619" s="106"/>
    </row>
    <row r="620">
      <c r="B620" s="106"/>
      <c r="C620" s="106"/>
    </row>
    <row r="621">
      <c r="B621" s="106"/>
      <c r="C621" s="106"/>
    </row>
    <row r="622">
      <c r="B622" s="106"/>
      <c r="C622" s="106"/>
    </row>
    <row r="623">
      <c r="B623" s="106"/>
      <c r="C623" s="106"/>
    </row>
    <row r="624">
      <c r="B624" s="106"/>
      <c r="C624" s="106"/>
    </row>
    <row r="625">
      <c r="B625" s="106"/>
      <c r="C625" s="106"/>
    </row>
    <row r="626">
      <c r="B626" s="106"/>
      <c r="C626" s="106"/>
    </row>
    <row r="627">
      <c r="B627" s="106"/>
      <c r="C627" s="106"/>
    </row>
    <row r="628">
      <c r="B628" s="106"/>
      <c r="C628" s="106"/>
    </row>
    <row r="629">
      <c r="B629" s="106"/>
      <c r="C629" s="106"/>
    </row>
    <row r="630">
      <c r="B630" s="106"/>
      <c r="C630" s="106"/>
    </row>
    <row r="631">
      <c r="B631" s="106"/>
      <c r="C631" s="106"/>
    </row>
    <row r="632">
      <c r="B632" s="106"/>
      <c r="C632" s="106"/>
    </row>
    <row r="633">
      <c r="B633" s="106"/>
      <c r="C633" s="106"/>
    </row>
    <row r="634">
      <c r="B634" s="106"/>
      <c r="C634" s="106"/>
    </row>
    <row r="635">
      <c r="B635" s="106"/>
      <c r="C635" s="106"/>
    </row>
    <row r="636">
      <c r="B636" s="106"/>
      <c r="C636" s="106"/>
    </row>
    <row r="637">
      <c r="B637" s="106"/>
      <c r="C637" s="106"/>
    </row>
    <row r="638">
      <c r="B638" s="106"/>
      <c r="C638" s="106"/>
    </row>
    <row r="639">
      <c r="B639" s="106"/>
      <c r="C639" s="106"/>
    </row>
    <row r="640">
      <c r="B640" s="106"/>
      <c r="C640" s="106"/>
    </row>
    <row r="641">
      <c r="B641" s="106"/>
      <c r="C641" s="106"/>
    </row>
    <row r="642">
      <c r="B642" s="106"/>
      <c r="C642" s="106"/>
    </row>
    <row r="643">
      <c r="B643" s="106"/>
      <c r="C643" s="106"/>
    </row>
    <row r="644">
      <c r="B644" s="106"/>
      <c r="C644" s="106"/>
    </row>
    <row r="645">
      <c r="B645" s="106"/>
      <c r="C645" s="106"/>
    </row>
    <row r="646">
      <c r="B646" s="106"/>
      <c r="C646" s="106"/>
    </row>
    <row r="647">
      <c r="B647" s="106"/>
      <c r="C647" s="106"/>
    </row>
    <row r="648">
      <c r="B648" s="106"/>
      <c r="C648" s="106"/>
    </row>
    <row r="649">
      <c r="B649" s="106"/>
      <c r="C649" s="106"/>
    </row>
    <row r="650">
      <c r="B650" s="106"/>
      <c r="C650" s="106"/>
    </row>
    <row r="651">
      <c r="B651" s="106"/>
      <c r="C651" s="106"/>
    </row>
    <row r="652">
      <c r="B652" s="106"/>
      <c r="C652" s="106"/>
    </row>
    <row r="653">
      <c r="B653" s="106"/>
      <c r="C653" s="106"/>
    </row>
    <row r="654">
      <c r="B654" s="106"/>
      <c r="C654" s="106"/>
    </row>
    <row r="655">
      <c r="B655" s="106"/>
      <c r="C655" s="106"/>
    </row>
    <row r="656">
      <c r="B656" s="106"/>
      <c r="C656" s="106"/>
    </row>
    <row r="657">
      <c r="B657" s="106"/>
      <c r="C657" s="106"/>
    </row>
    <row r="658">
      <c r="B658" s="106"/>
      <c r="C658" s="106"/>
    </row>
    <row r="659">
      <c r="B659" s="106"/>
      <c r="C659" s="106"/>
    </row>
    <row r="660">
      <c r="B660" s="106"/>
      <c r="C660" s="106"/>
    </row>
    <row r="661">
      <c r="B661" s="106"/>
      <c r="C661" s="106"/>
    </row>
    <row r="662">
      <c r="B662" s="106"/>
      <c r="C662" s="106"/>
    </row>
    <row r="663">
      <c r="B663" s="106"/>
      <c r="C663" s="106"/>
    </row>
    <row r="664">
      <c r="B664" s="106"/>
      <c r="C664" s="106"/>
    </row>
    <row r="665">
      <c r="B665" s="106"/>
      <c r="C665" s="106"/>
    </row>
    <row r="666">
      <c r="B666" s="106"/>
      <c r="C666" s="106"/>
    </row>
    <row r="667">
      <c r="B667" s="106"/>
      <c r="C667" s="106"/>
    </row>
    <row r="668">
      <c r="B668" s="106"/>
      <c r="C668" s="106"/>
    </row>
    <row r="669">
      <c r="B669" s="106"/>
      <c r="C669" s="106"/>
    </row>
    <row r="670">
      <c r="B670" s="106"/>
      <c r="C670" s="106"/>
    </row>
    <row r="671">
      <c r="B671" s="106"/>
      <c r="C671" s="106"/>
    </row>
    <row r="672">
      <c r="B672" s="106"/>
      <c r="C672" s="106"/>
    </row>
    <row r="673">
      <c r="B673" s="106"/>
      <c r="C673" s="106"/>
    </row>
    <row r="674">
      <c r="B674" s="106"/>
      <c r="C674" s="106"/>
    </row>
    <row r="675">
      <c r="B675" s="106"/>
      <c r="C675" s="106"/>
    </row>
    <row r="676">
      <c r="B676" s="106"/>
      <c r="C676" s="106"/>
    </row>
    <row r="677">
      <c r="B677" s="106"/>
      <c r="C677" s="106"/>
    </row>
    <row r="678">
      <c r="B678" s="106"/>
      <c r="C678" s="106"/>
    </row>
    <row r="679">
      <c r="B679" s="106"/>
      <c r="C679" s="106"/>
    </row>
    <row r="680">
      <c r="B680" s="106"/>
      <c r="C680" s="106"/>
    </row>
    <row r="681">
      <c r="B681" s="106"/>
      <c r="C681" s="106"/>
    </row>
    <row r="682">
      <c r="B682" s="106"/>
      <c r="C682" s="106"/>
    </row>
    <row r="683">
      <c r="B683" s="106"/>
      <c r="C683" s="106"/>
    </row>
    <row r="684">
      <c r="B684" s="106"/>
      <c r="C684" s="106"/>
    </row>
    <row r="685">
      <c r="B685" s="106"/>
      <c r="C685" s="106"/>
    </row>
    <row r="686">
      <c r="B686" s="106"/>
      <c r="C686" s="106"/>
    </row>
    <row r="687">
      <c r="B687" s="106"/>
      <c r="C687" s="106"/>
    </row>
    <row r="688">
      <c r="B688" s="106"/>
      <c r="C688" s="106"/>
    </row>
    <row r="689">
      <c r="B689" s="106"/>
      <c r="C689" s="106"/>
    </row>
    <row r="690">
      <c r="B690" s="106"/>
      <c r="C690" s="106"/>
    </row>
    <row r="691">
      <c r="B691" s="106"/>
      <c r="C691" s="106"/>
    </row>
    <row r="692">
      <c r="B692" s="106"/>
      <c r="C692" s="106"/>
    </row>
    <row r="693">
      <c r="B693" s="106"/>
      <c r="C693" s="106"/>
    </row>
    <row r="694">
      <c r="B694" s="106"/>
      <c r="C694" s="106"/>
    </row>
    <row r="695">
      <c r="B695" s="106"/>
      <c r="C695" s="106"/>
    </row>
    <row r="696">
      <c r="B696" s="106"/>
      <c r="C696" s="106"/>
    </row>
    <row r="697">
      <c r="B697" s="106"/>
      <c r="C697" s="106"/>
    </row>
    <row r="698">
      <c r="B698" s="106"/>
      <c r="C698" s="106"/>
    </row>
    <row r="699">
      <c r="B699" s="106"/>
      <c r="C699" s="106"/>
    </row>
    <row r="700">
      <c r="B700" s="106"/>
      <c r="C700" s="106"/>
    </row>
    <row r="701">
      <c r="B701" s="106"/>
      <c r="C701" s="106"/>
    </row>
    <row r="702">
      <c r="B702" s="106"/>
      <c r="C702" s="106"/>
    </row>
    <row r="703">
      <c r="B703" s="106"/>
      <c r="C703" s="106"/>
    </row>
    <row r="704">
      <c r="B704" s="106"/>
      <c r="C704" s="106"/>
    </row>
    <row r="705">
      <c r="B705" s="106"/>
      <c r="C705" s="106"/>
    </row>
    <row r="706">
      <c r="B706" s="106"/>
      <c r="C706" s="106"/>
    </row>
    <row r="707">
      <c r="B707" s="106"/>
      <c r="C707" s="106"/>
    </row>
    <row r="708">
      <c r="B708" s="106"/>
      <c r="C708" s="106"/>
    </row>
    <row r="709">
      <c r="B709" s="106"/>
      <c r="C709" s="106"/>
    </row>
    <row r="710">
      <c r="B710" s="106"/>
      <c r="C710" s="106"/>
    </row>
    <row r="711">
      <c r="B711" s="106"/>
      <c r="C711" s="106"/>
    </row>
    <row r="712">
      <c r="B712" s="106"/>
      <c r="C712" s="106"/>
    </row>
    <row r="713">
      <c r="B713" s="106"/>
      <c r="C713" s="106"/>
    </row>
    <row r="714">
      <c r="B714" s="106"/>
      <c r="C714" s="106"/>
    </row>
    <row r="715">
      <c r="B715" s="106"/>
      <c r="C715" s="106"/>
    </row>
    <row r="716">
      <c r="B716" s="106"/>
      <c r="C716" s="106"/>
    </row>
    <row r="717">
      <c r="B717" s="106"/>
      <c r="C717" s="106"/>
    </row>
    <row r="718">
      <c r="B718" s="106"/>
      <c r="C718" s="106"/>
    </row>
    <row r="719">
      <c r="B719" s="106"/>
      <c r="C719" s="106"/>
    </row>
    <row r="720">
      <c r="B720" s="106"/>
      <c r="C720" s="106"/>
    </row>
    <row r="721">
      <c r="B721" s="106"/>
      <c r="C721" s="106"/>
    </row>
    <row r="722">
      <c r="B722" s="106"/>
      <c r="C722" s="106"/>
    </row>
    <row r="723">
      <c r="B723" s="106"/>
      <c r="C723" s="106"/>
    </row>
    <row r="724">
      <c r="B724" s="106"/>
      <c r="C724" s="106"/>
    </row>
    <row r="725">
      <c r="B725" s="106"/>
      <c r="C725" s="106"/>
    </row>
    <row r="726">
      <c r="B726" s="106"/>
      <c r="C726" s="106"/>
    </row>
    <row r="727">
      <c r="B727" s="106"/>
      <c r="C727" s="106"/>
    </row>
    <row r="728">
      <c r="B728" s="106"/>
      <c r="C728" s="106"/>
    </row>
    <row r="729">
      <c r="B729" s="106"/>
      <c r="C729" s="106"/>
    </row>
    <row r="730">
      <c r="B730" s="106"/>
      <c r="C730" s="106"/>
    </row>
    <row r="731">
      <c r="B731" s="106"/>
      <c r="C731" s="106"/>
    </row>
    <row r="732">
      <c r="B732" s="106"/>
      <c r="C732" s="106"/>
    </row>
    <row r="733">
      <c r="B733" s="106"/>
      <c r="C733" s="106"/>
    </row>
    <row r="734">
      <c r="B734" s="106"/>
      <c r="C734" s="106"/>
    </row>
    <row r="735">
      <c r="B735" s="106"/>
      <c r="C735" s="106"/>
    </row>
    <row r="736">
      <c r="B736" s="106"/>
      <c r="C736" s="106"/>
    </row>
    <row r="737">
      <c r="B737" s="106"/>
      <c r="C737" s="106"/>
    </row>
    <row r="738">
      <c r="B738" s="106"/>
      <c r="C738" s="106"/>
    </row>
    <row r="739">
      <c r="B739" s="106"/>
      <c r="C739" s="106"/>
    </row>
    <row r="740">
      <c r="B740" s="106"/>
      <c r="C740" s="106"/>
    </row>
    <row r="741">
      <c r="B741" s="106"/>
      <c r="C741" s="106"/>
    </row>
    <row r="742">
      <c r="B742" s="106"/>
      <c r="C742" s="106"/>
    </row>
    <row r="743">
      <c r="B743" s="106"/>
      <c r="C743" s="106"/>
    </row>
    <row r="744">
      <c r="B744" s="106"/>
      <c r="C744" s="106"/>
    </row>
    <row r="745">
      <c r="B745" s="106"/>
      <c r="C745" s="106"/>
    </row>
    <row r="746">
      <c r="B746" s="106"/>
      <c r="C746" s="106"/>
    </row>
    <row r="747">
      <c r="B747" s="106"/>
      <c r="C747" s="106"/>
    </row>
    <row r="748">
      <c r="B748" s="106"/>
      <c r="C748" s="106"/>
    </row>
    <row r="749">
      <c r="B749" s="106"/>
      <c r="C749" s="106"/>
    </row>
    <row r="750">
      <c r="B750" s="106"/>
      <c r="C750" s="106"/>
    </row>
    <row r="751">
      <c r="B751" s="106"/>
      <c r="C751" s="106"/>
    </row>
    <row r="752">
      <c r="B752" s="106"/>
      <c r="C752" s="106"/>
    </row>
    <row r="753">
      <c r="B753" s="106"/>
      <c r="C753" s="106"/>
    </row>
    <row r="754">
      <c r="B754" s="106"/>
      <c r="C754" s="106"/>
    </row>
    <row r="755">
      <c r="B755" s="106"/>
      <c r="C755" s="106"/>
    </row>
    <row r="756">
      <c r="B756" s="106"/>
      <c r="C756" s="106"/>
    </row>
    <row r="757">
      <c r="B757" s="106"/>
      <c r="C757" s="106"/>
    </row>
    <row r="758">
      <c r="B758" s="106"/>
      <c r="C758" s="106"/>
    </row>
    <row r="759">
      <c r="B759" s="106"/>
      <c r="C759" s="106"/>
    </row>
    <row r="760">
      <c r="B760" s="106"/>
      <c r="C760" s="106"/>
    </row>
    <row r="761">
      <c r="B761" s="106"/>
      <c r="C761" s="106"/>
    </row>
    <row r="762">
      <c r="B762" s="106"/>
      <c r="C762" s="106"/>
    </row>
    <row r="763">
      <c r="B763" s="106"/>
      <c r="C763" s="106"/>
    </row>
    <row r="764">
      <c r="B764" s="106"/>
      <c r="C764" s="106"/>
    </row>
    <row r="765">
      <c r="B765" s="106"/>
      <c r="C765" s="106"/>
    </row>
    <row r="766">
      <c r="B766" s="106"/>
      <c r="C766" s="106"/>
    </row>
    <row r="767">
      <c r="B767" s="106"/>
      <c r="C767" s="106"/>
    </row>
    <row r="768">
      <c r="B768" s="106"/>
      <c r="C768" s="106"/>
    </row>
    <row r="769">
      <c r="B769" s="106"/>
      <c r="C769" s="106"/>
    </row>
    <row r="770">
      <c r="B770" s="106"/>
      <c r="C770" s="106"/>
    </row>
    <row r="771">
      <c r="B771" s="106"/>
      <c r="C771" s="106"/>
    </row>
    <row r="772">
      <c r="B772" s="106"/>
      <c r="C772" s="106"/>
    </row>
    <row r="773">
      <c r="B773" s="106"/>
      <c r="C773" s="106"/>
    </row>
    <row r="774">
      <c r="B774" s="106"/>
      <c r="C774" s="106"/>
    </row>
    <row r="775">
      <c r="B775" s="106"/>
      <c r="C775" s="106"/>
    </row>
    <row r="776">
      <c r="B776" s="106"/>
      <c r="C776" s="106"/>
    </row>
    <row r="777">
      <c r="B777" s="106"/>
      <c r="C777" s="106"/>
    </row>
    <row r="778">
      <c r="B778" s="106"/>
      <c r="C778" s="106"/>
    </row>
    <row r="779">
      <c r="B779" s="106"/>
      <c r="C779" s="106"/>
    </row>
    <row r="780">
      <c r="B780" s="106"/>
      <c r="C780" s="106"/>
    </row>
    <row r="781">
      <c r="B781" s="106"/>
      <c r="C781" s="106"/>
    </row>
    <row r="782">
      <c r="B782" s="106"/>
      <c r="C782" s="106"/>
    </row>
    <row r="783">
      <c r="B783" s="106"/>
      <c r="C783" s="106"/>
    </row>
    <row r="784">
      <c r="B784" s="106"/>
      <c r="C784" s="106"/>
    </row>
    <row r="785">
      <c r="B785" s="106"/>
      <c r="C785" s="106"/>
    </row>
    <row r="786">
      <c r="B786" s="106"/>
      <c r="C786" s="106"/>
    </row>
    <row r="787">
      <c r="B787" s="106"/>
      <c r="C787" s="106"/>
    </row>
    <row r="788">
      <c r="B788" s="106"/>
      <c r="C788" s="106"/>
    </row>
    <row r="789">
      <c r="B789" s="106"/>
      <c r="C789" s="106"/>
    </row>
    <row r="790">
      <c r="B790" s="106"/>
      <c r="C790" s="106"/>
    </row>
    <row r="791">
      <c r="B791" s="106"/>
      <c r="C791" s="106"/>
    </row>
    <row r="792">
      <c r="B792" s="106"/>
      <c r="C792" s="106"/>
    </row>
    <row r="793">
      <c r="B793" s="106"/>
      <c r="C793" s="106"/>
    </row>
    <row r="794">
      <c r="B794" s="106"/>
      <c r="C794" s="106"/>
    </row>
    <row r="795">
      <c r="B795" s="106"/>
      <c r="C795" s="106"/>
    </row>
    <row r="796">
      <c r="B796" s="106"/>
      <c r="C796" s="106"/>
    </row>
    <row r="797">
      <c r="B797" s="106"/>
      <c r="C797" s="106"/>
    </row>
    <row r="798">
      <c r="B798" s="106"/>
      <c r="C798" s="106"/>
    </row>
    <row r="799">
      <c r="B799" s="106"/>
      <c r="C799" s="106"/>
    </row>
    <row r="800">
      <c r="B800" s="106"/>
      <c r="C800" s="106"/>
    </row>
    <row r="801">
      <c r="B801" s="106"/>
      <c r="C801" s="106"/>
    </row>
    <row r="802">
      <c r="B802" s="106"/>
      <c r="C802" s="106"/>
    </row>
    <row r="803">
      <c r="B803" s="106"/>
      <c r="C803" s="106"/>
    </row>
    <row r="804">
      <c r="B804" s="106"/>
      <c r="C804" s="106"/>
    </row>
    <row r="805">
      <c r="B805" s="106"/>
      <c r="C805" s="106"/>
    </row>
    <row r="806">
      <c r="B806" s="106"/>
      <c r="C806" s="106"/>
    </row>
    <row r="807">
      <c r="B807" s="106"/>
      <c r="C807" s="106"/>
    </row>
    <row r="808">
      <c r="B808" s="106"/>
      <c r="C808" s="106"/>
    </row>
    <row r="809">
      <c r="B809" s="106"/>
      <c r="C809" s="106"/>
    </row>
    <row r="810">
      <c r="B810" s="106"/>
      <c r="C810" s="106"/>
    </row>
    <row r="811">
      <c r="B811" s="106"/>
      <c r="C811" s="106"/>
    </row>
    <row r="812">
      <c r="B812" s="106"/>
      <c r="C812" s="106"/>
    </row>
    <row r="813">
      <c r="B813" s="106"/>
      <c r="C813" s="106"/>
    </row>
    <row r="814">
      <c r="B814" s="106"/>
      <c r="C814" s="106"/>
    </row>
    <row r="815">
      <c r="B815" s="106"/>
      <c r="C815" s="106"/>
    </row>
    <row r="816">
      <c r="B816" s="106"/>
      <c r="C816" s="106"/>
    </row>
    <row r="817">
      <c r="B817" s="106"/>
      <c r="C817" s="106"/>
    </row>
    <row r="818">
      <c r="B818" s="106"/>
      <c r="C818" s="106"/>
    </row>
    <row r="819">
      <c r="B819" s="106"/>
      <c r="C819" s="106"/>
    </row>
    <row r="820">
      <c r="B820" s="106"/>
      <c r="C820" s="106"/>
    </row>
    <row r="821">
      <c r="B821" s="106"/>
      <c r="C821" s="106"/>
    </row>
    <row r="822">
      <c r="B822" s="106"/>
      <c r="C822" s="106"/>
    </row>
    <row r="823">
      <c r="B823" s="106"/>
      <c r="C823" s="106"/>
    </row>
    <row r="824">
      <c r="B824" s="106"/>
      <c r="C824" s="106"/>
    </row>
    <row r="825">
      <c r="B825" s="106"/>
      <c r="C825" s="106"/>
    </row>
    <row r="826">
      <c r="B826" s="106"/>
      <c r="C826" s="106"/>
    </row>
    <row r="827">
      <c r="B827" s="106"/>
      <c r="C827" s="106"/>
    </row>
    <row r="828">
      <c r="B828" s="106"/>
      <c r="C828" s="106"/>
    </row>
    <row r="829">
      <c r="B829" s="106"/>
      <c r="C829" s="106"/>
    </row>
    <row r="830">
      <c r="B830" s="106"/>
      <c r="C830" s="106"/>
    </row>
    <row r="831">
      <c r="B831" s="106"/>
      <c r="C831" s="106"/>
    </row>
    <row r="832">
      <c r="B832" s="106"/>
      <c r="C832" s="106"/>
    </row>
    <row r="833">
      <c r="B833" s="106"/>
      <c r="C833" s="106"/>
    </row>
    <row r="834">
      <c r="B834" s="106"/>
      <c r="C834" s="106"/>
    </row>
    <row r="835">
      <c r="B835" s="106"/>
      <c r="C835" s="106"/>
    </row>
    <row r="836">
      <c r="B836" s="106"/>
      <c r="C836" s="106"/>
    </row>
    <row r="837">
      <c r="B837" s="106"/>
      <c r="C837" s="106"/>
    </row>
    <row r="838">
      <c r="B838" s="106"/>
      <c r="C838" s="106"/>
    </row>
    <row r="839">
      <c r="B839" s="106"/>
      <c r="C839" s="106"/>
    </row>
    <row r="840">
      <c r="B840" s="106"/>
      <c r="C840" s="106"/>
    </row>
    <row r="841">
      <c r="B841" s="106"/>
      <c r="C841" s="106"/>
    </row>
    <row r="842">
      <c r="B842" s="106"/>
      <c r="C842" s="106"/>
    </row>
    <row r="843">
      <c r="B843" s="106"/>
      <c r="C843" s="106"/>
    </row>
    <row r="844">
      <c r="B844" s="106"/>
      <c r="C844" s="106"/>
    </row>
    <row r="845">
      <c r="B845" s="106"/>
      <c r="C845" s="106"/>
    </row>
    <row r="846">
      <c r="B846" s="106"/>
      <c r="C846" s="106"/>
    </row>
    <row r="847">
      <c r="B847" s="106"/>
      <c r="C847" s="106"/>
    </row>
    <row r="848">
      <c r="B848" s="106"/>
      <c r="C848" s="106"/>
    </row>
    <row r="849">
      <c r="B849" s="106"/>
      <c r="C849" s="106"/>
    </row>
    <row r="850">
      <c r="B850" s="106"/>
      <c r="C850" s="106"/>
    </row>
    <row r="851">
      <c r="B851" s="106"/>
      <c r="C851" s="106"/>
    </row>
    <row r="852">
      <c r="B852" s="106"/>
      <c r="C852" s="106"/>
    </row>
    <row r="853">
      <c r="B853" s="106"/>
      <c r="C853" s="106"/>
    </row>
    <row r="854">
      <c r="B854" s="106"/>
      <c r="C854" s="106"/>
    </row>
    <row r="855">
      <c r="B855" s="106"/>
      <c r="C855" s="106"/>
    </row>
    <row r="856">
      <c r="B856" s="106"/>
      <c r="C856" s="106"/>
    </row>
    <row r="857">
      <c r="B857" s="106"/>
      <c r="C857" s="106"/>
    </row>
    <row r="858">
      <c r="B858" s="106"/>
      <c r="C858" s="106"/>
    </row>
    <row r="859">
      <c r="B859" s="106"/>
      <c r="C859" s="106"/>
    </row>
    <row r="860">
      <c r="B860" s="106"/>
      <c r="C860" s="106"/>
    </row>
    <row r="861">
      <c r="B861" s="106"/>
      <c r="C861" s="106"/>
    </row>
    <row r="862">
      <c r="B862" s="106"/>
      <c r="C862" s="106"/>
    </row>
    <row r="863">
      <c r="B863" s="106"/>
      <c r="C863" s="106"/>
    </row>
    <row r="864">
      <c r="B864" s="106"/>
      <c r="C864" s="106"/>
    </row>
    <row r="865">
      <c r="B865" s="106"/>
      <c r="C865" s="106"/>
    </row>
    <row r="866">
      <c r="B866" s="106"/>
      <c r="C866" s="106"/>
    </row>
    <row r="867">
      <c r="B867" s="106"/>
      <c r="C867" s="106"/>
    </row>
    <row r="868">
      <c r="B868" s="106"/>
      <c r="C868" s="106"/>
    </row>
    <row r="869">
      <c r="B869" s="106"/>
      <c r="C869" s="106"/>
    </row>
    <row r="870">
      <c r="B870" s="106"/>
      <c r="C870" s="106"/>
    </row>
    <row r="871">
      <c r="B871" s="106"/>
      <c r="C871" s="106"/>
    </row>
    <row r="872">
      <c r="B872" s="106"/>
      <c r="C872" s="106"/>
    </row>
    <row r="873">
      <c r="B873" s="106"/>
      <c r="C873" s="106"/>
    </row>
    <row r="874">
      <c r="B874" s="106"/>
      <c r="C874" s="106"/>
    </row>
    <row r="875">
      <c r="B875" s="106"/>
      <c r="C875" s="106"/>
    </row>
    <row r="876">
      <c r="B876" s="106"/>
      <c r="C876" s="106"/>
    </row>
    <row r="877">
      <c r="B877" s="106"/>
      <c r="C877" s="106"/>
    </row>
    <row r="878">
      <c r="B878" s="106"/>
      <c r="C878" s="106"/>
    </row>
    <row r="879">
      <c r="B879" s="106"/>
      <c r="C879" s="106"/>
    </row>
    <row r="880">
      <c r="B880" s="106"/>
      <c r="C880" s="106"/>
    </row>
    <row r="881">
      <c r="B881" s="106"/>
      <c r="C881" s="106"/>
    </row>
    <row r="882">
      <c r="B882" s="106"/>
      <c r="C882" s="106"/>
    </row>
    <row r="883">
      <c r="B883" s="106"/>
      <c r="C883" s="106"/>
    </row>
    <row r="884">
      <c r="B884" s="106"/>
      <c r="C884" s="106"/>
    </row>
    <row r="885">
      <c r="B885" s="106"/>
      <c r="C885" s="106"/>
    </row>
    <row r="886">
      <c r="B886" s="106"/>
      <c r="C886" s="106"/>
    </row>
    <row r="887">
      <c r="B887" s="106"/>
      <c r="C887" s="106"/>
    </row>
    <row r="888">
      <c r="B888" s="106"/>
      <c r="C888" s="106"/>
    </row>
    <row r="889">
      <c r="B889" s="106"/>
      <c r="C889" s="106"/>
    </row>
    <row r="890">
      <c r="B890" s="106"/>
      <c r="C890" s="106"/>
    </row>
    <row r="891">
      <c r="B891" s="106"/>
      <c r="C891" s="106"/>
    </row>
    <row r="892">
      <c r="B892" s="106"/>
      <c r="C892" s="106"/>
    </row>
    <row r="893">
      <c r="B893" s="106"/>
      <c r="C893" s="106"/>
    </row>
    <row r="894">
      <c r="B894" s="106"/>
      <c r="C894" s="106"/>
    </row>
    <row r="895">
      <c r="B895" s="106"/>
      <c r="C895" s="106"/>
    </row>
    <row r="896">
      <c r="B896" s="106"/>
      <c r="C896" s="106"/>
    </row>
    <row r="897">
      <c r="B897" s="106"/>
      <c r="C897" s="106"/>
    </row>
    <row r="898">
      <c r="B898" s="106"/>
      <c r="C898" s="106"/>
    </row>
    <row r="899">
      <c r="B899" s="106"/>
      <c r="C899" s="106"/>
    </row>
    <row r="900">
      <c r="B900" s="106"/>
      <c r="C900" s="106"/>
    </row>
    <row r="901">
      <c r="B901" s="106"/>
      <c r="C901" s="106"/>
    </row>
    <row r="902">
      <c r="B902" s="106"/>
      <c r="C902" s="106"/>
    </row>
    <row r="903">
      <c r="B903" s="106"/>
      <c r="C903" s="106"/>
    </row>
    <row r="904">
      <c r="B904" s="106"/>
      <c r="C904" s="106"/>
    </row>
    <row r="905">
      <c r="B905" s="106"/>
      <c r="C905" s="106"/>
    </row>
    <row r="906">
      <c r="B906" s="106"/>
      <c r="C906" s="106"/>
    </row>
    <row r="907">
      <c r="B907" s="106"/>
      <c r="C907" s="106"/>
    </row>
    <row r="908">
      <c r="B908" s="106"/>
      <c r="C908" s="106"/>
    </row>
    <row r="909">
      <c r="B909" s="106"/>
      <c r="C909" s="106"/>
    </row>
    <row r="910">
      <c r="B910" s="106"/>
      <c r="C910" s="106"/>
    </row>
    <row r="911">
      <c r="B911" s="106"/>
      <c r="C911" s="106"/>
    </row>
    <row r="912">
      <c r="B912" s="106"/>
      <c r="C912" s="106"/>
    </row>
    <row r="913">
      <c r="B913" s="106"/>
      <c r="C913" s="106"/>
    </row>
    <row r="914">
      <c r="B914" s="106"/>
      <c r="C914" s="106"/>
    </row>
    <row r="915">
      <c r="B915" s="106"/>
      <c r="C915" s="106"/>
    </row>
    <row r="916">
      <c r="B916" s="106"/>
      <c r="C916" s="106"/>
    </row>
    <row r="917">
      <c r="B917" s="106"/>
      <c r="C917" s="106"/>
    </row>
    <row r="918">
      <c r="B918" s="106"/>
      <c r="C918" s="106"/>
    </row>
    <row r="919">
      <c r="B919" s="106"/>
      <c r="C919" s="106"/>
    </row>
    <row r="920">
      <c r="B920" s="106"/>
      <c r="C920" s="106"/>
    </row>
    <row r="921">
      <c r="B921" s="106"/>
      <c r="C921" s="106"/>
    </row>
    <row r="922">
      <c r="B922" s="106"/>
      <c r="C922" s="106"/>
    </row>
    <row r="923">
      <c r="B923" s="106"/>
      <c r="C923" s="106"/>
    </row>
    <row r="924">
      <c r="B924" s="106"/>
      <c r="C924" s="106"/>
    </row>
    <row r="925">
      <c r="B925" s="106"/>
      <c r="C925" s="106"/>
    </row>
    <row r="926">
      <c r="B926" s="106"/>
      <c r="C926" s="106"/>
    </row>
    <row r="927">
      <c r="B927" s="106"/>
      <c r="C927" s="106"/>
    </row>
    <row r="928">
      <c r="B928" s="106"/>
      <c r="C928" s="106"/>
    </row>
    <row r="929">
      <c r="B929" s="106"/>
      <c r="C929" s="106"/>
    </row>
    <row r="930">
      <c r="B930" s="106"/>
      <c r="C930" s="106"/>
    </row>
    <row r="931">
      <c r="B931" s="106"/>
      <c r="C931" s="106"/>
    </row>
    <row r="932">
      <c r="B932" s="106"/>
      <c r="C932" s="106"/>
    </row>
    <row r="933">
      <c r="B933" s="106"/>
      <c r="C933" s="106"/>
    </row>
    <row r="934">
      <c r="B934" s="106"/>
      <c r="C934" s="106"/>
    </row>
    <row r="935">
      <c r="B935" s="106"/>
      <c r="C935" s="106"/>
    </row>
    <row r="936">
      <c r="B936" s="106"/>
      <c r="C936" s="106"/>
    </row>
    <row r="937">
      <c r="B937" s="106"/>
      <c r="C937" s="106"/>
    </row>
    <row r="938">
      <c r="B938" s="106"/>
      <c r="C938" s="106"/>
    </row>
    <row r="939">
      <c r="B939" s="106"/>
      <c r="C939" s="106"/>
    </row>
    <row r="940">
      <c r="B940" s="106"/>
      <c r="C940" s="106"/>
    </row>
    <row r="941">
      <c r="B941" s="106"/>
      <c r="C941" s="106"/>
    </row>
    <row r="942">
      <c r="B942" s="106"/>
      <c r="C942" s="106"/>
    </row>
    <row r="943">
      <c r="B943" s="106"/>
      <c r="C943" s="106"/>
    </row>
    <row r="944">
      <c r="B944" s="106"/>
      <c r="C944" s="106"/>
    </row>
    <row r="945">
      <c r="B945" s="106"/>
      <c r="C945" s="106"/>
    </row>
    <row r="946">
      <c r="B946" s="106"/>
      <c r="C946" s="106"/>
    </row>
    <row r="947">
      <c r="B947" s="106"/>
      <c r="C947" s="106"/>
    </row>
    <row r="948">
      <c r="B948" s="106"/>
      <c r="C948" s="106"/>
    </row>
    <row r="949">
      <c r="B949" s="106"/>
      <c r="C949" s="106"/>
    </row>
    <row r="950">
      <c r="B950" s="106"/>
      <c r="C950" s="106"/>
    </row>
    <row r="951">
      <c r="B951" s="106"/>
      <c r="C951" s="106"/>
    </row>
    <row r="952">
      <c r="B952" s="106"/>
      <c r="C952" s="106"/>
    </row>
    <row r="953">
      <c r="B953" s="106"/>
      <c r="C953" s="106"/>
    </row>
    <row r="954">
      <c r="B954" s="106"/>
      <c r="C954" s="106"/>
    </row>
    <row r="955">
      <c r="B955" s="106"/>
      <c r="C955" s="106"/>
    </row>
    <row r="956">
      <c r="B956" s="106"/>
      <c r="C956" s="106"/>
    </row>
    <row r="957">
      <c r="B957" s="106"/>
      <c r="C957" s="106"/>
    </row>
    <row r="958">
      <c r="B958" s="106"/>
      <c r="C958" s="106"/>
    </row>
    <row r="959">
      <c r="B959" s="106"/>
      <c r="C959" s="106"/>
    </row>
    <row r="960">
      <c r="B960" s="106"/>
      <c r="C960" s="106"/>
    </row>
    <row r="961">
      <c r="B961" s="106"/>
      <c r="C961" s="106"/>
    </row>
    <row r="962">
      <c r="B962" s="106"/>
      <c r="C962" s="106"/>
    </row>
    <row r="963">
      <c r="B963" s="106"/>
      <c r="C963" s="106"/>
    </row>
    <row r="964">
      <c r="B964" s="106"/>
      <c r="C964" s="106"/>
    </row>
    <row r="965">
      <c r="B965" s="106"/>
      <c r="C965" s="106"/>
    </row>
    <row r="966">
      <c r="B966" s="106"/>
      <c r="C966" s="106"/>
    </row>
    <row r="967">
      <c r="B967" s="106"/>
      <c r="C967" s="106"/>
    </row>
    <row r="968">
      <c r="B968" s="106"/>
      <c r="C968" s="106"/>
    </row>
    <row r="969">
      <c r="B969" s="106"/>
      <c r="C969" s="106"/>
    </row>
    <row r="970">
      <c r="B970" s="106"/>
      <c r="C970" s="106"/>
    </row>
    <row r="971">
      <c r="B971" s="106"/>
      <c r="C971" s="106"/>
    </row>
    <row r="972">
      <c r="B972" s="106"/>
      <c r="C972" s="106"/>
    </row>
    <row r="973">
      <c r="B973" s="106"/>
      <c r="C973" s="106"/>
    </row>
    <row r="974">
      <c r="B974" s="106"/>
      <c r="C974" s="106"/>
    </row>
    <row r="975">
      <c r="B975" s="106"/>
      <c r="C975" s="106"/>
    </row>
    <row r="976">
      <c r="B976" s="106"/>
      <c r="C976" s="106"/>
    </row>
    <row r="977">
      <c r="B977" s="106"/>
      <c r="C977" s="106"/>
    </row>
    <row r="978">
      <c r="B978" s="106"/>
      <c r="C978" s="106"/>
    </row>
    <row r="979">
      <c r="B979" s="106"/>
      <c r="C979" s="106"/>
    </row>
    <row r="980">
      <c r="B980" s="106"/>
      <c r="C980" s="106"/>
    </row>
    <row r="981">
      <c r="B981" s="106"/>
      <c r="C981" s="106"/>
    </row>
    <row r="982">
      <c r="B982" s="106"/>
      <c r="C982" s="106"/>
    </row>
    <row r="983">
      <c r="B983" s="106"/>
      <c r="C983" s="106"/>
    </row>
    <row r="984">
      <c r="B984" s="106"/>
      <c r="C984" s="106"/>
    </row>
    <row r="985">
      <c r="B985" s="106"/>
      <c r="C985" s="106"/>
    </row>
    <row r="986">
      <c r="B986" s="106"/>
      <c r="C986" s="106"/>
    </row>
    <row r="987">
      <c r="B987" s="106"/>
      <c r="C987" s="106"/>
    </row>
    <row r="988">
      <c r="B988" s="106"/>
      <c r="C988" s="106"/>
    </row>
    <row r="989">
      <c r="B989" s="106"/>
      <c r="C989" s="106"/>
    </row>
    <row r="990">
      <c r="B990" s="106"/>
      <c r="C990" s="106"/>
    </row>
    <row r="991">
      <c r="B991" s="106"/>
      <c r="C991" s="106"/>
    </row>
    <row r="992">
      <c r="B992" s="106"/>
      <c r="C992" s="106"/>
    </row>
  </sheetData>
  <drawing r:id="rId1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4" max="4" width="32.63"/>
    <col customWidth="1" min="5" max="5" width="25.13"/>
    <col customWidth="1" min="6" max="6" width="17.5"/>
    <col customWidth="1" min="7" max="7" width="16.0"/>
  </cols>
  <sheetData>
    <row r="1">
      <c r="F1" s="106"/>
      <c r="G1" s="106"/>
    </row>
    <row r="2">
      <c r="B2" s="68" t="s">
        <v>342</v>
      </c>
      <c r="C2" s="69"/>
      <c r="D2" s="69"/>
      <c r="E2" s="107"/>
      <c r="F2" s="106"/>
      <c r="G2" s="106"/>
    </row>
    <row r="3">
      <c r="B3" s="74"/>
      <c r="E3" s="108"/>
      <c r="F3" s="106"/>
      <c r="G3" s="106"/>
      <c r="I3" s="303" t="s">
        <v>357</v>
      </c>
    </row>
    <row r="4">
      <c r="B4" s="124" t="s">
        <v>273</v>
      </c>
      <c r="C4" s="37"/>
      <c r="D4" s="37"/>
      <c r="E4" s="38"/>
      <c r="F4" s="106"/>
      <c r="G4" s="106"/>
    </row>
    <row r="5">
      <c r="B5" s="83" t="s">
        <v>293</v>
      </c>
      <c r="C5" s="84" t="s">
        <v>301</v>
      </c>
      <c r="D5" s="84" t="s">
        <v>342</v>
      </c>
      <c r="E5" s="84" t="s">
        <v>344</v>
      </c>
      <c r="F5" s="304" t="s">
        <v>358</v>
      </c>
      <c r="G5" s="304" t="s">
        <v>359</v>
      </c>
      <c r="H5" s="11"/>
      <c r="I5" s="303"/>
    </row>
    <row r="6">
      <c r="B6" s="125">
        <v>1.0</v>
      </c>
      <c r="C6" s="125">
        <v>1.0</v>
      </c>
      <c r="D6" s="261">
        <v>-482100.0</v>
      </c>
      <c r="E6" s="261">
        <v>-482100.0</v>
      </c>
      <c r="F6" s="305">
        <v>-250000.0</v>
      </c>
      <c r="G6" s="306">
        <v>-232100.0</v>
      </c>
    </row>
    <row r="7">
      <c r="B7" s="125">
        <v>2.0</v>
      </c>
      <c r="C7" s="125">
        <v>2.0</v>
      </c>
      <c r="D7" s="261">
        <v>-129800.0</v>
      </c>
      <c r="E7" s="261">
        <v>-611900.0</v>
      </c>
      <c r="F7" s="305">
        <v>-70000.0</v>
      </c>
      <c r="G7" s="306">
        <v>-59800.0</v>
      </c>
    </row>
    <row r="8">
      <c r="B8" s="125">
        <v>3.0</v>
      </c>
      <c r="C8" s="125">
        <v>3.0</v>
      </c>
      <c r="D8" s="261">
        <v>-251500.0</v>
      </c>
      <c r="E8" s="261">
        <v>-863400.0</v>
      </c>
      <c r="F8" s="305">
        <v>-130000.0</v>
      </c>
      <c r="G8" s="306">
        <v>-121500.0</v>
      </c>
    </row>
    <row r="9">
      <c r="B9" s="125">
        <v>4.0</v>
      </c>
      <c r="C9" s="125">
        <v>4.0</v>
      </c>
      <c r="D9" s="261">
        <v>-231724.0</v>
      </c>
      <c r="E9" s="261">
        <v>-1095124.0</v>
      </c>
      <c r="F9" s="305">
        <v>-120000.0</v>
      </c>
      <c r="G9" s="306">
        <v>-111724.0</v>
      </c>
    </row>
    <row r="10">
      <c r="B10" s="264" t="s">
        <v>348</v>
      </c>
      <c r="C10" s="188"/>
      <c r="D10" s="163"/>
      <c r="E10" s="265">
        <v>-1095124.0</v>
      </c>
      <c r="F10" s="307"/>
      <c r="G10" s="307"/>
    </row>
    <row r="11">
      <c r="B11" s="125">
        <v>5.0</v>
      </c>
      <c r="C11" s="131">
        <v>1.0</v>
      </c>
      <c r="D11" s="261">
        <v>-289040.33</v>
      </c>
      <c r="E11" s="261">
        <v>-289040.33</v>
      </c>
      <c r="F11" s="305">
        <v>-150000.0</v>
      </c>
      <c r="G11" s="306">
        <v>-139040.0</v>
      </c>
    </row>
    <row r="12">
      <c r="B12" s="125">
        <v>6.0</v>
      </c>
      <c r="C12" s="131">
        <v>2.0</v>
      </c>
      <c r="D12" s="261">
        <v>-242983.92</v>
      </c>
      <c r="E12" s="261">
        <v>-532024.25</v>
      </c>
      <c r="F12" s="305">
        <v>-125000.0</v>
      </c>
      <c r="G12" s="306">
        <v>-117984.0</v>
      </c>
    </row>
    <row r="13">
      <c r="B13" s="125">
        <v>7.0</v>
      </c>
      <c r="C13" s="131">
        <v>3.0</v>
      </c>
      <c r="D13" s="261">
        <v>-204096.75</v>
      </c>
      <c r="E13" s="261">
        <v>-736121.0</v>
      </c>
      <c r="F13" s="305">
        <v>-105000.0</v>
      </c>
      <c r="G13" s="306">
        <v>-99097.0</v>
      </c>
    </row>
    <row r="14">
      <c r="B14" s="125">
        <v>8.0</v>
      </c>
      <c r="C14" s="131">
        <v>4.0</v>
      </c>
      <c r="D14" s="261">
        <v>-131000.0</v>
      </c>
      <c r="E14" s="261">
        <v>-867121.0</v>
      </c>
      <c r="F14" s="305">
        <v>-70000.0</v>
      </c>
      <c r="G14" s="306">
        <v>-61000.0</v>
      </c>
    </row>
    <row r="15">
      <c r="B15" s="268" t="s">
        <v>349</v>
      </c>
      <c r="C15" s="191"/>
      <c r="D15" s="192"/>
      <c r="E15" s="269">
        <v>-867121.0</v>
      </c>
      <c r="F15" s="308"/>
      <c r="G15" s="308"/>
    </row>
    <row r="16">
      <c r="B16" s="131">
        <v>11.0</v>
      </c>
      <c r="C16" s="131">
        <v>1.0</v>
      </c>
      <c r="D16" s="261">
        <v>-154042.0</v>
      </c>
      <c r="E16" s="261">
        <v>-154042.0</v>
      </c>
      <c r="F16" s="305">
        <v>-80000.0</v>
      </c>
      <c r="G16" s="306">
        <v>-74042.0</v>
      </c>
    </row>
    <row r="17">
      <c r="B17" s="131">
        <v>12.0</v>
      </c>
      <c r="C17" s="131">
        <v>2.0</v>
      </c>
      <c r="D17" s="261">
        <v>-157246.0</v>
      </c>
      <c r="E17" s="261">
        <v>-311288.0</v>
      </c>
      <c r="F17" s="305">
        <v>-85000.0</v>
      </c>
      <c r="G17" s="306">
        <v>-72246.0</v>
      </c>
    </row>
    <row r="18">
      <c r="B18" s="131">
        <v>13.0</v>
      </c>
      <c r="C18" s="131">
        <v>3.0</v>
      </c>
      <c r="D18" s="261">
        <v>-156480.0</v>
      </c>
      <c r="E18" s="261">
        <v>-467768.0</v>
      </c>
      <c r="F18" s="305">
        <v>-80000.0</v>
      </c>
      <c r="G18" s="306">
        <v>-76480.0</v>
      </c>
    </row>
    <row r="19">
      <c r="B19" s="271">
        <v>14.0</v>
      </c>
      <c r="C19" s="272">
        <v>4.0</v>
      </c>
      <c r="D19" s="261">
        <v>-148400.0</v>
      </c>
      <c r="E19" s="261">
        <v>-616168.0</v>
      </c>
      <c r="F19" s="305">
        <v>-75000.0</v>
      </c>
      <c r="G19" s="306">
        <v>-73400.0</v>
      </c>
    </row>
    <row r="20">
      <c r="B20" s="268" t="s">
        <v>351</v>
      </c>
      <c r="C20" s="188"/>
      <c r="D20" s="163"/>
      <c r="E20" s="269">
        <v>-616168.0</v>
      </c>
      <c r="F20" s="307"/>
      <c r="G20" s="307"/>
    </row>
    <row r="21">
      <c r="B21" s="131">
        <v>15.0</v>
      </c>
      <c r="C21" s="131">
        <v>5.0</v>
      </c>
      <c r="D21" s="261">
        <v>-94438.25</v>
      </c>
      <c r="E21" s="261">
        <v>-94438.25</v>
      </c>
      <c r="F21" s="305">
        <v>-50000.0</v>
      </c>
      <c r="G21" s="306">
        <v>-44438.0</v>
      </c>
    </row>
    <row r="22">
      <c r="B22" s="131">
        <v>16.0</v>
      </c>
      <c r="C22" s="131">
        <v>6.0</v>
      </c>
      <c r="D22" s="261">
        <v>-78748.75</v>
      </c>
      <c r="E22" s="261">
        <v>-173187.0</v>
      </c>
      <c r="F22" s="305">
        <v>-40000.0</v>
      </c>
      <c r="G22" s="306">
        <v>-38749.0</v>
      </c>
    </row>
    <row r="23">
      <c r="B23" s="131">
        <v>17.0</v>
      </c>
      <c r="C23" s="131">
        <v>7.0</v>
      </c>
      <c r="D23" s="261">
        <v>-204096.75</v>
      </c>
      <c r="E23" s="261">
        <v>-377283.75</v>
      </c>
      <c r="F23" s="305">
        <v>-105000.0</v>
      </c>
      <c r="G23" s="306">
        <v>-99097.0</v>
      </c>
    </row>
    <row r="24">
      <c r="B24" s="131">
        <v>18.0</v>
      </c>
      <c r="C24" s="131">
        <v>8.0</v>
      </c>
      <c r="D24" s="261">
        <v>-470.0</v>
      </c>
      <c r="E24" s="261">
        <v>-377753.75</v>
      </c>
      <c r="F24" s="305">
        <v>-250.0</v>
      </c>
      <c r="G24" s="306">
        <v>-220.0</v>
      </c>
    </row>
    <row r="25">
      <c r="B25" s="268" t="s">
        <v>353</v>
      </c>
      <c r="C25" s="191"/>
      <c r="D25" s="192"/>
      <c r="E25" s="269">
        <v>-377753.0</v>
      </c>
      <c r="F25" s="106"/>
      <c r="G25" s="106"/>
    </row>
    <row r="26">
      <c r="F26" s="106"/>
      <c r="G26" s="106"/>
    </row>
    <row r="27">
      <c r="B27" s="309" t="s">
        <v>293</v>
      </c>
      <c r="C27" s="309" t="s">
        <v>301</v>
      </c>
      <c r="D27" s="309" t="s">
        <v>342</v>
      </c>
      <c r="E27" s="309" t="s">
        <v>360</v>
      </c>
      <c r="F27" s="310" t="s">
        <v>361</v>
      </c>
      <c r="G27" s="106"/>
    </row>
    <row r="28">
      <c r="B28" s="311">
        <v>1.0</v>
      </c>
      <c r="C28" s="311">
        <v>1.0</v>
      </c>
      <c r="D28" s="312">
        <v>-482100.0</v>
      </c>
      <c r="E28" s="312">
        <v>-250000.0</v>
      </c>
      <c r="F28" s="306">
        <v>-232100.0</v>
      </c>
      <c r="G28" s="106"/>
    </row>
    <row r="29">
      <c r="B29" s="311">
        <v>2.0</v>
      </c>
      <c r="C29" s="311">
        <v>2.0</v>
      </c>
      <c r="D29" s="312">
        <v>-129800.0</v>
      </c>
      <c r="E29" s="312">
        <v>-70000.0</v>
      </c>
      <c r="F29" s="306">
        <v>-59800.0</v>
      </c>
      <c r="G29" s="106"/>
    </row>
    <row r="30">
      <c r="B30" s="311">
        <v>3.0</v>
      </c>
      <c r="C30" s="311">
        <v>3.0</v>
      </c>
      <c r="D30" s="312">
        <v>-251500.0</v>
      </c>
      <c r="E30" s="312">
        <v>-130000.0</v>
      </c>
      <c r="F30" s="306">
        <v>-121500.0</v>
      </c>
      <c r="G30" s="106"/>
    </row>
    <row r="31">
      <c r="B31" s="311">
        <v>4.0</v>
      </c>
      <c r="C31" s="311">
        <v>4.0</v>
      </c>
      <c r="D31" s="312">
        <v>-231724.0</v>
      </c>
      <c r="E31" s="312">
        <v>-120000.0</v>
      </c>
      <c r="F31" s="306">
        <v>-111724.0</v>
      </c>
      <c r="G31" s="106"/>
    </row>
    <row r="32">
      <c r="B32" s="311">
        <v>5.0</v>
      </c>
      <c r="C32" s="311">
        <v>1.0</v>
      </c>
      <c r="D32" s="312">
        <v>-289040.0</v>
      </c>
      <c r="E32" s="312">
        <v>-150000.0</v>
      </c>
      <c r="F32" s="306">
        <v>-139040.0</v>
      </c>
      <c r="G32" s="106"/>
    </row>
    <row r="33">
      <c r="B33" s="311">
        <v>6.0</v>
      </c>
      <c r="C33" s="311">
        <v>2.0</v>
      </c>
      <c r="D33" s="312">
        <v>-242984.0</v>
      </c>
      <c r="E33" s="312">
        <v>-125000.0</v>
      </c>
      <c r="F33" s="306">
        <v>-117984.0</v>
      </c>
      <c r="G33" s="106"/>
    </row>
    <row r="34">
      <c r="B34" s="311">
        <v>7.0</v>
      </c>
      <c r="C34" s="311">
        <v>3.0</v>
      </c>
      <c r="D34" s="312">
        <v>-204097.0</v>
      </c>
      <c r="E34" s="312">
        <v>-105000.0</v>
      </c>
      <c r="F34" s="306">
        <v>-99097.0</v>
      </c>
      <c r="G34" s="106"/>
    </row>
    <row r="35">
      <c r="B35" s="311">
        <v>8.0</v>
      </c>
      <c r="C35" s="311">
        <v>4.0</v>
      </c>
      <c r="D35" s="312">
        <v>-131000.0</v>
      </c>
      <c r="E35" s="312">
        <v>-70000.0</v>
      </c>
      <c r="F35" s="306">
        <v>-61000.0</v>
      </c>
      <c r="G35" s="106"/>
    </row>
    <row r="36">
      <c r="B36" s="311">
        <v>11.0</v>
      </c>
      <c r="C36" s="311">
        <v>1.0</v>
      </c>
      <c r="D36" s="312">
        <v>-154042.0</v>
      </c>
      <c r="E36" s="312">
        <v>-80000.0</v>
      </c>
      <c r="F36" s="306">
        <v>-74042.0</v>
      </c>
      <c r="G36" s="106"/>
    </row>
    <row r="37">
      <c r="B37" s="311">
        <v>12.0</v>
      </c>
      <c r="C37" s="311">
        <v>2.0</v>
      </c>
      <c r="D37" s="312">
        <v>-157246.0</v>
      </c>
      <c r="E37" s="312">
        <v>-85000.0</v>
      </c>
      <c r="F37" s="306">
        <v>-72246.0</v>
      </c>
      <c r="G37" s="106"/>
    </row>
    <row r="38">
      <c r="B38" s="311">
        <v>13.0</v>
      </c>
      <c r="C38" s="311">
        <v>3.0</v>
      </c>
      <c r="D38" s="312">
        <v>-156480.0</v>
      </c>
      <c r="E38" s="312">
        <v>-80000.0</v>
      </c>
      <c r="F38" s="306">
        <v>-76480.0</v>
      </c>
      <c r="G38" s="106"/>
    </row>
    <row r="39">
      <c r="B39" s="311">
        <v>14.0</v>
      </c>
      <c r="C39" s="311">
        <v>4.0</v>
      </c>
      <c r="D39" s="312">
        <v>-148400.0</v>
      </c>
      <c r="E39" s="312">
        <v>-75000.0</v>
      </c>
      <c r="F39" s="306">
        <v>-73400.0</v>
      </c>
      <c r="G39" s="106"/>
    </row>
    <row r="40">
      <c r="B40" s="311">
        <v>15.0</v>
      </c>
      <c r="C40" s="311">
        <v>5.0</v>
      </c>
      <c r="D40" s="312">
        <v>-94438.0</v>
      </c>
      <c r="E40" s="312">
        <v>-50000.0</v>
      </c>
      <c r="F40" s="306">
        <v>-44438.0</v>
      </c>
      <c r="G40" s="106"/>
    </row>
    <row r="41">
      <c r="B41" s="311">
        <v>16.0</v>
      </c>
      <c r="C41" s="311">
        <v>6.0</v>
      </c>
      <c r="D41" s="312">
        <v>-78749.0</v>
      </c>
      <c r="E41" s="312">
        <v>-40000.0</v>
      </c>
      <c r="F41" s="306">
        <v>-38749.0</v>
      </c>
      <c r="G41" s="106"/>
    </row>
    <row r="42">
      <c r="B42" s="311">
        <v>17.0</v>
      </c>
      <c r="C42" s="311">
        <v>7.0</v>
      </c>
      <c r="D42" s="312">
        <v>-204097.0</v>
      </c>
      <c r="E42" s="312">
        <v>-105000.0</v>
      </c>
      <c r="F42" s="306">
        <v>-99097.0</v>
      </c>
      <c r="G42" s="106"/>
    </row>
    <row r="43">
      <c r="B43" s="311">
        <v>18.0</v>
      </c>
      <c r="C43" s="311">
        <v>8.0</v>
      </c>
      <c r="D43" s="311">
        <v>-470.0</v>
      </c>
      <c r="E43" s="311">
        <v>-250.0</v>
      </c>
      <c r="F43" s="306">
        <v>-220.0</v>
      </c>
      <c r="G43" s="106"/>
    </row>
    <row r="44">
      <c r="B44" s="311"/>
      <c r="C44" s="311"/>
      <c r="D44" s="311"/>
      <c r="E44" s="311"/>
      <c r="F44" s="306"/>
      <c r="G44" s="106"/>
    </row>
    <row r="45">
      <c r="B45" s="311"/>
      <c r="C45" s="311"/>
      <c r="D45" s="311"/>
      <c r="E45" s="311"/>
      <c r="F45" s="306"/>
      <c r="G45" s="106"/>
    </row>
    <row r="46">
      <c r="B46" s="313"/>
      <c r="F46" s="106"/>
      <c r="G46" s="106"/>
    </row>
    <row r="47">
      <c r="B47" s="314" t="s">
        <v>362</v>
      </c>
      <c r="F47" s="106"/>
      <c r="G47" s="106"/>
    </row>
    <row r="48">
      <c r="F48" s="106"/>
      <c r="G48" s="106"/>
    </row>
    <row r="49">
      <c r="F49" s="106"/>
      <c r="G49" s="106"/>
    </row>
    <row r="50">
      <c r="F50" s="106"/>
      <c r="G50" s="106"/>
    </row>
    <row r="51">
      <c r="F51" s="106"/>
      <c r="G51" s="106"/>
    </row>
    <row r="52">
      <c r="F52" s="106"/>
      <c r="G52" s="106"/>
    </row>
    <row r="53">
      <c r="F53" s="106"/>
      <c r="G53" s="106"/>
    </row>
    <row r="54">
      <c r="F54" s="106"/>
      <c r="G54" s="106"/>
    </row>
    <row r="55">
      <c r="F55" s="106"/>
      <c r="G55" s="106"/>
    </row>
    <row r="56">
      <c r="F56" s="106"/>
      <c r="G56" s="106"/>
    </row>
    <row r="57">
      <c r="F57" s="106"/>
      <c r="G57" s="106"/>
    </row>
    <row r="58">
      <c r="F58" s="106"/>
      <c r="G58" s="106"/>
    </row>
    <row r="59">
      <c r="F59" s="106"/>
      <c r="G59" s="106"/>
    </row>
    <row r="60">
      <c r="F60" s="106"/>
      <c r="G60" s="106"/>
    </row>
    <row r="61">
      <c r="F61" s="106"/>
      <c r="G61" s="106"/>
    </row>
    <row r="62">
      <c r="F62" s="106"/>
      <c r="G62" s="106"/>
    </row>
    <row r="63">
      <c r="F63" s="106"/>
      <c r="G63" s="106"/>
    </row>
    <row r="64">
      <c r="F64" s="106"/>
      <c r="G64" s="106"/>
    </row>
    <row r="65">
      <c r="F65" s="106"/>
      <c r="G65" s="106"/>
    </row>
    <row r="66">
      <c r="F66" s="106"/>
      <c r="G66" s="106"/>
    </row>
    <row r="67">
      <c r="F67" s="106"/>
      <c r="G67" s="106"/>
    </row>
    <row r="68">
      <c r="F68" s="106"/>
      <c r="G68" s="106"/>
    </row>
    <row r="69">
      <c r="F69" s="106"/>
      <c r="G69" s="106"/>
    </row>
    <row r="70">
      <c r="F70" s="106"/>
      <c r="G70" s="106"/>
    </row>
    <row r="71">
      <c r="F71" s="106"/>
      <c r="G71" s="106"/>
    </row>
    <row r="72">
      <c r="F72" s="106"/>
      <c r="G72" s="106"/>
    </row>
    <row r="73">
      <c r="F73" s="106"/>
      <c r="G73" s="106"/>
    </row>
    <row r="74">
      <c r="F74" s="106"/>
      <c r="G74" s="106"/>
    </row>
    <row r="75">
      <c r="F75" s="106"/>
      <c r="G75" s="106"/>
    </row>
    <row r="76">
      <c r="F76" s="106"/>
      <c r="G76" s="106"/>
    </row>
    <row r="77">
      <c r="F77" s="106"/>
      <c r="G77" s="106"/>
    </row>
    <row r="78">
      <c r="F78" s="106"/>
      <c r="G78" s="106"/>
    </row>
    <row r="79">
      <c r="F79" s="106"/>
      <c r="G79" s="106"/>
    </row>
    <row r="80">
      <c r="F80" s="106"/>
      <c r="G80" s="106"/>
    </row>
    <row r="81">
      <c r="F81" s="106"/>
      <c r="G81" s="106"/>
    </row>
    <row r="82">
      <c r="F82" s="106"/>
      <c r="G82" s="106"/>
    </row>
    <row r="83">
      <c r="F83" s="106"/>
      <c r="G83" s="106"/>
    </row>
    <row r="84">
      <c r="F84" s="106"/>
      <c r="G84" s="106"/>
    </row>
    <row r="85">
      <c r="F85" s="106"/>
      <c r="G85" s="106"/>
    </row>
    <row r="86">
      <c r="F86" s="106"/>
      <c r="G86" s="106"/>
    </row>
    <row r="87">
      <c r="F87" s="106"/>
      <c r="G87" s="106"/>
    </row>
    <row r="88">
      <c r="F88" s="106"/>
      <c r="G88" s="106"/>
    </row>
    <row r="89">
      <c r="F89" s="106"/>
      <c r="G89" s="106"/>
    </row>
    <row r="90">
      <c r="F90" s="106"/>
      <c r="G90" s="106"/>
    </row>
    <row r="91">
      <c r="F91" s="106"/>
      <c r="G91" s="106"/>
    </row>
    <row r="92">
      <c r="F92" s="106"/>
      <c r="G92" s="106"/>
    </row>
    <row r="93">
      <c r="F93" s="106"/>
      <c r="G93" s="106"/>
    </row>
    <row r="94">
      <c r="F94" s="106"/>
      <c r="G94" s="106"/>
    </row>
    <row r="95">
      <c r="F95" s="106"/>
      <c r="G95" s="106"/>
    </row>
    <row r="96">
      <c r="F96" s="106"/>
      <c r="G96" s="106"/>
    </row>
    <row r="97">
      <c r="F97" s="106"/>
      <c r="G97" s="106"/>
    </row>
    <row r="98">
      <c r="F98" s="106"/>
      <c r="G98" s="106"/>
    </row>
    <row r="99">
      <c r="F99" s="106"/>
      <c r="G99" s="106"/>
    </row>
    <row r="100">
      <c r="F100" s="106"/>
      <c r="G100" s="106"/>
    </row>
    <row r="101">
      <c r="F101" s="106"/>
      <c r="G101" s="106"/>
    </row>
    <row r="102">
      <c r="F102" s="106"/>
      <c r="G102" s="106"/>
    </row>
    <row r="103">
      <c r="F103" s="106"/>
      <c r="G103" s="106"/>
    </row>
    <row r="104">
      <c r="F104" s="106"/>
      <c r="G104" s="106"/>
    </row>
    <row r="105">
      <c r="F105" s="106"/>
      <c r="G105" s="106"/>
    </row>
    <row r="106">
      <c r="F106" s="106"/>
      <c r="G106" s="106"/>
    </row>
    <row r="107">
      <c r="F107" s="106"/>
      <c r="G107" s="106"/>
    </row>
    <row r="108">
      <c r="F108" s="106"/>
      <c r="G108" s="106"/>
    </row>
    <row r="109">
      <c r="F109" s="106"/>
      <c r="G109" s="106"/>
    </row>
    <row r="110">
      <c r="F110" s="106"/>
      <c r="G110" s="106"/>
    </row>
    <row r="111">
      <c r="F111" s="106"/>
      <c r="G111" s="106"/>
    </row>
    <row r="112">
      <c r="F112" s="106"/>
      <c r="G112" s="106"/>
    </row>
    <row r="113">
      <c r="F113" s="106"/>
      <c r="G113" s="106"/>
    </row>
    <row r="114">
      <c r="F114" s="106"/>
      <c r="G114" s="106"/>
    </row>
    <row r="115">
      <c r="F115" s="106"/>
      <c r="G115" s="106"/>
    </row>
    <row r="116">
      <c r="F116" s="106"/>
      <c r="G116" s="106"/>
    </row>
    <row r="117">
      <c r="F117" s="106"/>
      <c r="G117" s="106"/>
    </row>
    <row r="118">
      <c r="F118" s="106"/>
      <c r="G118" s="106"/>
    </row>
    <row r="119">
      <c r="F119" s="106"/>
      <c r="G119" s="106"/>
    </row>
    <row r="120">
      <c r="F120" s="106"/>
      <c r="G120" s="106"/>
    </row>
    <row r="121">
      <c r="F121" s="106"/>
      <c r="G121" s="106"/>
    </row>
    <row r="122">
      <c r="F122" s="106"/>
      <c r="G122" s="106"/>
    </row>
    <row r="123">
      <c r="F123" s="106"/>
      <c r="G123" s="106"/>
    </row>
    <row r="124">
      <c r="F124" s="106"/>
      <c r="G124" s="106"/>
    </row>
    <row r="125">
      <c r="F125" s="106"/>
      <c r="G125" s="106"/>
    </row>
    <row r="126">
      <c r="F126" s="106"/>
      <c r="G126" s="106"/>
    </row>
    <row r="127">
      <c r="F127" s="106"/>
      <c r="G127" s="106"/>
    </row>
    <row r="128">
      <c r="F128" s="106"/>
      <c r="G128" s="106"/>
    </row>
    <row r="129">
      <c r="F129" s="106"/>
      <c r="G129" s="106"/>
    </row>
    <row r="130">
      <c r="F130" s="106"/>
      <c r="G130" s="106"/>
    </row>
    <row r="131">
      <c r="F131" s="106"/>
      <c r="G131" s="106"/>
    </row>
    <row r="132">
      <c r="F132" s="106"/>
      <c r="G132" s="106"/>
    </row>
    <row r="133">
      <c r="F133" s="106"/>
      <c r="G133" s="106"/>
    </row>
    <row r="134">
      <c r="F134" s="106"/>
      <c r="G134" s="106"/>
    </row>
    <row r="135">
      <c r="F135" s="106"/>
      <c r="G135" s="106"/>
    </row>
    <row r="136">
      <c r="F136" s="106"/>
      <c r="G136" s="106"/>
    </row>
    <row r="137">
      <c r="F137" s="106"/>
      <c r="G137" s="106"/>
    </row>
    <row r="138">
      <c r="F138" s="106"/>
      <c r="G138" s="106"/>
    </row>
    <row r="139">
      <c r="F139" s="106"/>
      <c r="G139" s="106"/>
    </row>
    <row r="140">
      <c r="F140" s="106"/>
      <c r="G140" s="106"/>
    </row>
    <row r="141">
      <c r="F141" s="106"/>
      <c r="G141" s="106"/>
    </row>
    <row r="142">
      <c r="F142" s="106"/>
      <c r="G142" s="106"/>
    </row>
    <row r="143">
      <c r="F143" s="106"/>
      <c r="G143" s="106"/>
    </row>
    <row r="144">
      <c r="F144" s="106"/>
      <c r="G144" s="106"/>
    </row>
    <row r="145">
      <c r="F145" s="106"/>
      <c r="G145" s="106"/>
    </row>
    <row r="146">
      <c r="F146" s="106"/>
      <c r="G146" s="106"/>
    </row>
    <row r="147">
      <c r="F147" s="106"/>
      <c r="G147" s="106"/>
    </row>
    <row r="148">
      <c r="F148" s="106"/>
      <c r="G148" s="106"/>
    </row>
    <row r="149">
      <c r="F149" s="106"/>
      <c r="G149" s="106"/>
    </row>
    <row r="150">
      <c r="F150" s="106"/>
      <c r="G150" s="106"/>
    </row>
    <row r="151">
      <c r="F151" s="106"/>
      <c r="G151" s="106"/>
    </row>
    <row r="152">
      <c r="F152" s="106"/>
      <c r="G152" s="106"/>
    </row>
    <row r="153">
      <c r="F153" s="106"/>
      <c r="G153" s="106"/>
    </row>
    <row r="154">
      <c r="F154" s="106"/>
      <c r="G154" s="106"/>
    </row>
    <row r="155">
      <c r="F155" s="106"/>
      <c r="G155" s="106"/>
    </row>
    <row r="156">
      <c r="F156" s="106"/>
      <c r="G156" s="106"/>
    </row>
    <row r="157">
      <c r="F157" s="106"/>
      <c r="G157" s="106"/>
    </row>
    <row r="158">
      <c r="F158" s="106"/>
      <c r="G158" s="106"/>
    </row>
    <row r="159">
      <c r="F159" s="106"/>
      <c r="G159" s="106"/>
    </row>
    <row r="160">
      <c r="F160" s="106"/>
      <c r="G160" s="106"/>
    </row>
    <row r="161">
      <c r="F161" s="106"/>
      <c r="G161" s="106"/>
    </row>
    <row r="162">
      <c r="F162" s="106"/>
      <c r="G162" s="106"/>
    </row>
    <row r="163">
      <c r="F163" s="106"/>
      <c r="G163" s="106"/>
    </row>
    <row r="164">
      <c r="F164" s="106"/>
      <c r="G164" s="106"/>
    </row>
    <row r="165">
      <c r="F165" s="106"/>
      <c r="G165" s="106"/>
    </row>
    <row r="166">
      <c r="F166" s="106"/>
      <c r="G166" s="106"/>
    </row>
    <row r="167">
      <c r="F167" s="106"/>
      <c r="G167" s="106"/>
    </row>
    <row r="168">
      <c r="F168" s="106"/>
      <c r="G168" s="106"/>
    </row>
    <row r="169">
      <c r="F169" s="106"/>
      <c r="G169" s="106"/>
    </row>
    <row r="170">
      <c r="F170" s="106"/>
      <c r="G170" s="106"/>
    </row>
    <row r="171">
      <c r="F171" s="106"/>
      <c r="G171" s="106"/>
    </row>
    <row r="172">
      <c r="F172" s="106"/>
      <c r="G172" s="106"/>
    </row>
    <row r="173">
      <c r="F173" s="106"/>
      <c r="G173" s="106"/>
    </row>
    <row r="174">
      <c r="F174" s="106"/>
      <c r="G174" s="106"/>
    </row>
    <row r="175">
      <c r="F175" s="106"/>
      <c r="G175" s="106"/>
    </row>
    <row r="176">
      <c r="F176" s="106"/>
      <c r="G176" s="106"/>
    </row>
    <row r="177">
      <c r="F177" s="106"/>
      <c r="G177" s="106"/>
    </row>
    <row r="178">
      <c r="F178" s="106"/>
      <c r="G178" s="106"/>
    </row>
    <row r="179">
      <c r="F179" s="106"/>
      <c r="G179" s="106"/>
    </row>
    <row r="180">
      <c r="F180" s="106"/>
      <c r="G180" s="106"/>
    </row>
    <row r="181">
      <c r="F181" s="106"/>
      <c r="G181" s="106"/>
    </row>
    <row r="182">
      <c r="F182" s="106"/>
      <c r="G182" s="106"/>
    </row>
    <row r="183">
      <c r="F183" s="106"/>
      <c r="G183" s="106"/>
    </row>
    <row r="184">
      <c r="F184" s="106"/>
      <c r="G184" s="106"/>
    </row>
    <row r="185">
      <c r="F185" s="106"/>
      <c r="G185" s="106"/>
    </row>
    <row r="186">
      <c r="F186" s="106"/>
      <c r="G186" s="106"/>
    </row>
    <row r="187">
      <c r="F187" s="106"/>
      <c r="G187" s="106"/>
    </row>
    <row r="188">
      <c r="F188" s="106"/>
      <c r="G188" s="106"/>
    </row>
    <row r="189">
      <c r="F189" s="106"/>
      <c r="G189" s="106"/>
    </row>
    <row r="190">
      <c r="F190" s="106"/>
      <c r="G190" s="106"/>
    </row>
    <row r="191">
      <c r="F191" s="106"/>
      <c r="G191" s="106"/>
    </row>
    <row r="192">
      <c r="F192" s="106"/>
      <c r="G192" s="106"/>
    </row>
    <row r="193">
      <c r="F193" s="106"/>
      <c r="G193" s="106"/>
    </row>
    <row r="194">
      <c r="F194" s="106"/>
      <c r="G194" s="106"/>
    </row>
    <row r="195">
      <c r="F195" s="106"/>
      <c r="G195" s="106"/>
    </row>
    <row r="196">
      <c r="F196" s="106"/>
      <c r="G196" s="106"/>
    </row>
    <row r="197">
      <c r="F197" s="106"/>
      <c r="G197" s="106"/>
    </row>
    <row r="198">
      <c r="F198" s="106"/>
      <c r="G198" s="106"/>
    </row>
    <row r="199">
      <c r="F199" s="106"/>
      <c r="G199" s="106"/>
    </row>
    <row r="200">
      <c r="F200" s="106"/>
      <c r="G200" s="106"/>
    </row>
    <row r="201">
      <c r="F201" s="106"/>
      <c r="G201" s="106"/>
    </row>
    <row r="202">
      <c r="F202" s="106"/>
      <c r="G202" s="106"/>
    </row>
    <row r="203">
      <c r="F203" s="106"/>
      <c r="G203" s="106"/>
    </row>
    <row r="204">
      <c r="F204" s="106"/>
      <c r="G204" s="106"/>
    </row>
    <row r="205">
      <c r="F205" s="106"/>
      <c r="G205" s="106"/>
    </row>
    <row r="206">
      <c r="F206" s="106"/>
      <c r="G206" s="106"/>
    </row>
    <row r="207">
      <c r="F207" s="106"/>
      <c r="G207" s="106"/>
    </row>
    <row r="208">
      <c r="F208" s="106"/>
      <c r="G208" s="106"/>
    </row>
    <row r="209">
      <c r="F209" s="106"/>
      <c r="G209" s="106"/>
    </row>
    <row r="210">
      <c r="F210" s="106"/>
      <c r="G210" s="106"/>
    </row>
    <row r="211">
      <c r="F211" s="106"/>
      <c r="G211" s="106"/>
    </row>
    <row r="212">
      <c r="F212" s="106"/>
      <c r="G212" s="106"/>
    </row>
    <row r="213">
      <c r="F213" s="106"/>
      <c r="G213" s="106"/>
    </row>
    <row r="214">
      <c r="F214" s="106"/>
      <c r="G214" s="106"/>
    </row>
    <row r="215">
      <c r="F215" s="106"/>
      <c r="G215" s="106"/>
    </row>
    <row r="216">
      <c r="F216" s="106"/>
      <c r="G216" s="106"/>
    </row>
    <row r="217">
      <c r="F217" s="106"/>
      <c r="G217" s="106"/>
    </row>
    <row r="218">
      <c r="F218" s="106"/>
      <c r="G218" s="106"/>
    </row>
    <row r="219">
      <c r="F219" s="106"/>
      <c r="G219" s="106"/>
    </row>
    <row r="220">
      <c r="F220" s="106"/>
      <c r="G220" s="106"/>
    </row>
    <row r="221">
      <c r="F221" s="106"/>
      <c r="G221" s="106"/>
    </row>
    <row r="222">
      <c r="F222" s="106"/>
      <c r="G222" s="106"/>
    </row>
    <row r="223">
      <c r="F223" s="106"/>
      <c r="G223" s="106"/>
    </row>
    <row r="224">
      <c r="F224" s="106"/>
      <c r="G224" s="106"/>
    </row>
    <row r="225">
      <c r="F225" s="106"/>
      <c r="G225" s="106"/>
    </row>
    <row r="226">
      <c r="F226" s="106"/>
      <c r="G226" s="106"/>
    </row>
    <row r="227">
      <c r="F227" s="106"/>
      <c r="G227" s="106"/>
    </row>
    <row r="228">
      <c r="F228" s="106"/>
      <c r="G228" s="106"/>
    </row>
    <row r="229">
      <c r="F229" s="106"/>
      <c r="G229" s="106"/>
    </row>
    <row r="230">
      <c r="F230" s="106"/>
      <c r="G230" s="106"/>
    </row>
    <row r="231">
      <c r="F231" s="106"/>
      <c r="G231" s="106"/>
    </row>
    <row r="232">
      <c r="F232" s="106"/>
      <c r="G232" s="106"/>
    </row>
    <row r="233">
      <c r="F233" s="106"/>
      <c r="G233" s="106"/>
    </row>
    <row r="234">
      <c r="F234" s="106"/>
      <c r="G234" s="106"/>
    </row>
    <row r="235">
      <c r="F235" s="106"/>
      <c r="G235" s="106"/>
    </row>
    <row r="236">
      <c r="F236" s="106"/>
      <c r="G236" s="106"/>
    </row>
    <row r="237">
      <c r="F237" s="106"/>
      <c r="G237" s="106"/>
    </row>
    <row r="238">
      <c r="F238" s="106"/>
      <c r="G238" s="106"/>
    </row>
    <row r="239">
      <c r="F239" s="106"/>
      <c r="G239" s="106"/>
    </row>
    <row r="240">
      <c r="F240" s="106"/>
      <c r="G240" s="106"/>
    </row>
    <row r="241">
      <c r="F241" s="106"/>
      <c r="G241" s="106"/>
    </row>
    <row r="242">
      <c r="F242" s="106"/>
      <c r="G242" s="106"/>
    </row>
    <row r="243">
      <c r="F243" s="106"/>
      <c r="G243" s="106"/>
    </row>
    <row r="244">
      <c r="F244" s="106"/>
      <c r="G244" s="106"/>
    </row>
    <row r="245">
      <c r="F245" s="106"/>
      <c r="G245" s="106"/>
    </row>
    <row r="246">
      <c r="F246" s="106"/>
      <c r="G246" s="106"/>
    </row>
    <row r="247">
      <c r="F247" s="106"/>
      <c r="G247" s="106"/>
    </row>
    <row r="248">
      <c r="F248" s="106"/>
      <c r="G248" s="106"/>
    </row>
    <row r="249">
      <c r="F249" s="106"/>
      <c r="G249" s="106"/>
    </row>
    <row r="250">
      <c r="F250" s="106"/>
      <c r="G250" s="106"/>
    </row>
    <row r="251">
      <c r="F251" s="106"/>
      <c r="G251" s="106"/>
    </row>
    <row r="252">
      <c r="F252" s="106"/>
      <c r="G252" s="106"/>
    </row>
    <row r="253">
      <c r="F253" s="106"/>
      <c r="G253" s="106"/>
    </row>
    <row r="254">
      <c r="F254" s="106"/>
      <c r="G254" s="106"/>
    </row>
    <row r="255">
      <c r="F255" s="106"/>
      <c r="G255" s="106"/>
    </row>
    <row r="256">
      <c r="F256" s="106"/>
      <c r="G256" s="106"/>
    </row>
    <row r="257">
      <c r="F257" s="106"/>
      <c r="G257" s="106"/>
    </row>
    <row r="258">
      <c r="F258" s="106"/>
      <c r="G258" s="106"/>
    </row>
    <row r="259">
      <c r="F259" s="106"/>
      <c r="G259" s="106"/>
    </row>
    <row r="260">
      <c r="F260" s="106"/>
      <c r="G260" s="106"/>
    </row>
    <row r="261">
      <c r="F261" s="106"/>
      <c r="G261" s="106"/>
    </row>
    <row r="262">
      <c r="F262" s="106"/>
      <c r="G262" s="106"/>
    </row>
    <row r="263">
      <c r="F263" s="106"/>
      <c r="G263" s="106"/>
    </row>
    <row r="264">
      <c r="F264" s="106"/>
      <c r="G264" s="106"/>
    </row>
    <row r="265">
      <c r="F265" s="106"/>
      <c r="G265" s="106"/>
    </row>
    <row r="266">
      <c r="F266" s="106"/>
      <c r="G266" s="106"/>
    </row>
    <row r="267">
      <c r="F267" s="106"/>
      <c r="G267" s="106"/>
    </row>
    <row r="268">
      <c r="F268" s="106"/>
      <c r="G268" s="106"/>
    </row>
    <row r="269">
      <c r="F269" s="106"/>
      <c r="G269" s="106"/>
    </row>
    <row r="270">
      <c r="F270" s="106"/>
      <c r="G270" s="106"/>
    </row>
    <row r="271">
      <c r="F271" s="106"/>
      <c r="G271" s="106"/>
    </row>
    <row r="272">
      <c r="F272" s="106"/>
      <c r="G272" s="106"/>
    </row>
    <row r="273">
      <c r="F273" s="106"/>
      <c r="G273" s="106"/>
    </row>
    <row r="274">
      <c r="F274" s="106"/>
      <c r="G274" s="106"/>
    </row>
    <row r="275">
      <c r="F275" s="106"/>
      <c r="G275" s="106"/>
    </row>
    <row r="276">
      <c r="F276" s="106"/>
      <c r="G276" s="106"/>
    </row>
    <row r="277">
      <c r="F277" s="106"/>
      <c r="G277" s="106"/>
    </row>
    <row r="278">
      <c r="F278" s="106"/>
      <c r="G278" s="106"/>
    </row>
    <row r="279">
      <c r="F279" s="106"/>
      <c r="G279" s="106"/>
    </row>
    <row r="280">
      <c r="F280" s="106"/>
      <c r="G280" s="106"/>
    </row>
    <row r="281">
      <c r="F281" s="106"/>
      <c r="G281" s="106"/>
    </row>
    <row r="282">
      <c r="F282" s="106"/>
      <c r="G282" s="106"/>
    </row>
    <row r="283">
      <c r="F283" s="106"/>
      <c r="G283" s="106"/>
    </row>
    <row r="284">
      <c r="F284" s="106"/>
      <c r="G284" s="106"/>
    </row>
    <row r="285">
      <c r="F285" s="106"/>
      <c r="G285" s="106"/>
    </row>
    <row r="286">
      <c r="F286" s="106"/>
      <c r="G286" s="106"/>
    </row>
    <row r="287">
      <c r="F287" s="106"/>
      <c r="G287" s="106"/>
    </row>
    <row r="288">
      <c r="F288" s="106"/>
      <c r="G288" s="106"/>
    </row>
    <row r="289">
      <c r="F289" s="106"/>
      <c r="G289" s="106"/>
    </row>
    <row r="290">
      <c r="F290" s="106"/>
      <c r="G290" s="106"/>
    </row>
    <row r="291">
      <c r="F291" s="106"/>
      <c r="G291" s="106"/>
    </row>
    <row r="292">
      <c r="F292" s="106"/>
      <c r="G292" s="106"/>
    </row>
    <row r="293">
      <c r="F293" s="106"/>
      <c r="G293" s="106"/>
    </row>
    <row r="294">
      <c r="F294" s="106"/>
      <c r="G294" s="106"/>
    </row>
    <row r="295">
      <c r="F295" s="106"/>
      <c r="G295" s="106"/>
    </row>
    <row r="296">
      <c r="F296" s="106"/>
      <c r="G296" s="106"/>
    </row>
    <row r="297">
      <c r="F297" s="106"/>
      <c r="G297" s="106"/>
    </row>
    <row r="298">
      <c r="F298" s="106"/>
      <c r="G298" s="106"/>
    </row>
    <row r="299">
      <c r="F299" s="106"/>
      <c r="G299" s="106"/>
    </row>
    <row r="300">
      <c r="F300" s="106"/>
      <c r="G300" s="106"/>
    </row>
    <row r="301">
      <c r="F301" s="106"/>
      <c r="G301" s="106"/>
    </row>
    <row r="302">
      <c r="F302" s="106"/>
      <c r="G302" s="106"/>
    </row>
    <row r="303">
      <c r="F303" s="106"/>
      <c r="G303" s="106"/>
    </row>
    <row r="304">
      <c r="F304" s="106"/>
      <c r="G304" s="106"/>
    </row>
    <row r="305">
      <c r="F305" s="106"/>
      <c r="G305" s="106"/>
    </row>
    <row r="306">
      <c r="F306" s="106"/>
      <c r="G306" s="106"/>
    </row>
    <row r="307">
      <c r="F307" s="106"/>
      <c r="G307" s="106"/>
    </row>
    <row r="308">
      <c r="F308" s="106"/>
      <c r="G308" s="106"/>
    </row>
    <row r="309">
      <c r="F309" s="106"/>
      <c r="G309" s="106"/>
    </row>
    <row r="310">
      <c r="F310" s="106"/>
      <c r="G310" s="106"/>
    </row>
    <row r="311">
      <c r="F311" s="106"/>
      <c r="G311" s="106"/>
    </row>
    <row r="312">
      <c r="F312" s="106"/>
      <c r="G312" s="106"/>
    </row>
    <row r="313">
      <c r="F313" s="106"/>
      <c r="G313" s="106"/>
    </row>
    <row r="314">
      <c r="F314" s="106"/>
      <c r="G314" s="106"/>
    </row>
    <row r="315">
      <c r="F315" s="106"/>
      <c r="G315" s="106"/>
    </row>
    <row r="316">
      <c r="F316" s="106"/>
      <c r="G316" s="106"/>
    </row>
    <row r="317">
      <c r="F317" s="106"/>
      <c r="G317" s="106"/>
    </row>
    <row r="318">
      <c r="F318" s="106"/>
      <c r="G318" s="106"/>
    </row>
    <row r="319">
      <c r="F319" s="106"/>
      <c r="G319" s="106"/>
    </row>
    <row r="320">
      <c r="F320" s="106"/>
      <c r="G320" s="106"/>
    </row>
    <row r="321">
      <c r="F321" s="106"/>
      <c r="G321" s="106"/>
    </row>
    <row r="322">
      <c r="F322" s="106"/>
      <c r="G322" s="106"/>
    </row>
    <row r="323">
      <c r="F323" s="106"/>
      <c r="G323" s="106"/>
    </row>
    <row r="324">
      <c r="F324" s="106"/>
      <c r="G324" s="106"/>
    </row>
    <row r="325">
      <c r="F325" s="106"/>
      <c r="G325" s="106"/>
    </row>
    <row r="326">
      <c r="F326" s="106"/>
      <c r="G326" s="106"/>
    </row>
    <row r="327">
      <c r="F327" s="106"/>
      <c r="G327" s="106"/>
    </row>
    <row r="328">
      <c r="F328" s="106"/>
      <c r="G328" s="106"/>
    </row>
    <row r="329">
      <c r="F329" s="106"/>
      <c r="G329" s="106"/>
    </row>
    <row r="330">
      <c r="F330" s="106"/>
      <c r="G330" s="106"/>
    </row>
    <row r="331">
      <c r="F331" s="106"/>
      <c r="G331" s="106"/>
    </row>
    <row r="332">
      <c r="F332" s="106"/>
      <c r="G332" s="106"/>
    </row>
    <row r="333">
      <c r="F333" s="106"/>
      <c r="G333" s="106"/>
    </row>
    <row r="334">
      <c r="F334" s="106"/>
      <c r="G334" s="106"/>
    </row>
    <row r="335">
      <c r="F335" s="106"/>
      <c r="G335" s="106"/>
    </row>
    <row r="336">
      <c r="F336" s="106"/>
      <c r="G336" s="106"/>
    </row>
    <row r="337">
      <c r="F337" s="106"/>
      <c r="G337" s="106"/>
    </row>
    <row r="338">
      <c r="F338" s="106"/>
      <c r="G338" s="106"/>
    </row>
    <row r="339">
      <c r="F339" s="106"/>
      <c r="G339" s="106"/>
    </row>
    <row r="340">
      <c r="F340" s="106"/>
      <c r="G340" s="106"/>
    </row>
    <row r="341">
      <c r="F341" s="106"/>
      <c r="G341" s="106"/>
    </row>
    <row r="342">
      <c r="F342" s="106"/>
      <c r="G342" s="106"/>
    </row>
    <row r="343">
      <c r="F343" s="106"/>
      <c r="G343" s="106"/>
    </row>
    <row r="344">
      <c r="F344" s="106"/>
      <c r="G344" s="106"/>
    </row>
    <row r="345">
      <c r="F345" s="106"/>
      <c r="G345" s="106"/>
    </row>
    <row r="346">
      <c r="F346" s="106"/>
      <c r="G346" s="106"/>
    </row>
    <row r="347">
      <c r="F347" s="106"/>
      <c r="G347" s="106"/>
    </row>
    <row r="348">
      <c r="F348" s="106"/>
      <c r="G348" s="106"/>
    </row>
    <row r="349">
      <c r="F349" s="106"/>
      <c r="G349" s="106"/>
    </row>
    <row r="350">
      <c r="F350" s="106"/>
      <c r="G350" s="106"/>
    </row>
    <row r="351">
      <c r="F351" s="106"/>
      <c r="G351" s="106"/>
    </row>
    <row r="352">
      <c r="F352" s="106"/>
      <c r="G352" s="106"/>
    </row>
    <row r="353">
      <c r="F353" s="106"/>
      <c r="G353" s="106"/>
    </row>
    <row r="354">
      <c r="F354" s="106"/>
      <c r="G354" s="106"/>
    </row>
    <row r="355">
      <c r="F355" s="106"/>
      <c r="G355" s="106"/>
    </row>
    <row r="356">
      <c r="F356" s="106"/>
      <c r="G356" s="106"/>
    </row>
    <row r="357">
      <c r="F357" s="106"/>
      <c r="G357" s="106"/>
    </row>
    <row r="358">
      <c r="F358" s="106"/>
      <c r="G358" s="106"/>
    </row>
    <row r="359">
      <c r="F359" s="106"/>
      <c r="G359" s="106"/>
    </row>
    <row r="360">
      <c r="F360" s="106"/>
      <c r="G360" s="106"/>
    </row>
    <row r="361">
      <c r="F361" s="106"/>
      <c r="G361" s="106"/>
    </row>
    <row r="362">
      <c r="F362" s="106"/>
      <c r="G362" s="106"/>
    </row>
    <row r="363">
      <c r="F363" s="106"/>
      <c r="G363" s="106"/>
    </row>
    <row r="364">
      <c r="F364" s="106"/>
      <c r="G364" s="106"/>
    </row>
    <row r="365">
      <c r="F365" s="106"/>
      <c r="G365" s="106"/>
    </row>
    <row r="366">
      <c r="F366" s="106"/>
      <c r="G366" s="106"/>
    </row>
    <row r="367">
      <c r="F367" s="106"/>
      <c r="G367" s="106"/>
    </row>
    <row r="368">
      <c r="F368" s="106"/>
      <c r="G368" s="106"/>
    </row>
    <row r="369">
      <c r="F369" s="106"/>
      <c r="G369" s="106"/>
    </row>
    <row r="370">
      <c r="F370" s="106"/>
      <c r="G370" s="106"/>
    </row>
    <row r="371">
      <c r="F371" s="106"/>
      <c r="G371" s="106"/>
    </row>
    <row r="372">
      <c r="F372" s="106"/>
      <c r="G372" s="106"/>
    </row>
    <row r="373">
      <c r="F373" s="106"/>
      <c r="G373" s="106"/>
    </row>
    <row r="374">
      <c r="F374" s="106"/>
      <c r="G374" s="106"/>
    </row>
    <row r="375">
      <c r="F375" s="106"/>
      <c r="G375" s="106"/>
    </row>
    <row r="376">
      <c r="F376" s="106"/>
      <c r="G376" s="106"/>
    </row>
    <row r="377">
      <c r="F377" s="106"/>
      <c r="G377" s="106"/>
    </row>
    <row r="378">
      <c r="F378" s="106"/>
      <c r="G378" s="106"/>
    </row>
    <row r="379">
      <c r="F379" s="106"/>
      <c r="G379" s="106"/>
    </row>
    <row r="380">
      <c r="F380" s="106"/>
      <c r="G380" s="106"/>
    </row>
    <row r="381">
      <c r="F381" s="106"/>
      <c r="G381" s="106"/>
    </row>
    <row r="382">
      <c r="F382" s="106"/>
      <c r="G382" s="106"/>
    </row>
    <row r="383">
      <c r="F383" s="106"/>
      <c r="G383" s="106"/>
    </row>
    <row r="384">
      <c r="F384" s="106"/>
      <c r="G384" s="106"/>
    </row>
    <row r="385">
      <c r="F385" s="106"/>
      <c r="G385" s="106"/>
    </row>
    <row r="386">
      <c r="F386" s="106"/>
      <c r="G386" s="106"/>
    </row>
    <row r="387">
      <c r="F387" s="106"/>
      <c r="G387" s="106"/>
    </row>
    <row r="388">
      <c r="F388" s="106"/>
      <c r="G388" s="106"/>
    </row>
    <row r="389">
      <c r="F389" s="106"/>
      <c r="G389" s="106"/>
    </row>
    <row r="390">
      <c r="F390" s="106"/>
      <c r="G390" s="106"/>
    </row>
    <row r="391">
      <c r="F391" s="106"/>
      <c r="G391" s="106"/>
    </row>
    <row r="392">
      <c r="F392" s="106"/>
      <c r="G392" s="106"/>
    </row>
    <row r="393">
      <c r="F393" s="106"/>
      <c r="G393" s="106"/>
    </row>
    <row r="394">
      <c r="F394" s="106"/>
      <c r="G394" s="106"/>
    </row>
    <row r="395">
      <c r="F395" s="106"/>
      <c r="G395" s="106"/>
    </row>
    <row r="396">
      <c r="F396" s="106"/>
      <c r="G396" s="106"/>
    </row>
    <row r="397">
      <c r="F397" s="106"/>
      <c r="G397" s="106"/>
    </row>
    <row r="398">
      <c r="F398" s="106"/>
      <c r="G398" s="106"/>
    </row>
    <row r="399">
      <c r="F399" s="106"/>
      <c r="G399" s="106"/>
    </row>
    <row r="400">
      <c r="F400" s="106"/>
      <c r="G400" s="106"/>
    </row>
    <row r="401">
      <c r="F401" s="106"/>
      <c r="G401" s="106"/>
    </row>
    <row r="402">
      <c r="F402" s="106"/>
      <c r="G402" s="106"/>
    </row>
    <row r="403">
      <c r="F403" s="106"/>
      <c r="G403" s="106"/>
    </row>
    <row r="404">
      <c r="F404" s="106"/>
      <c r="G404" s="106"/>
    </row>
    <row r="405">
      <c r="F405" s="106"/>
      <c r="G405" s="106"/>
    </row>
    <row r="406">
      <c r="F406" s="106"/>
      <c r="G406" s="106"/>
    </row>
    <row r="407">
      <c r="F407" s="106"/>
      <c r="G407" s="106"/>
    </row>
    <row r="408">
      <c r="F408" s="106"/>
      <c r="G408" s="106"/>
    </row>
    <row r="409">
      <c r="F409" s="106"/>
      <c r="G409" s="106"/>
    </row>
    <row r="410">
      <c r="F410" s="106"/>
      <c r="G410" s="106"/>
    </row>
    <row r="411">
      <c r="F411" s="106"/>
      <c r="G411" s="106"/>
    </row>
    <row r="412">
      <c r="F412" s="106"/>
      <c r="G412" s="106"/>
    </row>
    <row r="413">
      <c r="F413" s="106"/>
      <c r="G413" s="106"/>
    </row>
    <row r="414">
      <c r="F414" s="106"/>
      <c r="G414" s="106"/>
    </row>
    <row r="415">
      <c r="F415" s="106"/>
      <c r="G415" s="106"/>
    </row>
    <row r="416">
      <c r="F416" s="106"/>
      <c r="G416" s="106"/>
    </row>
    <row r="417">
      <c r="F417" s="106"/>
      <c r="G417" s="106"/>
    </row>
    <row r="418">
      <c r="F418" s="106"/>
      <c r="G418" s="106"/>
    </row>
    <row r="419">
      <c r="F419" s="106"/>
      <c r="G419" s="106"/>
    </row>
    <row r="420">
      <c r="F420" s="106"/>
      <c r="G420" s="106"/>
    </row>
    <row r="421">
      <c r="F421" s="106"/>
      <c r="G421" s="106"/>
    </row>
    <row r="422">
      <c r="F422" s="106"/>
      <c r="G422" s="106"/>
    </row>
    <row r="423">
      <c r="F423" s="106"/>
      <c r="G423" s="106"/>
    </row>
    <row r="424">
      <c r="F424" s="106"/>
      <c r="G424" s="106"/>
    </row>
    <row r="425">
      <c r="F425" s="106"/>
      <c r="G425" s="106"/>
    </row>
    <row r="426">
      <c r="F426" s="106"/>
      <c r="G426" s="106"/>
    </row>
    <row r="427">
      <c r="F427" s="106"/>
      <c r="G427" s="106"/>
    </row>
    <row r="428">
      <c r="F428" s="106"/>
      <c r="G428" s="106"/>
    </row>
    <row r="429">
      <c r="F429" s="106"/>
      <c r="G429" s="106"/>
    </row>
    <row r="430">
      <c r="F430" s="106"/>
      <c r="G430" s="106"/>
    </row>
    <row r="431">
      <c r="F431" s="106"/>
      <c r="G431" s="106"/>
    </row>
    <row r="432">
      <c r="F432" s="106"/>
      <c r="G432" s="106"/>
    </row>
    <row r="433">
      <c r="F433" s="106"/>
      <c r="G433" s="106"/>
    </row>
    <row r="434">
      <c r="F434" s="106"/>
      <c r="G434" s="106"/>
    </row>
    <row r="435">
      <c r="F435" s="106"/>
      <c r="G435" s="106"/>
    </row>
    <row r="436">
      <c r="F436" s="106"/>
      <c r="G436" s="106"/>
    </row>
    <row r="437">
      <c r="F437" s="106"/>
      <c r="G437" s="106"/>
    </row>
    <row r="438">
      <c r="F438" s="106"/>
      <c r="G438" s="106"/>
    </row>
    <row r="439">
      <c r="F439" s="106"/>
      <c r="G439" s="106"/>
    </row>
    <row r="440">
      <c r="F440" s="106"/>
      <c r="G440" s="106"/>
    </row>
    <row r="441">
      <c r="F441" s="106"/>
      <c r="G441" s="106"/>
    </row>
    <row r="442">
      <c r="F442" s="106"/>
      <c r="G442" s="106"/>
    </row>
    <row r="443">
      <c r="F443" s="106"/>
      <c r="G443" s="106"/>
    </row>
    <row r="444">
      <c r="F444" s="106"/>
      <c r="G444" s="106"/>
    </row>
    <row r="445">
      <c r="F445" s="106"/>
      <c r="G445" s="106"/>
    </row>
    <row r="446">
      <c r="F446" s="106"/>
      <c r="G446" s="106"/>
    </row>
    <row r="447">
      <c r="F447" s="106"/>
      <c r="G447" s="106"/>
    </row>
    <row r="448">
      <c r="F448" s="106"/>
      <c r="G448" s="106"/>
    </row>
    <row r="449">
      <c r="F449" s="106"/>
      <c r="G449" s="106"/>
    </row>
    <row r="450">
      <c r="F450" s="106"/>
      <c r="G450" s="106"/>
    </row>
    <row r="451">
      <c r="F451" s="106"/>
      <c r="G451" s="106"/>
    </row>
    <row r="452">
      <c r="F452" s="106"/>
      <c r="G452" s="106"/>
    </row>
    <row r="453">
      <c r="F453" s="106"/>
      <c r="G453" s="106"/>
    </row>
    <row r="454">
      <c r="F454" s="106"/>
      <c r="G454" s="106"/>
    </row>
    <row r="455">
      <c r="F455" s="106"/>
      <c r="G455" s="106"/>
    </row>
    <row r="456">
      <c r="F456" s="106"/>
      <c r="G456" s="106"/>
    </row>
    <row r="457">
      <c r="F457" s="106"/>
      <c r="G457" s="106"/>
    </row>
    <row r="458">
      <c r="F458" s="106"/>
      <c r="G458" s="106"/>
    </row>
    <row r="459">
      <c r="F459" s="106"/>
      <c r="G459" s="106"/>
    </row>
    <row r="460">
      <c r="F460" s="106"/>
      <c r="G460" s="106"/>
    </row>
    <row r="461">
      <c r="F461" s="106"/>
      <c r="G461" s="106"/>
    </row>
    <row r="462">
      <c r="F462" s="106"/>
      <c r="G462" s="106"/>
    </row>
    <row r="463">
      <c r="F463" s="106"/>
      <c r="G463" s="106"/>
    </row>
    <row r="464">
      <c r="F464" s="106"/>
      <c r="G464" s="106"/>
    </row>
    <row r="465">
      <c r="F465" s="106"/>
      <c r="G465" s="106"/>
    </row>
    <row r="466">
      <c r="F466" s="106"/>
      <c r="G466" s="106"/>
    </row>
    <row r="467">
      <c r="F467" s="106"/>
      <c r="G467" s="106"/>
    </row>
    <row r="468">
      <c r="F468" s="106"/>
      <c r="G468" s="106"/>
    </row>
    <row r="469">
      <c r="F469" s="106"/>
      <c r="G469" s="106"/>
    </row>
    <row r="470">
      <c r="F470" s="106"/>
      <c r="G470" s="106"/>
    </row>
    <row r="471">
      <c r="F471" s="106"/>
      <c r="G471" s="106"/>
    </row>
    <row r="472">
      <c r="F472" s="106"/>
      <c r="G472" s="106"/>
    </row>
    <row r="473">
      <c r="F473" s="106"/>
      <c r="G473" s="106"/>
    </row>
    <row r="474">
      <c r="F474" s="106"/>
      <c r="G474" s="106"/>
    </row>
    <row r="475">
      <c r="F475" s="106"/>
      <c r="G475" s="106"/>
    </row>
    <row r="476">
      <c r="F476" s="106"/>
      <c r="G476" s="106"/>
    </row>
    <row r="477">
      <c r="F477" s="106"/>
      <c r="G477" s="106"/>
    </row>
    <row r="478">
      <c r="F478" s="106"/>
      <c r="G478" s="106"/>
    </row>
    <row r="479">
      <c r="F479" s="106"/>
      <c r="G479" s="106"/>
    </row>
    <row r="480">
      <c r="F480" s="106"/>
      <c r="G480" s="106"/>
    </row>
    <row r="481">
      <c r="F481" s="106"/>
      <c r="G481" s="106"/>
    </row>
    <row r="482">
      <c r="F482" s="106"/>
      <c r="G482" s="106"/>
    </row>
    <row r="483">
      <c r="F483" s="106"/>
      <c r="G483" s="106"/>
    </row>
    <row r="484">
      <c r="F484" s="106"/>
      <c r="G484" s="106"/>
    </row>
    <row r="485">
      <c r="F485" s="106"/>
      <c r="G485" s="106"/>
    </row>
    <row r="486">
      <c r="F486" s="106"/>
      <c r="G486" s="106"/>
    </row>
    <row r="487">
      <c r="F487" s="106"/>
      <c r="G487" s="106"/>
    </row>
    <row r="488">
      <c r="F488" s="106"/>
      <c r="G488" s="106"/>
    </row>
    <row r="489">
      <c r="F489" s="106"/>
      <c r="G489" s="106"/>
    </row>
    <row r="490">
      <c r="F490" s="106"/>
      <c r="G490" s="106"/>
    </row>
    <row r="491">
      <c r="F491" s="106"/>
      <c r="G491" s="106"/>
    </row>
    <row r="492">
      <c r="F492" s="106"/>
      <c r="G492" s="106"/>
    </row>
    <row r="493">
      <c r="F493" s="106"/>
      <c r="G493" s="106"/>
    </row>
    <row r="494">
      <c r="F494" s="106"/>
      <c r="G494" s="106"/>
    </row>
    <row r="495">
      <c r="F495" s="106"/>
      <c r="G495" s="106"/>
    </row>
    <row r="496">
      <c r="F496" s="106"/>
      <c r="G496" s="106"/>
    </row>
    <row r="497">
      <c r="F497" s="106"/>
      <c r="G497" s="106"/>
    </row>
    <row r="498">
      <c r="F498" s="106"/>
      <c r="G498" s="106"/>
    </row>
    <row r="499">
      <c r="F499" s="106"/>
      <c r="G499" s="106"/>
    </row>
    <row r="500">
      <c r="F500" s="106"/>
      <c r="G500" s="106"/>
    </row>
    <row r="501">
      <c r="F501" s="106"/>
      <c r="G501" s="106"/>
    </row>
    <row r="502">
      <c r="F502" s="106"/>
      <c r="G502" s="106"/>
    </row>
    <row r="503">
      <c r="F503" s="106"/>
      <c r="G503" s="106"/>
    </row>
    <row r="504">
      <c r="F504" s="106"/>
      <c r="G504" s="106"/>
    </row>
    <row r="505">
      <c r="F505" s="106"/>
      <c r="G505" s="106"/>
    </row>
    <row r="506">
      <c r="F506" s="106"/>
      <c r="G506" s="106"/>
    </row>
    <row r="507">
      <c r="F507" s="106"/>
      <c r="G507" s="106"/>
    </row>
    <row r="508">
      <c r="F508" s="106"/>
      <c r="G508" s="106"/>
    </row>
    <row r="509">
      <c r="F509" s="106"/>
      <c r="G509" s="106"/>
    </row>
    <row r="510">
      <c r="F510" s="106"/>
      <c r="G510" s="106"/>
    </row>
    <row r="511">
      <c r="F511" s="106"/>
      <c r="G511" s="106"/>
    </row>
    <row r="512">
      <c r="F512" s="106"/>
      <c r="G512" s="106"/>
    </row>
    <row r="513">
      <c r="F513" s="106"/>
      <c r="G513" s="106"/>
    </row>
    <row r="514">
      <c r="F514" s="106"/>
      <c r="G514" s="106"/>
    </row>
    <row r="515">
      <c r="F515" s="106"/>
      <c r="G515" s="106"/>
    </row>
    <row r="516">
      <c r="F516" s="106"/>
      <c r="G516" s="106"/>
    </row>
    <row r="517">
      <c r="F517" s="106"/>
      <c r="G517" s="106"/>
    </row>
    <row r="518">
      <c r="F518" s="106"/>
      <c r="G518" s="106"/>
    </row>
    <row r="519">
      <c r="F519" s="106"/>
      <c r="G519" s="106"/>
    </row>
    <row r="520">
      <c r="F520" s="106"/>
      <c r="G520" s="106"/>
    </row>
    <row r="521">
      <c r="F521" s="106"/>
      <c r="G521" s="106"/>
    </row>
    <row r="522">
      <c r="F522" s="106"/>
      <c r="G522" s="106"/>
    </row>
    <row r="523">
      <c r="F523" s="106"/>
      <c r="G523" s="106"/>
    </row>
    <row r="524">
      <c r="F524" s="106"/>
      <c r="G524" s="106"/>
    </row>
    <row r="525">
      <c r="F525" s="106"/>
      <c r="G525" s="106"/>
    </row>
    <row r="526">
      <c r="F526" s="106"/>
      <c r="G526" s="106"/>
    </row>
    <row r="527">
      <c r="F527" s="106"/>
      <c r="G527" s="106"/>
    </row>
    <row r="528">
      <c r="F528" s="106"/>
      <c r="G528" s="106"/>
    </row>
    <row r="529">
      <c r="F529" s="106"/>
      <c r="G529" s="106"/>
    </row>
    <row r="530">
      <c r="F530" s="106"/>
      <c r="G530" s="106"/>
    </row>
    <row r="531">
      <c r="F531" s="106"/>
      <c r="G531" s="106"/>
    </row>
    <row r="532">
      <c r="F532" s="106"/>
      <c r="G532" s="106"/>
    </row>
    <row r="533">
      <c r="F533" s="106"/>
      <c r="G533" s="106"/>
    </row>
    <row r="534">
      <c r="F534" s="106"/>
      <c r="G534" s="106"/>
    </row>
    <row r="535">
      <c r="F535" s="106"/>
      <c r="G535" s="106"/>
    </row>
    <row r="536">
      <c r="F536" s="106"/>
      <c r="G536" s="106"/>
    </row>
    <row r="537">
      <c r="F537" s="106"/>
      <c r="G537" s="106"/>
    </row>
    <row r="538">
      <c r="F538" s="106"/>
      <c r="G538" s="106"/>
    </row>
    <row r="539">
      <c r="F539" s="106"/>
      <c r="G539" s="106"/>
    </row>
    <row r="540">
      <c r="F540" s="106"/>
      <c r="G540" s="106"/>
    </row>
    <row r="541">
      <c r="F541" s="106"/>
      <c r="G541" s="106"/>
    </row>
    <row r="542">
      <c r="F542" s="106"/>
      <c r="G542" s="106"/>
    </row>
    <row r="543">
      <c r="F543" s="106"/>
      <c r="G543" s="106"/>
    </row>
    <row r="544">
      <c r="F544" s="106"/>
      <c r="G544" s="106"/>
    </row>
    <row r="545">
      <c r="F545" s="106"/>
      <c r="G545" s="106"/>
    </row>
    <row r="546">
      <c r="F546" s="106"/>
      <c r="G546" s="106"/>
    </row>
    <row r="547">
      <c r="F547" s="106"/>
      <c r="G547" s="106"/>
    </row>
    <row r="548">
      <c r="F548" s="106"/>
      <c r="G548" s="106"/>
    </row>
    <row r="549">
      <c r="F549" s="106"/>
      <c r="G549" s="106"/>
    </row>
    <row r="550">
      <c r="F550" s="106"/>
      <c r="G550" s="106"/>
    </row>
    <row r="551">
      <c r="F551" s="106"/>
      <c r="G551" s="106"/>
    </row>
    <row r="552">
      <c r="F552" s="106"/>
      <c r="G552" s="106"/>
    </row>
    <row r="553">
      <c r="F553" s="106"/>
      <c r="G553" s="106"/>
    </row>
    <row r="554">
      <c r="F554" s="106"/>
      <c r="G554" s="106"/>
    </row>
    <row r="555">
      <c r="F555" s="106"/>
      <c r="G555" s="106"/>
    </row>
    <row r="556">
      <c r="F556" s="106"/>
      <c r="G556" s="106"/>
    </row>
    <row r="557">
      <c r="F557" s="106"/>
      <c r="G557" s="106"/>
    </row>
    <row r="558">
      <c r="F558" s="106"/>
      <c r="G558" s="106"/>
    </row>
    <row r="559">
      <c r="F559" s="106"/>
      <c r="G559" s="106"/>
    </row>
    <row r="560">
      <c r="F560" s="106"/>
      <c r="G560" s="106"/>
    </row>
    <row r="561">
      <c r="F561" s="106"/>
      <c r="G561" s="106"/>
    </row>
    <row r="562">
      <c r="F562" s="106"/>
      <c r="G562" s="106"/>
    </row>
    <row r="563">
      <c r="F563" s="106"/>
      <c r="G563" s="106"/>
    </row>
    <row r="564">
      <c r="F564" s="106"/>
      <c r="G564" s="106"/>
    </row>
    <row r="565">
      <c r="F565" s="106"/>
      <c r="G565" s="106"/>
    </row>
    <row r="566">
      <c r="F566" s="106"/>
      <c r="G566" s="106"/>
    </row>
    <row r="567">
      <c r="F567" s="106"/>
      <c r="G567" s="106"/>
    </row>
    <row r="568">
      <c r="F568" s="106"/>
      <c r="G568" s="106"/>
    </row>
    <row r="569">
      <c r="F569" s="106"/>
      <c r="G569" s="106"/>
    </row>
    <row r="570">
      <c r="F570" s="106"/>
      <c r="G570" s="106"/>
    </row>
    <row r="571">
      <c r="F571" s="106"/>
      <c r="G571" s="106"/>
    </row>
    <row r="572">
      <c r="F572" s="106"/>
      <c r="G572" s="106"/>
    </row>
    <row r="573">
      <c r="F573" s="106"/>
      <c r="G573" s="106"/>
    </row>
    <row r="574">
      <c r="F574" s="106"/>
      <c r="G574" s="106"/>
    </row>
    <row r="575">
      <c r="F575" s="106"/>
      <c r="G575" s="106"/>
    </row>
    <row r="576">
      <c r="F576" s="106"/>
      <c r="G576" s="106"/>
    </row>
    <row r="577">
      <c r="F577" s="106"/>
      <c r="G577" s="106"/>
    </row>
    <row r="578">
      <c r="F578" s="106"/>
      <c r="G578" s="106"/>
    </row>
    <row r="579">
      <c r="F579" s="106"/>
      <c r="G579" s="106"/>
    </row>
    <row r="580">
      <c r="F580" s="106"/>
      <c r="G580" s="106"/>
    </row>
    <row r="581">
      <c r="F581" s="106"/>
      <c r="G581" s="106"/>
    </row>
    <row r="582">
      <c r="F582" s="106"/>
      <c r="G582" s="106"/>
    </row>
    <row r="583">
      <c r="F583" s="106"/>
      <c r="G583" s="106"/>
    </row>
    <row r="584">
      <c r="F584" s="106"/>
      <c r="G584" s="106"/>
    </row>
    <row r="585">
      <c r="F585" s="106"/>
      <c r="G585" s="106"/>
    </row>
    <row r="586">
      <c r="F586" s="106"/>
      <c r="G586" s="106"/>
    </row>
    <row r="587">
      <c r="F587" s="106"/>
      <c r="G587" s="106"/>
    </row>
    <row r="588">
      <c r="F588" s="106"/>
      <c r="G588" s="106"/>
    </row>
    <row r="589">
      <c r="F589" s="106"/>
      <c r="G589" s="106"/>
    </row>
    <row r="590">
      <c r="F590" s="106"/>
      <c r="G590" s="106"/>
    </row>
    <row r="591">
      <c r="F591" s="106"/>
      <c r="G591" s="106"/>
    </row>
    <row r="592">
      <c r="F592" s="106"/>
      <c r="G592" s="106"/>
    </row>
    <row r="593">
      <c r="F593" s="106"/>
      <c r="G593" s="106"/>
    </row>
    <row r="594">
      <c r="F594" s="106"/>
      <c r="G594" s="106"/>
    </row>
    <row r="595">
      <c r="F595" s="106"/>
      <c r="G595" s="106"/>
    </row>
    <row r="596">
      <c r="F596" s="106"/>
      <c r="G596" s="106"/>
    </row>
    <row r="597">
      <c r="F597" s="106"/>
      <c r="G597" s="106"/>
    </row>
    <row r="598">
      <c r="F598" s="106"/>
      <c r="G598" s="106"/>
    </row>
    <row r="599">
      <c r="F599" s="106"/>
      <c r="G599" s="106"/>
    </row>
    <row r="600">
      <c r="F600" s="106"/>
      <c r="G600" s="106"/>
    </row>
    <row r="601">
      <c r="F601" s="106"/>
      <c r="G601" s="106"/>
    </row>
    <row r="602">
      <c r="F602" s="106"/>
      <c r="G602" s="106"/>
    </row>
    <row r="603">
      <c r="F603" s="106"/>
      <c r="G603" s="106"/>
    </row>
    <row r="604">
      <c r="F604" s="106"/>
      <c r="G604" s="106"/>
    </row>
    <row r="605">
      <c r="F605" s="106"/>
      <c r="G605" s="106"/>
    </row>
    <row r="606">
      <c r="F606" s="106"/>
      <c r="G606" s="106"/>
    </row>
    <row r="607">
      <c r="F607" s="106"/>
      <c r="G607" s="106"/>
    </row>
    <row r="608">
      <c r="F608" s="106"/>
      <c r="G608" s="106"/>
    </row>
    <row r="609">
      <c r="F609" s="106"/>
      <c r="G609" s="106"/>
    </row>
    <row r="610">
      <c r="F610" s="106"/>
      <c r="G610" s="106"/>
    </row>
    <row r="611">
      <c r="F611" s="106"/>
      <c r="G611" s="106"/>
    </row>
    <row r="612">
      <c r="F612" s="106"/>
      <c r="G612" s="106"/>
    </row>
    <row r="613">
      <c r="F613" s="106"/>
      <c r="G613" s="106"/>
    </row>
    <row r="614">
      <c r="F614" s="106"/>
      <c r="G614" s="106"/>
    </row>
    <row r="615">
      <c r="F615" s="106"/>
      <c r="G615" s="106"/>
    </row>
    <row r="616">
      <c r="F616" s="106"/>
      <c r="G616" s="106"/>
    </row>
    <row r="617">
      <c r="F617" s="106"/>
      <c r="G617" s="106"/>
    </row>
    <row r="618">
      <c r="F618" s="106"/>
      <c r="G618" s="106"/>
    </row>
    <row r="619">
      <c r="F619" s="106"/>
      <c r="G619" s="106"/>
    </row>
    <row r="620">
      <c r="F620" s="106"/>
      <c r="G620" s="106"/>
    </row>
    <row r="621">
      <c r="F621" s="106"/>
      <c r="G621" s="106"/>
    </row>
    <row r="622">
      <c r="F622" s="106"/>
      <c r="G622" s="106"/>
    </row>
    <row r="623">
      <c r="F623" s="106"/>
      <c r="G623" s="106"/>
    </row>
    <row r="624">
      <c r="F624" s="106"/>
      <c r="G624" s="106"/>
    </row>
    <row r="625">
      <c r="F625" s="106"/>
      <c r="G625" s="106"/>
    </row>
    <row r="626">
      <c r="F626" s="106"/>
      <c r="G626" s="106"/>
    </row>
    <row r="627">
      <c r="F627" s="106"/>
      <c r="G627" s="106"/>
    </row>
    <row r="628">
      <c r="F628" s="106"/>
      <c r="G628" s="106"/>
    </row>
    <row r="629">
      <c r="F629" s="106"/>
      <c r="G629" s="106"/>
    </row>
    <row r="630">
      <c r="F630" s="106"/>
      <c r="G630" s="106"/>
    </row>
    <row r="631">
      <c r="F631" s="106"/>
      <c r="G631" s="106"/>
    </row>
    <row r="632">
      <c r="F632" s="106"/>
      <c r="G632" s="106"/>
    </row>
    <row r="633">
      <c r="F633" s="106"/>
      <c r="G633" s="106"/>
    </row>
    <row r="634">
      <c r="F634" s="106"/>
      <c r="G634" s="106"/>
    </row>
    <row r="635">
      <c r="F635" s="106"/>
      <c r="G635" s="106"/>
    </row>
    <row r="636">
      <c r="F636" s="106"/>
      <c r="G636" s="106"/>
    </row>
    <row r="637">
      <c r="F637" s="106"/>
      <c r="G637" s="106"/>
    </row>
    <row r="638">
      <c r="F638" s="106"/>
      <c r="G638" s="106"/>
    </row>
    <row r="639">
      <c r="F639" s="106"/>
      <c r="G639" s="106"/>
    </row>
    <row r="640">
      <c r="F640" s="106"/>
      <c r="G640" s="106"/>
    </row>
    <row r="641">
      <c r="F641" s="106"/>
      <c r="G641" s="106"/>
    </row>
    <row r="642">
      <c r="F642" s="106"/>
      <c r="G642" s="106"/>
    </row>
    <row r="643">
      <c r="F643" s="106"/>
      <c r="G643" s="106"/>
    </row>
    <row r="644">
      <c r="F644" s="106"/>
      <c r="G644" s="106"/>
    </row>
    <row r="645">
      <c r="F645" s="106"/>
      <c r="G645" s="106"/>
    </row>
    <row r="646">
      <c r="F646" s="106"/>
      <c r="G646" s="106"/>
    </row>
    <row r="647">
      <c r="F647" s="106"/>
      <c r="G647" s="106"/>
    </row>
    <row r="648">
      <c r="F648" s="106"/>
      <c r="G648" s="106"/>
    </row>
    <row r="649">
      <c r="F649" s="106"/>
      <c r="G649" s="106"/>
    </row>
    <row r="650">
      <c r="F650" s="106"/>
      <c r="G650" s="106"/>
    </row>
    <row r="651">
      <c r="F651" s="106"/>
      <c r="G651" s="106"/>
    </row>
    <row r="652">
      <c r="F652" s="106"/>
      <c r="G652" s="106"/>
    </row>
    <row r="653">
      <c r="F653" s="106"/>
      <c r="G653" s="106"/>
    </row>
    <row r="654">
      <c r="F654" s="106"/>
      <c r="G654" s="106"/>
    </row>
    <row r="655">
      <c r="F655" s="106"/>
      <c r="G655" s="106"/>
    </row>
    <row r="656">
      <c r="F656" s="106"/>
      <c r="G656" s="106"/>
    </row>
    <row r="657">
      <c r="F657" s="106"/>
      <c r="G657" s="106"/>
    </row>
    <row r="658">
      <c r="F658" s="106"/>
      <c r="G658" s="106"/>
    </row>
    <row r="659">
      <c r="F659" s="106"/>
      <c r="G659" s="106"/>
    </row>
    <row r="660">
      <c r="F660" s="106"/>
      <c r="G660" s="106"/>
    </row>
    <row r="661">
      <c r="F661" s="106"/>
      <c r="G661" s="106"/>
    </row>
    <row r="662">
      <c r="F662" s="106"/>
      <c r="G662" s="106"/>
    </row>
    <row r="663">
      <c r="F663" s="106"/>
      <c r="G663" s="106"/>
    </row>
    <row r="664">
      <c r="F664" s="106"/>
      <c r="G664" s="106"/>
    </row>
    <row r="665">
      <c r="F665" s="106"/>
      <c r="G665" s="106"/>
    </row>
    <row r="666">
      <c r="F666" s="106"/>
      <c r="G666" s="106"/>
    </row>
    <row r="667">
      <c r="F667" s="106"/>
      <c r="G667" s="106"/>
    </row>
    <row r="668">
      <c r="F668" s="106"/>
      <c r="G668" s="106"/>
    </row>
    <row r="669">
      <c r="F669" s="106"/>
      <c r="G669" s="106"/>
    </row>
    <row r="670">
      <c r="F670" s="106"/>
      <c r="G670" s="106"/>
    </row>
    <row r="671">
      <c r="F671" s="106"/>
      <c r="G671" s="106"/>
    </row>
    <row r="672">
      <c r="F672" s="106"/>
      <c r="G672" s="106"/>
    </row>
    <row r="673">
      <c r="F673" s="106"/>
      <c r="G673" s="106"/>
    </row>
    <row r="674">
      <c r="F674" s="106"/>
      <c r="G674" s="106"/>
    </row>
    <row r="675">
      <c r="F675" s="106"/>
      <c r="G675" s="106"/>
    </row>
    <row r="676">
      <c r="F676" s="106"/>
      <c r="G676" s="106"/>
    </row>
    <row r="677">
      <c r="F677" s="106"/>
      <c r="G677" s="106"/>
    </row>
    <row r="678">
      <c r="F678" s="106"/>
      <c r="G678" s="106"/>
    </row>
    <row r="679">
      <c r="F679" s="106"/>
      <c r="G679" s="106"/>
    </row>
    <row r="680">
      <c r="F680" s="106"/>
      <c r="G680" s="106"/>
    </row>
    <row r="681">
      <c r="F681" s="106"/>
      <c r="G681" s="106"/>
    </row>
    <row r="682">
      <c r="F682" s="106"/>
      <c r="G682" s="106"/>
    </row>
    <row r="683">
      <c r="F683" s="106"/>
      <c r="G683" s="106"/>
    </row>
    <row r="684">
      <c r="F684" s="106"/>
      <c r="G684" s="106"/>
    </row>
    <row r="685">
      <c r="F685" s="106"/>
      <c r="G685" s="106"/>
    </row>
    <row r="686">
      <c r="F686" s="106"/>
      <c r="G686" s="106"/>
    </row>
    <row r="687">
      <c r="F687" s="106"/>
      <c r="G687" s="106"/>
    </row>
    <row r="688">
      <c r="F688" s="106"/>
      <c r="G688" s="106"/>
    </row>
    <row r="689">
      <c r="F689" s="106"/>
      <c r="G689" s="106"/>
    </row>
    <row r="690">
      <c r="F690" s="106"/>
      <c r="G690" s="106"/>
    </row>
    <row r="691">
      <c r="F691" s="106"/>
      <c r="G691" s="106"/>
    </row>
    <row r="692">
      <c r="F692" s="106"/>
      <c r="G692" s="106"/>
    </row>
    <row r="693">
      <c r="F693" s="106"/>
      <c r="G693" s="106"/>
    </row>
    <row r="694">
      <c r="F694" s="106"/>
      <c r="G694" s="106"/>
    </row>
    <row r="695">
      <c r="F695" s="106"/>
      <c r="G695" s="106"/>
    </row>
    <row r="696">
      <c r="F696" s="106"/>
      <c r="G696" s="106"/>
    </row>
    <row r="697">
      <c r="F697" s="106"/>
      <c r="G697" s="106"/>
    </row>
    <row r="698">
      <c r="F698" s="106"/>
      <c r="G698" s="106"/>
    </row>
    <row r="699">
      <c r="F699" s="106"/>
      <c r="G699" s="106"/>
    </row>
    <row r="700">
      <c r="F700" s="106"/>
      <c r="G700" s="106"/>
    </row>
    <row r="701">
      <c r="F701" s="106"/>
      <c r="G701" s="106"/>
    </row>
    <row r="702">
      <c r="F702" s="106"/>
      <c r="G702" s="106"/>
    </row>
    <row r="703">
      <c r="F703" s="106"/>
      <c r="G703" s="106"/>
    </row>
    <row r="704">
      <c r="F704" s="106"/>
      <c r="G704" s="106"/>
    </row>
    <row r="705">
      <c r="F705" s="106"/>
      <c r="G705" s="106"/>
    </row>
    <row r="706">
      <c r="F706" s="106"/>
      <c r="G706" s="106"/>
    </row>
    <row r="707">
      <c r="F707" s="106"/>
      <c r="G707" s="106"/>
    </row>
    <row r="708">
      <c r="F708" s="106"/>
      <c r="G708" s="106"/>
    </row>
    <row r="709">
      <c r="F709" s="106"/>
      <c r="G709" s="106"/>
    </row>
    <row r="710">
      <c r="F710" s="106"/>
      <c r="G710" s="106"/>
    </row>
    <row r="711">
      <c r="F711" s="106"/>
      <c r="G711" s="106"/>
    </row>
    <row r="712">
      <c r="F712" s="106"/>
      <c r="G712" s="106"/>
    </row>
    <row r="713">
      <c r="F713" s="106"/>
      <c r="G713" s="106"/>
    </row>
    <row r="714">
      <c r="F714" s="106"/>
      <c r="G714" s="106"/>
    </row>
    <row r="715">
      <c r="F715" s="106"/>
      <c r="G715" s="106"/>
    </row>
    <row r="716">
      <c r="F716" s="106"/>
      <c r="G716" s="106"/>
    </row>
    <row r="717">
      <c r="F717" s="106"/>
      <c r="G717" s="106"/>
    </row>
    <row r="718">
      <c r="F718" s="106"/>
      <c r="G718" s="106"/>
    </row>
    <row r="719">
      <c r="F719" s="106"/>
      <c r="G719" s="106"/>
    </row>
    <row r="720">
      <c r="F720" s="106"/>
      <c r="G720" s="106"/>
    </row>
    <row r="721">
      <c r="F721" s="106"/>
      <c r="G721" s="106"/>
    </row>
    <row r="722">
      <c r="F722" s="106"/>
      <c r="G722" s="106"/>
    </row>
    <row r="723">
      <c r="F723" s="106"/>
      <c r="G723" s="106"/>
    </row>
    <row r="724">
      <c r="F724" s="106"/>
      <c r="G724" s="106"/>
    </row>
    <row r="725">
      <c r="F725" s="106"/>
      <c r="G725" s="106"/>
    </row>
    <row r="726">
      <c r="F726" s="106"/>
      <c r="G726" s="106"/>
    </row>
    <row r="727">
      <c r="F727" s="106"/>
      <c r="G727" s="106"/>
    </row>
    <row r="728">
      <c r="F728" s="106"/>
      <c r="G728" s="106"/>
    </row>
    <row r="729">
      <c r="F729" s="106"/>
      <c r="G729" s="106"/>
    </row>
    <row r="730">
      <c r="F730" s="106"/>
      <c r="G730" s="106"/>
    </row>
    <row r="731">
      <c r="F731" s="106"/>
      <c r="G731" s="106"/>
    </row>
    <row r="732">
      <c r="F732" s="106"/>
      <c r="G732" s="106"/>
    </row>
    <row r="733">
      <c r="F733" s="106"/>
      <c r="G733" s="106"/>
    </row>
    <row r="734">
      <c r="F734" s="106"/>
      <c r="G734" s="106"/>
    </row>
    <row r="735">
      <c r="F735" s="106"/>
      <c r="G735" s="106"/>
    </row>
    <row r="736">
      <c r="F736" s="106"/>
      <c r="G736" s="106"/>
    </row>
    <row r="737">
      <c r="F737" s="106"/>
      <c r="G737" s="106"/>
    </row>
    <row r="738">
      <c r="F738" s="106"/>
      <c r="G738" s="106"/>
    </row>
    <row r="739">
      <c r="F739" s="106"/>
      <c r="G739" s="106"/>
    </row>
    <row r="740">
      <c r="F740" s="106"/>
      <c r="G740" s="106"/>
    </row>
    <row r="741">
      <c r="F741" s="106"/>
      <c r="G741" s="106"/>
    </row>
    <row r="742">
      <c r="F742" s="106"/>
      <c r="G742" s="106"/>
    </row>
    <row r="743">
      <c r="F743" s="106"/>
      <c r="G743" s="106"/>
    </row>
    <row r="744">
      <c r="F744" s="106"/>
      <c r="G744" s="106"/>
    </row>
    <row r="745">
      <c r="F745" s="106"/>
      <c r="G745" s="106"/>
    </row>
    <row r="746">
      <c r="F746" s="106"/>
      <c r="G746" s="106"/>
    </row>
    <row r="747">
      <c r="F747" s="106"/>
      <c r="G747" s="106"/>
    </row>
    <row r="748">
      <c r="F748" s="106"/>
      <c r="G748" s="106"/>
    </row>
    <row r="749">
      <c r="F749" s="106"/>
      <c r="G749" s="106"/>
    </row>
    <row r="750">
      <c r="F750" s="106"/>
      <c r="G750" s="106"/>
    </row>
    <row r="751">
      <c r="F751" s="106"/>
      <c r="G751" s="106"/>
    </row>
    <row r="752">
      <c r="F752" s="106"/>
      <c r="G752" s="106"/>
    </row>
    <row r="753">
      <c r="F753" s="106"/>
      <c r="G753" s="106"/>
    </row>
    <row r="754">
      <c r="F754" s="106"/>
      <c r="G754" s="106"/>
    </row>
    <row r="755">
      <c r="F755" s="106"/>
      <c r="G755" s="106"/>
    </row>
    <row r="756">
      <c r="F756" s="106"/>
      <c r="G756" s="106"/>
    </row>
    <row r="757">
      <c r="F757" s="106"/>
      <c r="G757" s="106"/>
    </row>
    <row r="758">
      <c r="F758" s="106"/>
      <c r="G758" s="106"/>
    </row>
    <row r="759">
      <c r="F759" s="106"/>
      <c r="G759" s="106"/>
    </row>
    <row r="760">
      <c r="F760" s="106"/>
      <c r="G760" s="106"/>
    </row>
    <row r="761">
      <c r="F761" s="106"/>
      <c r="G761" s="106"/>
    </row>
    <row r="762">
      <c r="F762" s="106"/>
      <c r="G762" s="106"/>
    </row>
    <row r="763">
      <c r="F763" s="106"/>
      <c r="G763" s="106"/>
    </row>
    <row r="764">
      <c r="F764" s="106"/>
      <c r="G764" s="106"/>
    </row>
    <row r="765">
      <c r="F765" s="106"/>
      <c r="G765" s="106"/>
    </row>
    <row r="766">
      <c r="F766" s="106"/>
      <c r="G766" s="106"/>
    </row>
    <row r="767">
      <c r="F767" s="106"/>
      <c r="G767" s="106"/>
    </row>
    <row r="768">
      <c r="F768" s="106"/>
      <c r="G768" s="106"/>
    </row>
    <row r="769">
      <c r="F769" s="106"/>
      <c r="G769" s="106"/>
    </row>
    <row r="770">
      <c r="F770" s="106"/>
      <c r="G770" s="106"/>
    </row>
    <row r="771">
      <c r="F771" s="106"/>
      <c r="G771" s="106"/>
    </row>
    <row r="772">
      <c r="F772" s="106"/>
      <c r="G772" s="106"/>
    </row>
    <row r="773">
      <c r="F773" s="106"/>
      <c r="G773" s="106"/>
    </row>
    <row r="774">
      <c r="F774" s="106"/>
      <c r="G774" s="106"/>
    </row>
    <row r="775">
      <c r="F775" s="106"/>
      <c r="G775" s="106"/>
    </row>
    <row r="776">
      <c r="F776" s="106"/>
      <c r="G776" s="106"/>
    </row>
    <row r="777">
      <c r="F777" s="106"/>
      <c r="G777" s="106"/>
    </row>
    <row r="778">
      <c r="F778" s="106"/>
      <c r="G778" s="106"/>
    </row>
    <row r="779">
      <c r="F779" s="106"/>
      <c r="G779" s="106"/>
    </row>
    <row r="780">
      <c r="F780" s="106"/>
      <c r="G780" s="106"/>
    </row>
    <row r="781">
      <c r="F781" s="106"/>
      <c r="G781" s="106"/>
    </row>
    <row r="782">
      <c r="F782" s="106"/>
      <c r="G782" s="106"/>
    </row>
    <row r="783">
      <c r="F783" s="106"/>
      <c r="G783" s="106"/>
    </row>
    <row r="784">
      <c r="F784" s="106"/>
      <c r="G784" s="106"/>
    </row>
    <row r="785">
      <c r="F785" s="106"/>
      <c r="G785" s="106"/>
    </row>
    <row r="786">
      <c r="F786" s="106"/>
      <c r="G786" s="106"/>
    </row>
    <row r="787">
      <c r="F787" s="106"/>
      <c r="G787" s="106"/>
    </row>
    <row r="788">
      <c r="F788" s="106"/>
      <c r="G788" s="106"/>
    </row>
    <row r="789">
      <c r="F789" s="106"/>
      <c r="G789" s="106"/>
    </row>
    <row r="790">
      <c r="F790" s="106"/>
      <c r="G790" s="106"/>
    </row>
    <row r="791">
      <c r="F791" s="106"/>
      <c r="G791" s="106"/>
    </row>
    <row r="792">
      <c r="F792" s="106"/>
      <c r="G792" s="106"/>
    </row>
    <row r="793">
      <c r="F793" s="106"/>
      <c r="G793" s="106"/>
    </row>
    <row r="794">
      <c r="F794" s="106"/>
      <c r="G794" s="106"/>
    </row>
    <row r="795">
      <c r="F795" s="106"/>
      <c r="G795" s="106"/>
    </row>
    <row r="796">
      <c r="F796" s="106"/>
      <c r="G796" s="106"/>
    </row>
    <row r="797">
      <c r="F797" s="106"/>
      <c r="G797" s="106"/>
    </row>
    <row r="798">
      <c r="F798" s="106"/>
      <c r="G798" s="106"/>
    </row>
    <row r="799">
      <c r="F799" s="106"/>
      <c r="G799" s="106"/>
    </row>
    <row r="800">
      <c r="F800" s="106"/>
      <c r="G800" s="106"/>
    </row>
    <row r="801">
      <c r="F801" s="106"/>
      <c r="G801" s="106"/>
    </row>
    <row r="802">
      <c r="F802" s="106"/>
      <c r="G802" s="106"/>
    </row>
    <row r="803">
      <c r="F803" s="106"/>
      <c r="G803" s="106"/>
    </row>
    <row r="804">
      <c r="F804" s="106"/>
      <c r="G804" s="106"/>
    </row>
    <row r="805">
      <c r="F805" s="106"/>
      <c r="G805" s="106"/>
    </row>
    <row r="806">
      <c r="F806" s="106"/>
      <c r="G806" s="106"/>
    </row>
    <row r="807">
      <c r="F807" s="106"/>
      <c r="G807" s="106"/>
    </row>
    <row r="808">
      <c r="F808" s="106"/>
      <c r="G808" s="106"/>
    </row>
    <row r="809">
      <c r="F809" s="106"/>
      <c r="G809" s="106"/>
    </row>
    <row r="810">
      <c r="F810" s="106"/>
      <c r="G810" s="106"/>
    </row>
    <row r="811">
      <c r="F811" s="106"/>
      <c r="G811" s="106"/>
    </row>
    <row r="812">
      <c r="F812" s="106"/>
      <c r="G812" s="106"/>
    </row>
    <row r="813">
      <c r="F813" s="106"/>
      <c r="G813" s="106"/>
    </row>
    <row r="814">
      <c r="F814" s="106"/>
      <c r="G814" s="106"/>
    </row>
    <row r="815">
      <c r="F815" s="106"/>
      <c r="G815" s="106"/>
    </row>
    <row r="816">
      <c r="F816" s="106"/>
      <c r="G816" s="106"/>
    </row>
    <row r="817">
      <c r="F817" s="106"/>
      <c r="G817" s="106"/>
    </row>
    <row r="818">
      <c r="F818" s="106"/>
      <c r="G818" s="106"/>
    </row>
    <row r="819">
      <c r="F819" s="106"/>
      <c r="G819" s="106"/>
    </row>
    <row r="820">
      <c r="F820" s="106"/>
      <c r="G820" s="106"/>
    </row>
    <row r="821">
      <c r="F821" s="106"/>
      <c r="G821" s="106"/>
    </row>
    <row r="822">
      <c r="F822" s="106"/>
      <c r="G822" s="106"/>
    </row>
    <row r="823">
      <c r="F823" s="106"/>
      <c r="G823" s="106"/>
    </row>
    <row r="824">
      <c r="F824" s="106"/>
      <c r="G824" s="106"/>
    </row>
    <row r="825">
      <c r="F825" s="106"/>
      <c r="G825" s="106"/>
    </row>
    <row r="826">
      <c r="F826" s="106"/>
      <c r="G826" s="106"/>
    </row>
    <row r="827">
      <c r="F827" s="106"/>
      <c r="G827" s="106"/>
    </row>
    <row r="828">
      <c r="F828" s="106"/>
      <c r="G828" s="106"/>
    </row>
    <row r="829">
      <c r="F829" s="106"/>
      <c r="G829" s="106"/>
    </row>
    <row r="830">
      <c r="F830" s="106"/>
      <c r="G830" s="106"/>
    </row>
    <row r="831">
      <c r="F831" s="106"/>
      <c r="G831" s="106"/>
    </row>
    <row r="832">
      <c r="F832" s="106"/>
      <c r="G832" s="106"/>
    </row>
    <row r="833">
      <c r="F833" s="106"/>
      <c r="G833" s="106"/>
    </row>
    <row r="834">
      <c r="F834" s="106"/>
      <c r="G834" s="106"/>
    </row>
    <row r="835">
      <c r="F835" s="106"/>
      <c r="G835" s="106"/>
    </row>
    <row r="836">
      <c r="F836" s="106"/>
      <c r="G836" s="106"/>
    </row>
    <row r="837">
      <c r="F837" s="106"/>
      <c r="G837" s="106"/>
    </row>
    <row r="838">
      <c r="F838" s="106"/>
      <c r="G838" s="106"/>
    </row>
    <row r="839">
      <c r="F839" s="106"/>
      <c r="G839" s="106"/>
    </row>
    <row r="840">
      <c r="F840" s="106"/>
      <c r="G840" s="106"/>
    </row>
    <row r="841">
      <c r="F841" s="106"/>
      <c r="G841" s="106"/>
    </row>
    <row r="842">
      <c r="F842" s="106"/>
      <c r="G842" s="106"/>
    </row>
    <row r="843">
      <c r="F843" s="106"/>
      <c r="G843" s="106"/>
    </row>
    <row r="844">
      <c r="F844" s="106"/>
      <c r="G844" s="106"/>
    </row>
    <row r="845">
      <c r="F845" s="106"/>
      <c r="G845" s="106"/>
    </row>
    <row r="846">
      <c r="F846" s="106"/>
      <c r="G846" s="106"/>
    </row>
    <row r="847">
      <c r="F847" s="106"/>
      <c r="G847" s="106"/>
    </row>
    <row r="848">
      <c r="F848" s="106"/>
      <c r="G848" s="106"/>
    </row>
    <row r="849">
      <c r="F849" s="106"/>
      <c r="G849" s="106"/>
    </row>
    <row r="850">
      <c r="F850" s="106"/>
      <c r="G850" s="106"/>
    </row>
    <row r="851">
      <c r="F851" s="106"/>
      <c r="G851" s="106"/>
    </row>
    <row r="852">
      <c r="F852" s="106"/>
      <c r="G852" s="106"/>
    </row>
    <row r="853">
      <c r="F853" s="106"/>
      <c r="G853" s="106"/>
    </row>
    <row r="854">
      <c r="F854" s="106"/>
      <c r="G854" s="106"/>
    </row>
    <row r="855">
      <c r="F855" s="106"/>
      <c r="G855" s="106"/>
    </row>
    <row r="856">
      <c r="F856" s="106"/>
      <c r="G856" s="106"/>
    </row>
    <row r="857">
      <c r="F857" s="106"/>
      <c r="G857" s="106"/>
    </row>
    <row r="858">
      <c r="F858" s="106"/>
      <c r="G858" s="106"/>
    </row>
    <row r="859">
      <c r="F859" s="106"/>
      <c r="G859" s="106"/>
    </row>
    <row r="860">
      <c r="F860" s="106"/>
      <c r="G860" s="106"/>
    </row>
    <row r="861">
      <c r="F861" s="106"/>
      <c r="G861" s="106"/>
    </row>
    <row r="862">
      <c r="F862" s="106"/>
      <c r="G862" s="106"/>
    </row>
    <row r="863">
      <c r="F863" s="106"/>
      <c r="G863" s="106"/>
    </row>
    <row r="864">
      <c r="F864" s="106"/>
      <c r="G864" s="106"/>
    </row>
    <row r="865">
      <c r="F865" s="106"/>
      <c r="G865" s="106"/>
    </row>
    <row r="866">
      <c r="F866" s="106"/>
      <c r="G866" s="106"/>
    </row>
    <row r="867">
      <c r="F867" s="106"/>
      <c r="G867" s="106"/>
    </row>
    <row r="868">
      <c r="F868" s="106"/>
      <c r="G868" s="106"/>
    </row>
    <row r="869">
      <c r="F869" s="106"/>
      <c r="G869" s="106"/>
    </row>
    <row r="870">
      <c r="F870" s="106"/>
      <c r="G870" s="106"/>
    </row>
    <row r="871">
      <c r="F871" s="106"/>
      <c r="G871" s="106"/>
    </row>
    <row r="872">
      <c r="F872" s="106"/>
      <c r="G872" s="106"/>
    </row>
    <row r="873">
      <c r="F873" s="106"/>
      <c r="G873" s="106"/>
    </row>
    <row r="874">
      <c r="F874" s="106"/>
      <c r="G874" s="106"/>
    </row>
    <row r="875">
      <c r="F875" s="106"/>
      <c r="G875" s="106"/>
    </row>
    <row r="876">
      <c r="F876" s="106"/>
      <c r="G876" s="106"/>
    </row>
    <row r="877">
      <c r="F877" s="106"/>
      <c r="G877" s="106"/>
    </row>
    <row r="878">
      <c r="F878" s="106"/>
      <c r="G878" s="106"/>
    </row>
    <row r="879">
      <c r="F879" s="106"/>
      <c r="G879" s="106"/>
    </row>
    <row r="880">
      <c r="F880" s="106"/>
      <c r="G880" s="106"/>
    </row>
    <row r="881">
      <c r="F881" s="106"/>
      <c r="G881" s="106"/>
    </row>
    <row r="882">
      <c r="F882" s="106"/>
      <c r="G882" s="106"/>
    </row>
    <row r="883">
      <c r="F883" s="106"/>
      <c r="G883" s="106"/>
    </row>
    <row r="884">
      <c r="F884" s="106"/>
      <c r="G884" s="106"/>
    </row>
    <row r="885">
      <c r="F885" s="106"/>
      <c r="G885" s="106"/>
    </row>
    <row r="886">
      <c r="F886" s="106"/>
      <c r="G886" s="106"/>
    </row>
    <row r="887">
      <c r="F887" s="106"/>
      <c r="G887" s="106"/>
    </row>
    <row r="888">
      <c r="F888" s="106"/>
      <c r="G888" s="106"/>
    </row>
    <row r="889">
      <c r="F889" s="106"/>
      <c r="G889" s="106"/>
    </row>
    <row r="890">
      <c r="F890" s="106"/>
      <c r="G890" s="106"/>
    </row>
    <row r="891">
      <c r="F891" s="106"/>
      <c r="G891" s="106"/>
    </row>
    <row r="892">
      <c r="F892" s="106"/>
      <c r="G892" s="106"/>
    </row>
    <row r="893">
      <c r="F893" s="106"/>
      <c r="G893" s="106"/>
    </row>
    <row r="894">
      <c r="F894" s="106"/>
      <c r="G894" s="106"/>
    </row>
    <row r="895">
      <c r="F895" s="106"/>
      <c r="G895" s="106"/>
    </row>
    <row r="896">
      <c r="F896" s="106"/>
      <c r="G896" s="106"/>
    </row>
    <row r="897">
      <c r="F897" s="106"/>
      <c r="G897" s="106"/>
    </row>
    <row r="898">
      <c r="F898" s="106"/>
      <c r="G898" s="106"/>
    </row>
    <row r="899">
      <c r="F899" s="106"/>
      <c r="G899" s="106"/>
    </row>
    <row r="900">
      <c r="F900" s="106"/>
      <c r="G900" s="106"/>
    </row>
    <row r="901">
      <c r="F901" s="106"/>
      <c r="G901" s="106"/>
    </row>
    <row r="902">
      <c r="F902" s="106"/>
      <c r="G902" s="106"/>
    </row>
    <row r="903">
      <c r="F903" s="106"/>
      <c r="G903" s="106"/>
    </row>
    <row r="904">
      <c r="F904" s="106"/>
      <c r="G904" s="106"/>
    </row>
    <row r="905">
      <c r="F905" s="106"/>
      <c r="G905" s="106"/>
    </row>
    <row r="906">
      <c r="F906" s="106"/>
      <c r="G906" s="106"/>
    </row>
    <row r="907">
      <c r="F907" s="106"/>
      <c r="G907" s="106"/>
    </row>
    <row r="908">
      <c r="F908" s="106"/>
      <c r="G908" s="106"/>
    </row>
    <row r="909">
      <c r="F909" s="106"/>
      <c r="G909" s="106"/>
    </row>
    <row r="910">
      <c r="F910" s="106"/>
      <c r="G910" s="106"/>
    </row>
    <row r="911">
      <c r="F911" s="106"/>
      <c r="G911" s="106"/>
    </row>
    <row r="912">
      <c r="F912" s="106"/>
      <c r="G912" s="106"/>
    </row>
    <row r="913">
      <c r="F913" s="106"/>
      <c r="G913" s="106"/>
    </row>
    <row r="914">
      <c r="F914" s="106"/>
      <c r="G914" s="106"/>
    </row>
    <row r="915">
      <c r="F915" s="106"/>
      <c r="G915" s="106"/>
    </row>
    <row r="916">
      <c r="F916" s="106"/>
      <c r="G916" s="106"/>
    </row>
    <row r="917">
      <c r="F917" s="106"/>
      <c r="G917" s="106"/>
    </row>
    <row r="918">
      <c r="F918" s="106"/>
      <c r="G918" s="106"/>
    </row>
    <row r="919">
      <c r="F919" s="106"/>
      <c r="G919" s="106"/>
    </row>
    <row r="920">
      <c r="F920" s="106"/>
      <c r="G920" s="106"/>
    </row>
    <row r="921">
      <c r="F921" s="106"/>
      <c r="G921" s="106"/>
    </row>
    <row r="922">
      <c r="F922" s="106"/>
      <c r="G922" s="106"/>
    </row>
    <row r="923">
      <c r="F923" s="106"/>
      <c r="G923" s="106"/>
    </row>
    <row r="924">
      <c r="F924" s="106"/>
      <c r="G924" s="106"/>
    </row>
    <row r="925">
      <c r="F925" s="106"/>
      <c r="G925" s="106"/>
    </row>
    <row r="926">
      <c r="F926" s="106"/>
      <c r="G926" s="106"/>
    </row>
    <row r="927">
      <c r="F927" s="106"/>
      <c r="G927" s="106"/>
    </row>
    <row r="928">
      <c r="F928" s="106"/>
      <c r="G928" s="106"/>
    </row>
    <row r="929">
      <c r="F929" s="106"/>
      <c r="G929" s="106"/>
    </row>
    <row r="930">
      <c r="F930" s="106"/>
      <c r="G930" s="106"/>
    </row>
    <row r="931">
      <c r="F931" s="106"/>
      <c r="G931" s="106"/>
    </row>
    <row r="932">
      <c r="F932" s="106"/>
      <c r="G932" s="106"/>
    </row>
    <row r="933">
      <c r="F933" s="106"/>
      <c r="G933" s="106"/>
    </row>
    <row r="934">
      <c r="F934" s="106"/>
      <c r="G934" s="106"/>
    </row>
    <row r="935">
      <c r="F935" s="106"/>
      <c r="G935" s="106"/>
    </row>
    <row r="936">
      <c r="F936" s="106"/>
      <c r="G936" s="106"/>
    </row>
    <row r="937">
      <c r="F937" s="106"/>
      <c r="G937" s="106"/>
    </row>
    <row r="938">
      <c r="F938" s="106"/>
      <c r="G938" s="106"/>
    </row>
    <row r="939">
      <c r="F939" s="106"/>
      <c r="G939" s="106"/>
    </row>
    <row r="940">
      <c r="F940" s="106"/>
      <c r="G940" s="106"/>
    </row>
    <row r="941">
      <c r="F941" s="106"/>
      <c r="G941" s="106"/>
    </row>
    <row r="942">
      <c r="F942" s="106"/>
      <c r="G942" s="106"/>
    </row>
    <row r="943">
      <c r="F943" s="106"/>
      <c r="G943" s="106"/>
    </row>
    <row r="944">
      <c r="F944" s="106"/>
      <c r="G944" s="106"/>
    </row>
    <row r="945">
      <c r="F945" s="106"/>
      <c r="G945" s="106"/>
    </row>
    <row r="946">
      <c r="F946" s="106"/>
      <c r="G946" s="106"/>
    </row>
    <row r="947">
      <c r="F947" s="106"/>
      <c r="G947" s="106"/>
    </row>
    <row r="948">
      <c r="F948" s="106"/>
      <c r="G948" s="106"/>
    </row>
    <row r="949">
      <c r="F949" s="106"/>
      <c r="G949" s="106"/>
    </row>
    <row r="950">
      <c r="F950" s="106"/>
      <c r="G950" s="106"/>
    </row>
    <row r="951">
      <c r="F951" s="106"/>
      <c r="G951" s="106"/>
    </row>
    <row r="952">
      <c r="F952" s="106"/>
      <c r="G952" s="106"/>
    </row>
    <row r="953">
      <c r="F953" s="106"/>
      <c r="G953" s="106"/>
    </row>
    <row r="954">
      <c r="F954" s="106"/>
      <c r="G954" s="106"/>
    </row>
    <row r="955">
      <c r="F955" s="106"/>
      <c r="G955" s="106"/>
    </row>
    <row r="956">
      <c r="F956" s="106"/>
      <c r="G956" s="106"/>
    </row>
    <row r="957">
      <c r="F957" s="106"/>
      <c r="G957" s="106"/>
    </row>
    <row r="958">
      <c r="F958" s="106"/>
      <c r="G958" s="106"/>
    </row>
    <row r="959">
      <c r="F959" s="106"/>
      <c r="G959" s="106"/>
    </row>
    <row r="960">
      <c r="F960" s="106"/>
      <c r="G960" s="106"/>
    </row>
    <row r="961">
      <c r="F961" s="106"/>
      <c r="G961" s="106"/>
    </row>
    <row r="962">
      <c r="F962" s="106"/>
      <c r="G962" s="106"/>
    </row>
    <row r="963">
      <c r="F963" s="106"/>
      <c r="G963" s="106"/>
    </row>
    <row r="964">
      <c r="F964" s="106"/>
      <c r="G964" s="106"/>
    </row>
    <row r="965">
      <c r="F965" s="106"/>
      <c r="G965" s="106"/>
    </row>
    <row r="966">
      <c r="F966" s="106"/>
      <c r="G966" s="106"/>
    </row>
    <row r="967">
      <c r="F967" s="106"/>
      <c r="G967" s="106"/>
    </row>
    <row r="968">
      <c r="F968" s="106"/>
      <c r="G968" s="106"/>
    </row>
    <row r="969">
      <c r="F969" s="106"/>
      <c r="G969" s="106"/>
    </row>
    <row r="970">
      <c r="F970" s="106"/>
      <c r="G970" s="106"/>
    </row>
    <row r="971">
      <c r="F971" s="106"/>
      <c r="G971" s="106"/>
    </row>
    <row r="972">
      <c r="F972" s="106"/>
      <c r="G972" s="106"/>
    </row>
    <row r="973">
      <c r="F973" s="106"/>
      <c r="G973" s="106"/>
    </row>
    <row r="974">
      <c r="F974" s="106"/>
      <c r="G974" s="106"/>
    </row>
    <row r="975">
      <c r="F975" s="106"/>
      <c r="G975" s="106"/>
    </row>
    <row r="976">
      <c r="F976" s="106"/>
      <c r="G976" s="106"/>
    </row>
    <row r="977">
      <c r="F977" s="106"/>
      <c r="G977" s="106"/>
    </row>
    <row r="978">
      <c r="F978" s="106"/>
      <c r="G978" s="106"/>
    </row>
    <row r="979">
      <c r="F979" s="106"/>
      <c r="G979" s="106"/>
    </row>
    <row r="980">
      <c r="F980" s="106"/>
      <c r="G980" s="106"/>
    </row>
    <row r="981">
      <c r="F981" s="106"/>
      <c r="G981" s="106"/>
    </row>
    <row r="982">
      <c r="F982" s="106"/>
      <c r="G982" s="106"/>
    </row>
    <row r="983">
      <c r="F983" s="106"/>
      <c r="G983" s="106"/>
    </row>
    <row r="984">
      <c r="F984" s="106"/>
      <c r="G984" s="106"/>
    </row>
    <row r="985">
      <c r="F985" s="106"/>
      <c r="G985" s="106"/>
    </row>
    <row r="986">
      <c r="F986" s="106"/>
      <c r="G986" s="106"/>
    </row>
    <row r="987">
      <c r="F987" s="106"/>
      <c r="G987" s="106"/>
    </row>
    <row r="988">
      <c r="F988" s="106"/>
      <c r="G988" s="106"/>
    </row>
    <row r="989">
      <c r="F989" s="106"/>
      <c r="G989" s="106"/>
    </row>
    <row r="990">
      <c r="F990" s="106"/>
      <c r="G990" s="106"/>
    </row>
    <row r="991">
      <c r="F991" s="106"/>
      <c r="G991" s="106"/>
    </row>
    <row r="992">
      <c r="F992" s="106"/>
      <c r="G992" s="106"/>
    </row>
    <row r="993">
      <c r="F993" s="106"/>
      <c r="G993" s="106"/>
    </row>
    <row r="994">
      <c r="F994" s="106"/>
      <c r="G994" s="106"/>
    </row>
    <row r="995">
      <c r="F995" s="106"/>
      <c r="G995" s="106"/>
    </row>
    <row r="996">
      <c r="F996" s="106"/>
      <c r="G996" s="106"/>
    </row>
    <row r="997">
      <c r="F997" s="106"/>
      <c r="G997" s="106"/>
    </row>
    <row r="998">
      <c r="F998" s="106"/>
      <c r="G998" s="106"/>
    </row>
    <row r="999">
      <c r="F999" s="106"/>
      <c r="G999" s="106"/>
    </row>
  </sheetData>
  <mergeCells count="6">
    <mergeCell ref="B2:E3"/>
    <mergeCell ref="B4:E4"/>
    <mergeCell ref="B10:D10"/>
    <mergeCell ref="B15:D15"/>
    <mergeCell ref="B20:D20"/>
    <mergeCell ref="B25:D25"/>
  </mergeCells>
  <drawing r:id="rId1"/>
  <tableParts count="2">
    <tablePart r:id="rId4"/>
    <tablePart r:id="rId5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2" max="2" width="25.13"/>
    <col customWidth="1" min="3" max="3" width="16.25"/>
  </cols>
  <sheetData>
    <row r="1">
      <c r="A1" s="289" t="s">
        <v>288</v>
      </c>
      <c r="B1" s="294" t="s">
        <v>358</v>
      </c>
      <c r="C1" s="294" t="s">
        <v>359</v>
      </c>
    </row>
    <row r="2">
      <c r="A2" s="290">
        <v>43831.0</v>
      </c>
      <c r="B2" s="297">
        <v>-250000.0</v>
      </c>
      <c r="C2" s="297">
        <v>-232100.0</v>
      </c>
    </row>
    <row r="3">
      <c r="A3" s="290">
        <v>43922.0</v>
      </c>
      <c r="B3" s="297">
        <v>-70000.0</v>
      </c>
      <c r="C3" s="297">
        <v>-59800.0</v>
      </c>
    </row>
    <row r="4">
      <c r="A4" s="290">
        <v>44013.0</v>
      </c>
      <c r="B4" s="297">
        <v>-130000.0</v>
      </c>
      <c r="C4" s="297">
        <v>-121500.0</v>
      </c>
    </row>
    <row r="5">
      <c r="A5" s="290">
        <v>44105.0</v>
      </c>
      <c r="B5" s="297">
        <v>-120000.0</v>
      </c>
      <c r="C5" s="297">
        <v>-111724.0</v>
      </c>
    </row>
    <row r="6">
      <c r="A6" s="290">
        <v>44197.0</v>
      </c>
      <c r="B6" s="297">
        <v>-150000.0</v>
      </c>
      <c r="C6" s="297">
        <v>-139040.0</v>
      </c>
    </row>
    <row r="7">
      <c r="A7" s="290">
        <v>44287.0</v>
      </c>
      <c r="B7" s="297">
        <v>-125000.0</v>
      </c>
      <c r="C7" s="297">
        <v>-117984.0</v>
      </c>
    </row>
    <row r="8">
      <c r="A8" s="290">
        <v>44378.0</v>
      </c>
      <c r="B8" s="297">
        <v>-105000.0</v>
      </c>
      <c r="C8" s="297">
        <v>-99097.0</v>
      </c>
    </row>
    <row r="9">
      <c r="A9" s="290">
        <v>44470.0</v>
      </c>
      <c r="B9" s="297">
        <v>-70000.0</v>
      </c>
      <c r="C9" s="297">
        <v>-61000.0</v>
      </c>
    </row>
    <row r="10">
      <c r="A10" s="290">
        <v>44562.0</v>
      </c>
      <c r="B10" s="297">
        <v>-80000.0</v>
      </c>
      <c r="C10" s="297">
        <v>-74042.0</v>
      </c>
    </row>
    <row r="11">
      <c r="A11" s="290">
        <v>44652.0</v>
      </c>
      <c r="B11" s="296">
        <v>-85000.0</v>
      </c>
      <c r="C11" s="297">
        <v>-72246.0</v>
      </c>
    </row>
    <row r="12">
      <c r="A12" s="290">
        <v>44743.0</v>
      </c>
      <c r="B12" s="297">
        <v>-80000.0</v>
      </c>
      <c r="C12" s="297">
        <v>-76480.0</v>
      </c>
    </row>
    <row r="13">
      <c r="A13" s="290">
        <v>44835.0</v>
      </c>
      <c r="B13" s="297">
        <v>-75000.0</v>
      </c>
      <c r="C13" s="297">
        <v>-73400.0</v>
      </c>
    </row>
    <row r="14">
      <c r="A14" s="292">
        <v>44927.0</v>
      </c>
      <c r="B14" s="297">
        <v>-50000.0</v>
      </c>
      <c r="C14" s="297">
        <v>-44438.0</v>
      </c>
    </row>
    <row r="15">
      <c r="A15" s="292">
        <v>45017.0</v>
      </c>
      <c r="B15" s="297">
        <v>-40000.0</v>
      </c>
      <c r="C15" s="296">
        <v>-38749.0</v>
      </c>
    </row>
    <row r="16">
      <c r="A16" s="292">
        <v>45108.0</v>
      </c>
      <c r="B16" s="297">
        <v>-105000.0</v>
      </c>
      <c r="C16" s="297">
        <v>-99097.0</v>
      </c>
    </row>
    <row r="17">
      <c r="A17" s="293">
        <v>45200.0</v>
      </c>
      <c r="B17" s="297">
        <v>-250.0</v>
      </c>
      <c r="C17" s="296">
        <v>-220.0</v>
      </c>
    </row>
  </sheetData>
  <drawing r:id="rId1"/>
  <tableParts count="3">
    <tablePart r:id="rId5"/>
    <tablePart r:id="rId6"/>
    <tablePart r:id="rId7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showGridLines="0" workbookViewId="0"/>
  </sheetViews>
  <sheetFormatPr customHeight="1" defaultColWidth="12.63" defaultRowHeight="15.75"/>
  <sheetData>
    <row r="3">
      <c r="A3" s="315" t="s">
        <v>363</v>
      </c>
    </row>
    <row r="4">
      <c r="A4" s="134"/>
      <c r="B4" s="135">
        <v>2023.0</v>
      </c>
      <c r="C4" s="135">
        <v>2022.0</v>
      </c>
      <c r="D4" s="135">
        <v>2021.0</v>
      </c>
      <c r="E4" s="135">
        <v>2020.0</v>
      </c>
      <c r="G4" s="134"/>
      <c r="H4" s="135">
        <v>2023.0</v>
      </c>
      <c r="I4" s="135">
        <v>2022.0</v>
      </c>
      <c r="J4" s="135">
        <v>2021.0</v>
      </c>
      <c r="K4" s="135">
        <v>2020.0</v>
      </c>
    </row>
    <row r="5" ht="65.25" customHeight="1">
      <c r="A5" s="135" t="s">
        <v>364</v>
      </c>
      <c r="B5" s="134">
        <f>1538</f>
        <v>1538</v>
      </c>
      <c r="C5" s="134">
        <f>1815</f>
        <v>1815</v>
      </c>
      <c r="D5" s="134">
        <f>2236</f>
        <v>2236</v>
      </c>
      <c r="E5" s="134">
        <f>1810</f>
        <v>1810</v>
      </c>
      <c r="G5" s="134" t="s">
        <v>138</v>
      </c>
      <c r="H5" s="316">
        <f>104435/1538</f>
        <v>67.90312094</v>
      </c>
      <c r="I5" s="316">
        <f>2419/1815</f>
        <v>1.332782369</v>
      </c>
      <c r="J5" s="316">
        <f>11468/2236</f>
        <v>5.128801431</v>
      </c>
      <c r="K5" s="316">
        <f>15019/1810</f>
        <v>8.297790055</v>
      </c>
    </row>
    <row r="6" ht="32.25" customHeight="1">
      <c r="A6" s="135" t="s">
        <v>365</v>
      </c>
      <c r="B6" s="317">
        <f t="shared" ref="B6:D6" si="1">(B5/C5)</f>
        <v>0.8473829201</v>
      </c>
      <c r="C6" s="317">
        <f t="shared" si="1"/>
        <v>0.8117173524</v>
      </c>
      <c r="D6" s="317">
        <f t="shared" si="1"/>
        <v>1.235359116</v>
      </c>
      <c r="E6" s="136">
        <v>0.9837</v>
      </c>
      <c r="G6" s="137"/>
      <c r="H6" s="137"/>
      <c r="I6" s="137"/>
      <c r="J6" s="137"/>
      <c r="K6" s="137"/>
    </row>
    <row r="7">
      <c r="A7" s="137"/>
      <c r="B7" s="137"/>
      <c r="C7" s="137"/>
      <c r="D7" s="137"/>
      <c r="E7" s="137"/>
      <c r="G7" s="137"/>
      <c r="H7" s="137"/>
      <c r="I7" s="137"/>
      <c r="J7" s="137"/>
      <c r="K7" s="137"/>
    </row>
    <row r="8">
      <c r="A8" s="138" t="s">
        <v>366</v>
      </c>
      <c r="B8" s="137"/>
      <c r="C8" s="137"/>
      <c r="D8" s="137"/>
      <c r="E8" s="137"/>
      <c r="G8" s="137"/>
      <c r="H8" s="137"/>
      <c r="I8" s="137"/>
      <c r="J8" s="137"/>
      <c r="K8" s="137"/>
    </row>
    <row r="9">
      <c r="A9" s="138" t="s">
        <v>367</v>
      </c>
      <c r="B9" s="137"/>
      <c r="C9" s="137"/>
      <c r="D9" s="137"/>
      <c r="E9" s="137"/>
      <c r="G9" s="137"/>
      <c r="H9" s="137"/>
      <c r="I9" s="137"/>
      <c r="J9" s="137"/>
      <c r="K9" s="137"/>
    </row>
    <row r="10">
      <c r="A10" s="137"/>
      <c r="B10" s="137"/>
      <c r="C10" s="137"/>
      <c r="D10" s="137"/>
      <c r="E10" s="137"/>
      <c r="G10" s="137"/>
      <c r="H10" s="137"/>
      <c r="I10" s="137"/>
      <c r="J10" s="137"/>
      <c r="K10" s="137"/>
    </row>
    <row r="11">
      <c r="A11" s="137"/>
      <c r="B11" s="137"/>
      <c r="C11" s="137"/>
      <c r="D11" s="137"/>
      <c r="E11" s="137"/>
      <c r="G11" s="137"/>
      <c r="H11" s="137"/>
      <c r="I11" s="137"/>
      <c r="J11" s="137"/>
      <c r="K11" s="137"/>
    </row>
    <row r="12">
      <c r="A12" s="137"/>
      <c r="B12" s="137"/>
      <c r="C12" s="137"/>
      <c r="D12" s="137"/>
      <c r="E12" s="137"/>
      <c r="G12" s="137"/>
      <c r="H12" s="137"/>
      <c r="I12" s="137"/>
      <c r="J12" s="137"/>
      <c r="K12" s="137"/>
    </row>
    <row r="13">
      <c r="A13" s="137"/>
      <c r="B13" s="137"/>
      <c r="C13" s="137"/>
      <c r="D13" s="137"/>
      <c r="E13" s="137"/>
      <c r="G13" s="137"/>
      <c r="H13" s="137"/>
      <c r="I13" s="137"/>
      <c r="J13" s="137"/>
      <c r="K13" s="137"/>
    </row>
    <row r="14">
      <c r="A14" s="137"/>
      <c r="B14" s="137"/>
      <c r="C14" s="137"/>
      <c r="D14" s="137"/>
      <c r="E14" s="137"/>
      <c r="G14" s="137"/>
      <c r="H14" s="137"/>
      <c r="I14" s="137"/>
      <c r="J14" s="137"/>
      <c r="K14" s="137"/>
    </row>
    <row r="15">
      <c r="A15" s="137"/>
      <c r="B15" s="137"/>
      <c r="C15" s="137"/>
      <c r="D15" s="137"/>
      <c r="E15" s="137"/>
      <c r="G15" s="137"/>
      <c r="H15" s="137"/>
      <c r="I15" s="137"/>
      <c r="J15" s="137"/>
      <c r="K15" s="137"/>
    </row>
    <row r="16">
      <c r="A16" s="137"/>
      <c r="B16" s="137"/>
      <c r="C16" s="137"/>
      <c r="D16" s="137"/>
      <c r="E16" s="137"/>
      <c r="G16" s="137"/>
      <c r="H16" s="137"/>
      <c r="I16" s="137"/>
      <c r="J16" s="137"/>
      <c r="K16" s="137"/>
    </row>
    <row r="17">
      <c r="A17" s="137"/>
      <c r="B17" s="137"/>
      <c r="C17" s="137"/>
      <c r="D17" s="137"/>
      <c r="E17" s="137"/>
      <c r="G17" s="137"/>
      <c r="H17" s="137"/>
      <c r="I17" s="137"/>
      <c r="J17" s="137"/>
      <c r="K17" s="137"/>
    </row>
    <row r="18">
      <c r="A18" s="137"/>
      <c r="B18" s="137"/>
      <c r="C18" s="137"/>
      <c r="D18" s="137"/>
      <c r="E18" s="137"/>
      <c r="G18" s="137"/>
      <c r="H18" s="137"/>
      <c r="I18" s="137"/>
      <c r="J18" s="137"/>
      <c r="K18" s="137"/>
    </row>
    <row r="19">
      <c r="A19" s="137"/>
      <c r="B19" s="137"/>
      <c r="C19" s="137"/>
      <c r="D19" s="137"/>
      <c r="E19" s="137"/>
      <c r="G19" s="137"/>
      <c r="H19" s="137"/>
      <c r="I19" s="137"/>
      <c r="J19" s="137"/>
      <c r="K19" s="137"/>
    </row>
    <row r="20">
      <c r="A20" s="137"/>
      <c r="B20" s="137"/>
      <c r="C20" s="137"/>
      <c r="D20" s="137"/>
      <c r="E20" s="137"/>
      <c r="G20" s="137"/>
      <c r="H20" s="137"/>
      <c r="I20" s="137"/>
      <c r="J20" s="137"/>
      <c r="K20" s="137"/>
    </row>
    <row r="21">
      <c r="A21" s="134"/>
      <c r="B21" s="135">
        <v>2023.0</v>
      </c>
      <c r="C21" s="135">
        <v>2022.0</v>
      </c>
      <c r="D21" s="135">
        <v>2021.0</v>
      </c>
      <c r="E21" s="135">
        <v>2020.0</v>
      </c>
      <c r="G21" s="134"/>
      <c r="H21" s="135">
        <v>2023.0</v>
      </c>
      <c r="I21" s="135">
        <v>2022.0</v>
      </c>
      <c r="J21" s="135">
        <v>2021.0</v>
      </c>
      <c r="K21" s="135">
        <v>2020.0</v>
      </c>
    </row>
    <row r="22">
      <c r="A22" s="134" t="s">
        <v>131</v>
      </c>
      <c r="B22" s="317">
        <f>4.2/5</f>
        <v>0.84</v>
      </c>
      <c r="C22" s="317">
        <f>4.4/5</f>
        <v>0.88</v>
      </c>
      <c r="D22" s="317">
        <f>4.5/5</f>
        <v>0.9</v>
      </c>
      <c r="E22" s="317">
        <f>4.3/5</f>
        <v>0.86</v>
      </c>
      <c r="G22" s="135" t="s">
        <v>146</v>
      </c>
      <c r="H22" s="141">
        <f>10.5%</f>
        <v>0.105</v>
      </c>
      <c r="I22" s="141">
        <f>10.01%</f>
        <v>0.1001</v>
      </c>
      <c r="J22" s="141">
        <f>9.79%</f>
        <v>0.0979</v>
      </c>
      <c r="K22" s="141">
        <f>26.38%</f>
        <v>0.2638</v>
      </c>
    </row>
    <row r="23">
      <c r="A23" s="137"/>
      <c r="B23" s="137"/>
      <c r="C23" s="137"/>
      <c r="D23" s="137"/>
      <c r="E23" s="137"/>
    </row>
    <row r="24" ht="31.5" customHeight="1"/>
    <row r="27" ht="31.5" customHeight="1"/>
    <row r="30" ht="30.0" customHeight="1"/>
  </sheetData>
  <drawing r:id="rId1"/>
  <tableParts count="2">
    <tablePart r:id="rId4"/>
    <tablePart r:id="rId5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9.38"/>
    <col customWidth="1" min="3" max="3" width="25.75"/>
    <col customWidth="1" min="4" max="5" width="28.88"/>
    <col customWidth="1" min="6" max="6" width="27.38"/>
    <col customWidth="1" min="7" max="7" width="19.88"/>
    <col customWidth="1" min="8" max="8" width="12.88"/>
    <col customWidth="1" min="9" max="10" width="16.63"/>
    <col customWidth="1" min="11" max="13" width="29.88"/>
    <col customWidth="1" min="18" max="19" width="21.38"/>
    <col customWidth="1" min="20" max="20" width="20.63"/>
  </cols>
  <sheetData>
    <row r="1">
      <c r="A1" s="67"/>
      <c r="B1" s="68" t="s">
        <v>368</v>
      </c>
      <c r="C1" s="69"/>
      <c r="D1" s="69"/>
      <c r="E1" s="69"/>
      <c r="F1" s="107"/>
      <c r="I1" s="68" t="s">
        <v>369</v>
      </c>
      <c r="J1" s="69"/>
      <c r="K1" s="69"/>
      <c r="L1" s="69"/>
      <c r="M1" s="107"/>
      <c r="P1" s="68" t="s">
        <v>370</v>
      </c>
      <c r="Q1" s="69"/>
      <c r="R1" s="69"/>
      <c r="S1" s="69"/>
      <c r="T1" s="107"/>
    </row>
    <row r="2">
      <c r="A2" s="73"/>
      <c r="B2" s="74"/>
      <c r="F2" s="108"/>
      <c r="I2" s="74"/>
      <c r="M2" s="108"/>
      <c r="P2" s="74"/>
      <c r="T2" s="108"/>
    </row>
    <row r="3">
      <c r="A3" s="73"/>
      <c r="B3" s="74"/>
      <c r="F3" s="108"/>
      <c r="I3" s="74"/>
      <c r="M3" s="108"/>
      <c r="P3" s="74"/>
      <c r="T3" s="108"/>
    </row>
    <row r="4">
      <c r="A4" s="73"/>
      <c r="B4" s="78"/>
      <c r="C4" s="79"/>
      <c r="D4" s="79"/>
      <c r="E4" s="79"/>
      <c r="F4" s="318"/>
      <c r="I4" s="78"/>
      <c r="P4" s="78"/>
      <c r="Q4" s="79"/>
      <c r="R4" s="79"/>
      <c r="S4" s="79"/>
      <c r="T4" s="318"/>
    </row>
    <row r="5">
      <c r="A5" s="73"/>
      <c r="B5" s="83" t="s">
        <v>293</v>
      </c>
      <c r="C5" s="84" t="s">
        <v>294</v>
      </c>
      <c r="D5" s="84" t="s">
        <v>371</v>
      </c>
      <c r="E5" s="84" t="s">
        <v>372</v>
      </c>
      <c r="F5" s="84" t="s">
        <v>347</v>
      </c>
      <c r="I5" s="83" t="s">
        <v>293</v>
      </c>
      <c r="J5" s="84" t="s">
        <v>321</v>
      </c>
      <c r="K5" s="84" t="s">
        <v>373</v>
      </c>
      <c r="L5" s="84" t="s">
        <v>364</v>
      </c>
      <c r="M5" s="84" t="s">
        <v>374</v>
      </c>
      <c r="P5" s="83" t="s">
        <v>293</v>
      </c>
      <c r="Q5" s="83" t="s">
        <v>294</v>
      </c>
      <c r="R5" s="83" t="s">
        <v>375</v>
      </c>
      <c r="S5" s="83" t="s">
        <v>376</v>
      </c>
      <c r="T5" s="83" t="s">
        <v>377</v>
      </c>
    </row>
    <row r="6">
      <c r="A6" s="86"/>
      <c r="B6" s="125">
        <v>1.0</v>
      </c>
      <c r="C6" s="125">
        <v>1.0</v>
      </c>
      <c r="D6" s="125">
        <v>200.0</v>
      </c>
      <c r="E6" s="125">
        <v>140.0</v>
      </c>
      <c r="F6" s="319" t="s">
        <v>378</v>
      </c>
      <c r="H6" s="320"/>
      <c r="I6" s="125">
        <v>1.0</v>
      </c>
      <c r="J6" s="125">
        <v>1.0</v>
      </c>
      <c r="K6" s="321">
        <v>1250.0</v>
      </c>
      <c r="L6" s="322" t="s">
        <v>379</v>
      </c>
      <c r="M6" s="323">
        <f>K6/L6</f>
        <v>0.6906077348</v>
      </c>
      <c r="P6" s="125">
        <v>1.0</v>
      </c>
      <c r="Q6" s="125">
        <v>1.0</v>
      </c>
      <c r="R6" s="125">
        <v>168.0</v>
      </c>
      <c r="S6" s="324" t="s">
        <v>378</v>
      </c>
      <c r="T6" s="136">
        <f t="shared" ref="T6:T25" si="1">R6/S6</f>
        <v>0.08842105263</v>
      </c>
    </row>
    <row r="7">
      <c r="A7" s="86"/>
      <c r="B7" s="160">
        <v>2.0</v>
      </c>
      <c r="C7" s="160">
        <v>2.0</v>
      </c>
      <c r="D7" s="325">
        <v>200.0</v>
      </c>
      <c r="E7" s="326">
        <f t="shared" ref="E7:E9" si="2">D7+F7-F6</f>
        <v>150</v>
      </c>
      <c r="F7" s="327" t="s">
        <v>380</v>
      </c>
      <c r="H7" s="320"/>
      <c r="I7" s="160">
        <v>2.0</v>
      </c>
      <c r="J7" s="160">
        <v>2.0</v>
      </c>
      <c r="K7" s="328">
        <v>1180.0</v>
      </c>
      <c r="L7" s="114"/>
      <c r="M7" s="329">
        <f>K7/L6</f>
        <v>0.6519337017</v>
      </c>
      <c r="P7" s="160">
        <v>2.0</v>
      </c>
      <c r="Q7" s="160">
        <v>2.0</v>
      </c>
      <c r="R7" s="325">
        <v>175.0</v>
      </c>
      <c r="S7" s="330" t="s">
        <v>380</v>
      </c>
      <c r="T7" s="331">
        <f t="shared" si="1"/>
        <v>0.09459459459</v>
      </c>
    </row>
    <row r="8">
      <c r="A8" s="86"/>
      <c r="B8" s="125">
        <v>3.0</v>
      </c>
      <c r="C8" s="125">
        <v>3.0</v>
      </c>
      <c r="D8" s="332">
        <v>200.0</v>
      </c>
      <c r="E8" s="333">
        <f t="shared" si="2"/>
        <v>188</v>
      </c>
      <c r="F8" s="319" t="s">
        <v>381</v>
      </c>
      <c r="H8" s="320"/>
      <c r="I8" s="125">
        <v>3.0</v>
      </c>
      <c r="J8" s="125">
        <v>3.0</v>
      </c>
      <c r="K8" s="321">
        <v>1300.0</v>
      </c>
      <c r="L8" s="115"/>
      <c r="M8" s="323">
        <f>K8/L6</f>
        <v>0.7182320442</v>
      </c>
      <c r="P8" s="125">
        <v>3.0</v>
      </c>
      <c r="Q8" s="125">
        <v>3.0</v>
      </c>
      <c r="R8" s="332">
        <v>177.0</v>
      </c>
      <c r="S8" s="324" t="s">
        <v>381</v>
      </c>
      <c r="T8" s="136">
        <f t="shared" si="1"/>
        <v>0.09630032644</v>
      </c>
    </row>
    <row r="9">
      <c r="A9" s="86"/>
      <c r="B9" s="160">
        <v>4.0</v>
      </c>
      <c r="C9" s="160">
        <v>4.0</v>
      </c>
      <c r="D9" s="325">
        <v>200.0</v>
      </c>
      <c r="E9" s="326">
        <f t="shared" si="2"/>
        <v>172</v>
      </c>
      <c r="F9" s="327" t="s">
        <v>379</v>
      </c>
      <c r="H9" s="320"/>
      <c r="I9" s="160">
        <v>4.0</v>
      </c>
      <c r="J9" s="160">
        <v>4.0</v>
      </c>
      <c r="K9" s="328">
        <v>1220.0</v>
      </c>
      <c r="L9" s="114"/>
      <c r="M9" s="329">
        <f>K9/L6</f>
        <v>0.6740331492</v>
      </c>
      <c r="P9" s="160">
        <v>4.0</v>
      </c>
      <c r="Q9" s="160">
        <v>4.0</v>
      </c>
      <c r="R9" s="325">
        <v>172.0</v>
      </c>
      <c r="S9" s="330" t="s">
        <v>379</v>
      </c>
      <c r="T9" s="331">
        <f t="shared" si="1"/>
        <v>0.09502762431</v>
      </c>
    </row>
    <row r="10">
      <c r="A10" s="86"/>
      <c r="B10" s="162" t="s">
        <v>382</v>
      </c>
      <c r="C10" s="163"/>
      <c r="D10" s="334">
        <v>1810.0</v>
      </c>
      <c r="E10" s="188"/>
      <c r="F10" s="163"/>
      <c r="H10" s="320"/>
      <c r="I10" s="125">
        <v>5.0</v>
      </c>
      <c r="J10" s="125">
        <v>5.0</v>
      </c>
      <c r="K10" s="321">
        <v>1280.0</v>
      </c>
      <c r="L10" s="115"/>
      <c r="M10" s="323">
        <f>K10/L6</f>
        <v>0.7071823204</v>
      </c>
      <c r="P10" s="162" t="s">
        <v>382</v>
      </c>
      <c r="Q10" s="163"/>
      <c r="R10" s="335">
        <v>172.0</v>
      </c>
      <c r="S10" s="336">
        <v>1810.0</v>
      </c>
      <c r="T10" s="337">
        <f t="shared" si="1"/>
        <v>0.09502762431</v>
      </c>
    </row>
    <row r="11">
      <c r="A11" s="86"/>
      <c r="B11" s="160">
        <v>5.0</v>
      </c>
      <c r="C11" s="160">
        <v>1.0</v>
      </c>
      <c r="D11" s="325">
        <v>200.0</v>
      </c>
      <c r="E11" s="338">
        <f>D10+D11-F11</f>
        <v>10</v>
      </c>
      <c r="F11" s="339">
        <v>2000.0</v>
      </c>
      <c r="H11" s="320"/>
      <c r="I11" s="160">
        <v>6.0</v>
      </c>
      <c r="J11" s="160">
        <v>6.0</v>
      </c>
      <c r="K11" s="328">
        <v>1200.0</v>
      </c>
      <c r="L11" s="114"/>
      <c r="M11" s="329">
        <f>K11/L6</f>
        <v>0.6629834254</v>
      </c>
      <c r="P11" s="160">
        <v>5.0</v>
      </c>
      <c r="Q11" s="160">
        <v>1.0</v>
      </c>
      <c r="R11" s="325">
        <v>180.0</v>
      </c>
      <c r="S11" s="325">
        <v>2000.0</v>
      </c>
      <c r="T11" s="331">
        <f t="shared" si="1"/>
        <v>0.09</v>
      </c>
    </row>
    <row r="12">
      <c r="A12" s="86"/>
      <c r="B12" s="125">
        <v>6.0</v>
      </c>
      <c r="C12" s="125">
        <v>2.0</v>
      </c>
      <c r="D12" s="332">
        <v>200.0</v>
      </c>
      <c r="E12" s="340">
        <f t="shared" ref="E12:E14" si="3">F11+D12-F12</f>
        <v>243</v>
      </c>
      <c r="F12" s="341">
        <v>1957.0</v>
      </c>
      <c r="H12" s="320"/>
      <c r="I12" s="125">
        <v>7.0</v>
      </c>
      <c r="J12" s="125">
        <v>7.0</v>
      </c>
      <c r="K12" s="321">
        <v>1350.0</v>
      </c>
      <c r="L12" s="115"/>
      <c r="M12" s="323">
        <f>K12/L6</f>
        <v>0.7458563536</v>
      </c>
      <c r="P12" s="125">
        <v>6.0</v>
      </c>
      <c r="Q12" s="125">
        <v>2.0</v>
      </c>
      <c r="R12" s="332">
        <v>195.0</v>
      </c>
      <c r="S12" s="332">
        <v>1957.0</v>
      </c>
      <c r="T12" s="136">
        <f t="shared" si="1"/>
        <v>0.09964230966</v>
      </c>
    </row>
    <row r="13">
      <c r="A13" s="86"/>
      <c r="B13" s="160">
        <v>7.0</v>
      </c>
      <c r="C13" s="160">
        <v>3.0</v>
      </c>
      <c r="D13" s="325">
        <v>200.0</v>
      </c>
      <c r="E13" s="338">
        <f t="shared" si="3"/>
        <v>27</v>
      </c>
      <c r="F13" s="339">
        <v>2130.0</v>
      </c>
      <c r="H13" s="320"/>
      <c r="I13" s="160">
        <v>8.0</v>
      </c>
      <c r="J13" s="160">
        <v>8.0</v>
      </c>
      <c r="K13" s="328">
        <v>1270.0</v>
      </c>
      <c r="L13" s="114"/>
      <c r="M13" s="329">
        <f>K13/L6</f>
        <v>0.7016574586</v>
      </c>
      <c r="P13" s="160">
        <v>7.0</v>
      </c>
      <c r="Q13" s="160">
        <v>3.0</v>
      </c>
      <c r="R13" s="325">
        <v>210.0</v>
      </c>
      <c r="S13" s="325">
        <v>2130.0</v>
      </c>
      <c r="T13" s="331">
        <f t="shared" si="1"/>
        <v>0.0985915493</v>
      </c>
    </row>
    <row r="14">
      <c r="A14" s="86"/>
      <c r="B14" s="125">
        <v>8.0</v>
      </c>
      <c r="C14" s="125">
        <v>4.0</v>
      </c>
      <c r="D14" s="332">
        <v>200.0</v>
      </c>
      <c r="E14" s="340">
        <f t="shared" si="3"/>
        <v>94</v>
      </c>
      <c r="F14" s="341">
        <v>2236.0</v>
      </c>
      <c r="H14" s="320"/>
      <c r="I14" s="125">
        <v>9.0</v>
      </c>
      <c r="J14" s="125">
        <v>9.0</v>
      </c>
      <c r="K14" s="321">
        <v>1190.0</v>
      </c>
      <c r="L14" s="115"/>
      <c r="M14" s="323">
        <f>K14/L6</f>
        <v>0.6574585635</v>
      </c>
      <c r="P14" s="125">
        <v>8.0</v>
      </c>
      <c r="Q14" s="125">
        <v>4.0</v>
      </c>
      <c r="R14" s="332">
        <v>219.0</v>
      </c>
      <c r="S14" s="332">
        <v>2236.0</v>
      </c>
      <c r="T14" s="136">
        <f t="shared" si="1"/>
        <v>0.09794275492</v>
      </c>
    </row>
    <row r="15">
      <c r="A15" s="86"/>
      <c r="B15" s="342" t="s">
        <v>383</v>
      </c>
      <c r="C15" s="192"/>
      <c r="D15" s="343">
        <v>2236.0</v>
      </c>
      <c r="E15" s="191"/>
      <c r="F15" s="192"/>
      <c r="H15" s="320"/>
      <c r="I15" s="160">
        <v>10.0</v>
      </c>
      <c r="J15" s="160">
        <v>10.0</v>
      </c>
      <c r="K15" s="328">
        <v>1320.0</v>
      </c>
      <c r="L15" s="114"/>
      <c r="M15" s="329">
        <f>K15/L6</f>
        <v>0.729281768</v>
      </c>
      <c r="P15" s="342" t="s">
        <v>383</v>
      </c>
      <c r="Q15" s="192"/>
      <c r="R15" s="344">
        <v>219.0</v>
      </c>
      <c r="S15" s="345">
        <v>2236.0</v>
      </c>
      <c r="T15" s="346">
        <f t="shared" si="1"/>
        <v>0.09794275492</v>
      </c>
    </row>
    <row r="16">
      <c r="A16" s="86"/>
      <c r="B16" s="347">
        <v>9.0</v>
      </c>
      <c r="C16" s="348">
        <v>1.0</v>
      </c>
      <c r="D16" s="349">
        <v>200.0</v>
      </c>
      <c r="E16" s="349">
        <f>D15+D16-F16</f>
        <v>286</v>
      </c>
      <c r="F16" s="350">
        <v>2150.0</v>
      </c>
      <c r="H16" s="320"/>
      <c r="I16" s="125">
        <v>11.0</v>
      </c>
      <c r="J16" s="125">
        <v>11.0</v>
      </c>
      <c r="K16" s="321">
        <v>1240.0</v>
      </c>
      <c r="L16" s="115"/>
      <c r="M16" s="323">
        <f>K16/L6</f>
        <v>0.6850828729</v>
      </c>
      <c r="P16" s="347">
        <v>9.0</v>
      </c>
      <c r="Q16" s="347">
        <v>1.0</v>
      </c>
      <c r="R16" s="351">
        <v>211.0</v>
      </c>
      <c r="S16" s="351">
        <v>2150.0</v>
      </c>
      <c r="T16" s="136">
        <f t="shared" si="1"/>
        <v>0.09813953488</v>
      </c>
    </row>
    <row r="17">
      <c r="A17" s="86"/>
      <c r="B17" s="352">
        <v>10.0</v>
      </c>
      <c r="C17" s="353">
        <v>2.0</v>
      </c>
      <c r="D17" s="354">
        <v>200.0</v>
      </c>
      <c r="E17" s="354">
        <f t="shared" ref="E17:E19" si="4">F16+D17-F17</f>
        <v>264</v>
      </c>
      <c r="F17" s="355">
        <v>2086.0</v>
      </c>
      <c r="H17" s="320"/>
      <c r="I17" s="160">
        <v>12.0</v>
      </c>
      <c r="J17" s="160">
        <v>12.0</v>
      </c>
      <c r="K17" s="328">
        <v>1210.0</v>
      </c>
      <c r="L17" s="116"/>
      <c r="M17" s="329">
        <f>K17/L6</f>
        <v>0.6685082873</v>
      </c>
      <c r="P17" s="356">
        <v>10.0</v>
      </c>
      <c r="Q17" s="356">
        <v>2.0</v>
      </c>
      <c r="R17" s="357">
        <v>185.0</v>
      </c>
      <c r="S17" s="357">
        <v>2086.0</v>
      </c>
      <c r="T17" s="331">
        <f t="shared" si="1"/>
        <v>0.0886864813</v>
      </c>
    </row>
    <row r="18">
      <c r="A18" s="86"/>
      <c r="B18" s="358">
        <v>11.0</v>
      </c>
      <c r="C18" s="359">
        <v>3.0</v>
      </c>
      <c r="D18" s="360">
        <v>200.0</v>
      </c>
      <c r="E18" s="360">
        <f t="shared" si="4"/>
        <v>386</v>
      </c>
      <c r="F18" s="361">
        <v>1900.0</v>
      </c>
      <c r="H18" s="320"/>
      <c r="I18" s="162" t="s">
        <v>384</v>
      </c>
      <c r="J18" s="163"/>
      <c r="K18" s="362">
        <f>SUM(K6:K17)</f>
        <v>15010</v>
      </c>
      <c r="L18" s="363" t="s">
        <v>379</v>
      </c>
      <c r="M18" s="364">
        <f>SUM(M6:M17)</f>
        <v>8.29281768</v>
      </c>
      <c r="P18" s="347">
        <v>11.0</v>
      </c>
      <c r="Q18" s="347">
        <v>3.0</v>
      </c>
      <c r="R18" s="351">
        <v>198.0</v>
      </c>
      <c r="S18" s="351">
        <v>1900.0</v>
      </c>
      <c r="T18" s="136">
        <f t="shared" si="1"/>
        <v>0.1042105263</v>
      </c>
    </row>
    <row r="19">
      <c r="A19" s="86"/>
      <c r="B19" s="352">
        <v>12.0</v>
      </c>
      <c r="C19" s="353">
        <v>4.0</v>
      </c>
      <c r="D19" s="354">
        <v>200.0</v>
      </c>
      <c r="E19" s="354">
        <f t="shared" si="4"/>
        <v>285</v>
      </c>
      <c r="F19" s="355">
        <v>1815.0</v>
      </c>
      <c r="H19" s="320"/>
      <c r="I19" s="356">
        <v>13.0</v>
      </c>
      <c r="J19" s="365">
        <v>1.0</v>
      </c>
      <c r="K19" s="366">
        <v>954.0</v>
      </c>
      <c r="L19" s="367" t="s">
        <v>385</v>
      </c>
      <c r="M19" s="368">
        <f>K19/L19</f>
        <v>0.4266547406</v>
      </c>
      <c r="P19" s="356">
        <v>12.0</v>
      </c>
      <c r="Q19" s="356">
        <v>4.0</v>
      </c>
      <c r="R19" s="357">
        <v>180.0</v>
      </c>
      <c r="S19" s="357">
        <v>1815.0</v>
      </c>
      <c r="T19" s="331">
        <f t="shared" si="1"/>
        <v>0.09917355372</v>
      </c>
    </row>
    <row r="20">
      <c r="A20" s="86"/>
      <c r="B20" s="369" t="s">
        <v>386</v>
      </c>
      <c r="C20" s="163"/>
      <c r="D20" s="370">
        <v>1815.0</v>
      </c>
      <c r="E20" s="188"/>
      <c r="F20" s="163"/>
      <c r="H20" s="320"/>
      <c r="I20" s="347">
        <v>14.0</v>
      </c>
      <c r="J20" s="271">
        <v>2.0</v>
      </c>
      <c r="K20" s="371">
        <v>1031.0</v>
      </c>
      <c r="L20" s="115"/>
      <c r="M20" s="372">
        <f>K20/L19</f>
        <v>0.4610912343</v>
      </c>
      <c r="P20" s="369" t="s">
        <v>386</v>
      </c>
      <c r="Q20" s="163"/>
      <c r="R20" s="335">
        <v>180.0</v>
      </c>
      <c r="S20" s="373">
        <v>1815.0</v>
      </c>
      <c r="T20" s="337">
        <f t="shared" si="1"/>
        <v>0.09917355372</v>
      </c>
    </row>
    <row r="21">
      <c r="A21" s="86"/>
      <c r="B21" s="356">
        <v>13.0</v>
      </c>
      <c r="C21" s="374">
        <v>1.0</v>
      </c>
      <c r="D21" s="375">
        <v>200.0</v>
      </c>
      <c r="E21" s="375">
        <f>D20+D21-F21</f>
        <v>165</v>
      </c>
      <c r="F21" s="376">
        <v>1850.0</v>
      </c>
      <c r="H21" s="320"/>
      <c r="I21" s="356">
        <v>15.0</v>
      </c>
      <c r="J21" s="365">
        <v>3.0</v>
      </c>
      <c r="K21" s="366">
        <v>876.0</v>
      </c>
      <c r="L21" s="114"/>
      <c r="M21" s="368">
        <f>K21/L19</f>
        <v>0.3917710197</v>
      </c>
      <c r="P21" s="356">
        <v>13.0</v>
      </c>
      <c r="Q21" s="356">
        <v>1.0</v>
      </c>
      <c r="R21" s="357">
        <v>169.0</v>
      </c>
      <c r="S21" s="357">
        <v>1850.0</v>
      </c>
      <c r="T21" s="331">
        <f t="shared" si="1"/>
        <v>0.09135135135</v>
      </c>
    </row>
    <row r="22">
      <c r="A22" s="86"/>
      <c r="B22" s="358">
        <v>14.0</v>
      </c>
      <c r="C22" s="359">
        <v>2.0</v>
      </c>
      <c r="D22" s="360">
        <v>200.0</v>
      </c>
      <c r="E22" s="360">
        <f t="shared" ref="E22:E24" si="5">F21+D22-F22</f>
        <v>350</v>
      </c>
      <c r="F22" s="361">
        <v>1700.0</v>
      </c>
      <c r="H22" s="320"/>
      <c r="I22" s="347">
        <v>16.0</v>
      </c>
      <c r="J22" s="271">
        <v>4.0</v>
      </c>
      <c r="K22" s="371">
        <v>1122.0</v>
      </c>
      <c r="L22" s="115"/>
      <c r="M22" s="372">
        <f>K22/L19</f>
        <v>0.5017889088</v>
      </c>
      <c r="P22" s="347">
        <v>14.0</v>
      </c>
      <c r="Q22" s="347">
        <v>2.0</v>
      </c>
      <c r="R22" s="351">
        <v>175.0</v>
      </c>
      <c r="S22" s="351">
        <v>1700.0</v>
      </c>
      <c r="T22" s="136">
        <f t="shared" si="1"/>
        <v>0.1029411765</v>
      </c>
    </row>
    <row r="23">
      <c r="A23" s="86"/>
      <c r="B23" s="352">
        <v>15.0</v>
      </c>
      <c r="C23" s="353">
        <v>3.0</v>
      </c>
      <c r="D23" s="354">
        <v>200.0</v>
      </c>
      <c r="E23" s="354">
        <f t="shared" si="5"/>
        <v>250</v>
      </c>
      <c r="F23" s="355">
        <v>1650.0</v>
      </c>
      <c r="H23" s="320"/>
      <c r="I23" s="356">
        <v>17.0</v>
      </c>
      <c r="J23" s="365">
        <v>5.0</v>
      </c>
      <c r="K23" s="366">
        <v>1009.0</v>
      </c>
      <c r="L23" s="114"/>
      <c r="M23" s="368">
        <f>K23/L19</f>
        <v>0.4512522361</v>
      </c>
      <c r="P23" s="356">
        <v>15.0</v>
      </c>
      <c r="Q23" s="356">
        <v>3.0</v>
      </c>
      <c r="R23" s="357">
        <v>162.0</v>
      </c>
      <c r="S23" s="357">
        <v>1650.0</v>
      </c>
      <c r="T23" s="331">
        <f t="shared" si="1"/>
        <v>0.09818181818</v>
      </c>
    </row>
    <row r="24">
      <c r="A24" s="86"/>
      <c r="B24" s="358">
        <v>16.0</v>
      </c>
      <c r="C24" s="359">
        <v>4.0</v>
      </c>
      <c r="D24" s="360">
        <v>200.0</v>
      </c>
      <c r="E24" s="360">
        <f t="shared" si="5"/>
        <v>312</v>
      </c>
      <c r="F24" s="361">
        <v>1538.0</v>
      </c>
      <c r="H24" s="320"/>
      <c r="I24" s="347">
        <v>18.0</v>
      </c>
      <c r="J24" s="271">
        <v>6.0</v>
      </c>
      <c r="K24" s="371">
        <v>987.0</v>
      </c>
      <c r="L24" s="115"/>
      <c r="M24" s="372">
        <f>K24/L19</f>
        <v>0.4414132379</v>
      </c>
      <c r="P24" s="347">
        <v>16.0</v>
      </c>
      <c r="Q24" s="347">
        <v>4.0</v>
      </c>
      <c r="R24" s="351">
        <v>162.0</v>
      </c>
      <c r="S24" s="351">
        <v>1538.0</v>
      </c>
      <c r="T24" s="136">
        <f t="shared" si="1"/>
        <v>0.1053315995</v>
      </c>
    </row>
    <row r="25">
      <c r="A25" s="86"/>
      <c r="B25" s="377" t="s">
        <v>387</v>
      </c>
      <c r="C25" s="192"/>
      <c r="D25" s="378">
        <v>1538.0</v>
      </c>
      <c r="E25" s="191"/>
      <c r="F25" s="192"/>
      <c r="H25" s="320"/>
      <c r="I25" s="356">
        <v>19.0</v>
      </c>
      <c r="J25" s="365">
        <v>7.0</v>
      </c>
      <c r="K25" s="366">
        <v>1014.0</v>
      </c>
      <c r="L25" s="114"/>
      <c r="M25" s="368">
        <f>K25/L19</f>
        <v>0.4534883721</v>
      </c>
      <c r="P25" s="377" t="s">
        <v>387</v>
      </c>
      <c r="Q25" s="192"/>
      <c r="R25" s="344">
        <v>162.0</v>
      </c>
      <c r="S25" s="379">
        <v>1538.0</v>
      </c>
      <c r="T25" s="346">
        <f t="shared" si="1"/>
        <v>0.1053315995</v>
      </c>
    </row>
    <row r="26">
      <c r="A26" s="86"/>
      <c r="B26" s="380"/>
      <c r="C26" s="381"/>
      <c r="D26" s="382"/>
      <c r="E26" s="382"/>
      <c r="F26" s="383"/>
      <c r="H26" s="320"/>
      <c r="I26" s="347">
        <v>20.0</v>
      </c>
      <c r="J26" s="271">
        <v>8.0</v>
      </c>
      <c r="K26" s="371">
        <v>865.0</v>
      </c>
      <c r="L26" s="115"/>
      <c r="M26" s="372">
        <f>K26/L19</f>
        <v>0.3868515206</v>
      </c>
    </row>
    <row r="27">
      <c r="A27" s="86"/>
      <c r="B27" s="380"/>
      <c r="C27" s="381"/>
      <c r="D27" s="382"/>
      <c r="E27" s="382"/>
      <c r="F27" s="383"/>
      <c r="H27" s="320"/>
      <c r="I27" s="356">
        <v>21.0</v>
      </c>
      <c r="J27" s="365">
        <v>9.0</v>
      </c>
      <c r="K27" s="366">
        <v>1018.0</v>
      </c>
      <c r="L27" s="114"/>
      <c r="M27" s="368">
        <f>K27/L19</f>
        <v>0.4552772809</v>
      </c>
    </row>
    <row r="28">
      <c r="A28" s="86"/>
      <c r="B28" s="68" t="s">
        <v>388</v>
      </c>
      <c r="C28" s="384"/>
      <c r="D28" s="384"/>
      <c r="E28" s="385"/>
      <c r="F28" s="72"/>
      <c r="H28" s="320"/>
      <c r="I28" s="347">
        <v>22.0</v>
      </c>
      <c r="J28" s="271">
        <v>10.0</v>
      </c>
      <c r="K28" s="371">
        <v>913.0</v>
      </c>
      <c r="L28" s="115"/>
      <c r="M28" s="372">
        <f>K28/L19</f>
        <v>0.4083184258</v>
      </c>
    </row>
    <row r="29">
      <c r="A29" s="86"/>
      <c r="B29" s="386"/>
      <c r="E29" s="387"/>
      <c r="F29" s="72"/>
      <c r="H29" s="320"/>
      <c r="I29" s="356">
        <v>23.0</v>
      </c>
      <c r="J29" s="365">
        <v>11.0</v>
      </c>
      <c r="K29" s="366">
        <v>772.0</v>
      </c>
      <c r="L29" s="114"/>
      <c r="M29" s="368">
        <f>K29/L19</f>
        <v>0.3452593918</v>
      </c>
    </row>
    <row r="30">
      <c r="A30" s="86"/>
      <c r="B30" s="388"/>
      <c r="E30" s="389"/>
      <c r="F30" s="72"/>
      <c r="H30" s="320"/>
      <c r="I30" s="347">
        <v>24.0</v>
      </c>
      <c r="J30" s="271">
        <v>12.0</v>
      </c>
      <c r="K30" s="371">
        <v>907.0</v>
      </c>
      <c r="L30" s="118"/>
      <c r="M30" s="372">
        <f>K30/L19</f>
        <v>0.4056350626</v>
      </c>
    </row>
    <row r="31">
      <c r="A31" s="86"/>
      <c r="B31" s="390"/>
      <c r="C31" s="203"/>
      <c r="D31" s="203"/>
      <c r="E31" s="204"/>
      <c r="F31" s="72"/>
      <c r="I31" s="342" t="s">
        <v>389</v>
      </c>
      <c r="J31" s="192"/>
      <c r="K31" s="391">
        <f>SUM(K19:K30)</f>
        <v>11468</v>
      </c>
      <c r="L31" s="391">
        <v>2236.0</v>
      </c>
      <c r="M31" s="392">
        <f>SUM(M19:M30)</f>
        <v>5.128801431</v>
      </c>
    </row>
    <row r="32">
      <c r="A32" s="86"/>
      <c r="B32" s="83" t="s">
        <v>293</v>
      </c>
      <c r="C32" s="84" t="s">
        <v>321</v>
      </c>
      <c r="D32" s="83" t="s">
        <v>390</v>
      </c>
      <c r="E32" s="84" t="s">
        <v>377</v>
      </c>
      <c r="F32" s="85"/>
      <c r="I32" s="393">
        <v>25.0</v>
      </c>
      <c r="J32" s="394">
        <v>1.0</v>
      </c>
      <c r="K32" s="395">
        <v>403.0</v>
      </c>
      <c r="L32" s="396" t="s">
        <v>391</v>
      </c>
      <c r="M32" s="397">
        <f>K32/L32</f>
        <v>0.2220385675</v>
      </c>
    </row>
    <row r="33">
      <c r="A33" s="86"/>
      <c r="B33" s="160">
        <v>1.0</v>
      </c>
      <c r="C33" s="160">
        <v>1.0</v>
      </c>
      <c r="D33" s="328">
        <v>4.4</v>
      </c>
      <c r="E33" s="398">
        <f t="shared" ref="E33:E84" si="6">D33/5</f>
        <v>0.88</v>
      </c>
      <c r="F33" s="85"/>
      <c r="I33" s="399">
        <v>26.0</v>
      </c>
      <c r="J33" s="400">
        <v>2.0</v>
      </c>
      <c r="K33" s="401">
        <v>347.0</v>
      </c>
      <c r="L33" s="402"/>
      <c r="M33" s="403">
        <f>K33/L32</f>
        <v>0.191184573</v>
      </c>
    </row>
    <row r="34">
      <c r="A34" s="86"/>
      <c r="B34" s="125">
        <v>2.0</v>
      </c>
      <c r="C34" s="125">
        <v>2.0</v>
      </c>
      <c r="D34" s="321">
        <v>4.2</v>
      </c>
      <c r="E34" s="404">
        <f t="shared" si="6"/>
        <v>0.84</v>
      </c>
      <c r="F34" s="85"/>
      <c r="I34" s="393">
        <v>27.0</v>
      </c>
      <c r="J34" s="394">
        <v>3.0</v>
      </c>
      <c r="K34" s="395">
        <v>200.0</v>
      </c>
      <c r="L34" s="402"/>
      <c r="M34" s="397">
        <f>K34/L32</f>
        <v>0.1101928375</v>
      </c>
    </row>
    <row r="35">
      <c r="A35" s="86"/>
      <c r="B35" s="160">
        <v>3.0</v>
      </c>
      <c r="C35" s="160">
        <v>3.0</v>
      </c>
      <c r="D35" s="328">
        <v>4.3</v>
      </c>
      <c r="E35" s="398">
        <f t="shared" si="6"/>
        <v>0.86</v>
      </c>
      <c r="F35" s="85"/>
      <c r="I35" s="399">
        <v>28.0</v>
      </c>
      <c r="J35" s="400">
        <v>4.0</v>
      </c>
      <c r="K35" s="401">
        <v>103.0</v>
      </c>
      <c r="L35" s="402"/>
      <c r="M35" s="403">
        <f>K35/L32</f>
        <v>0.05674931129</v>
      </c>
    </row>
    <row r="36">
      <c r="A36" s="86"/>
      <c r="B36" s="125">
        <v>4.0</v>
      </c>
      <c r="C36" s="125">
        <v>4.0</v>
      </c>
      <c r="D36" s="321">
        <v>4.6</v>
      </c>
      <c r="E36" s="404">
        <f t="shared" si="6"/>
        <v>0.92</v>
      </c>
      <c r="F36" s="85"/>
      <c r="I36" s="393">
        <v>29.0</v>
      </c>
      <c r="J36" s="394">
        <v>5.0</v>
      </c>
      <c r="K36" s="395">
        <v>67.0</v>
      </c>
      <c r="L36" s="402"/>
      <c r="M36" s="397">
        <f>K36/L32</f>
        <v>0.03691460055</v>
      </c>
    </row>
    <row r="37">
      <c r="A37" s="86"/>
      <c r="B37" s="160">
        <v>5.0</v>
      </c>
      <c r="C37" s="160">
        <v>5.0</v>
      </c>
      <c r="D37" s="328">
        <v>4.1</v>
      </c>
      <c r="E37" s="398">
        <f t="shared" si="6"/>
        <v>0.82</v>
      </c>
      <c r="F37" s="85"/>
      <c r="I37" s="399">
        <v>30.0</v>
      </c>
      <c r="J37" s="400">
        <v>6.0</v>
      </c>
      <c r="K37" s="401">
        <v>50.0</v>
      </c>
      <c r="L37" s="402"/>
      <c r="M37" s="403">
        <f>K37/L32</f>
        <v>0.02754820937</v>
      </c>
    </row>
    <row r="38">
      <c r="A38" s="86"/>
      <c r="B38" s="125">
        <v>6.0</v>
      </c>
      <c r="C38" s="125">
        <v>6.0</v>
      </c>
      <c r="D38" s="321">
        <v>4.4</v>
      </c>
      <c r="E38" s="404">
        <f t="shared" si="6"/>
        <v>0.88</v>
      </c>
      <c r="F38" s="85"/>
      <c r="I38" s="393">
        <v>31.0</v>
      </c>
      <c r="J38" s="394">
        <v>7.0</v>
      </c>
      <c r="K38" s="395">
        <v>100.0</v>
      </c>
      <c r="L38" s="402"/>
      <c r="M38" s="397">
        <f>K38/L32</f>
        <v>0.05509641873</v>
      </c>
    </row>
    <row r="39">
      <c r="A39" s="86"/>
      <c r="B39" s="160">
        <v>7.0</v>
      </c>
      <c r="C39" s="160">
        <v>7.0</v>
      </c>
      <c r="D39" s="328">
        <v>4.4</v>
      </c>
      <c r="E39" s="398">
        <f t="shared" si="6"/>
        <v>0.88</v>
      </c>
      <c r="F39" s="85"/>
      <c r="I39" s="399">
        <v>32.0</v>
      </c>
      <c r="J39" s="400">
        <v>8.0</v>
      </c>
      <c r="K39" s="401">
        <v>70.0</v>
      </c>
      <c r="L39" s="402"/>
      <c r="M39" s="403">
        <f>K39/L32</f>
        <v>0.03856749311</v>
      </c>
    </row>
    <row r="40">
      <c r="A40" s="86"/>
      <c r="B40" s="125">
        <v>8.0</v>
      </c>
      <c r="C40" s="125">
        <v>8.0</v>
      </c>
      <c r="D40" s="321">
        <v>4.0</v>
      </c>
      <c r="E40" s="404">
        <f t="shared" si="6"/>
        <v>0.8</v>
      </c>
      <c r="F40" s="85"/>
      <c r="I40" s="393">
        <v>33.0</v>
      </c>
      <c r="J40" s="394">
        <v>9.0</v>
      </c>
      <c r="K40" s="395">
        <v>98.0</v>
      </c>
      <c r="L40" s="402"/>
      <c r="M40" s="397">
        <f>K40/L32</f>
        <v>0.05399449036</v>
      </c>
    </row>
    <row r="41">
      <c r="A41" s="86"/>
      <c r="B41" s="160">
        <v>9.0</v>
      </c>
      <c r="C41" s="160">
        <v>9.0</v>
      </c>
      <c r="D41" s="328">
        <v>4.2</v>
      </c>
      <c r="E41" s="398">
        <f t="shared" si="6"/>
        <v>0.84</v>
      </c>
      <c r="F41" s="85"/>
      <c r="I41" s="399">
        <v>34.0</v>
      </c>
      <c r="J41" s="400">
        <v>10.0</v>
      </c>
      <c r="K41" s="401">
        <v>212.0</v>
      </c>
      <c r="L41" s="402"/>
      <c r="M41" s="403">
        <f>K41/L32</f>
        <v>0.1168044077</v>
      </c>
    </row>
    <row r="42">
      <c r="A42" s="86"/>
      <c r="B42" s="125">
        <v>10.0</v>
      </c>
      <c r="C42" s="125">
        <v>10.0</v>
      </c>
      <c r="D42" s="321">
        <v>4.5</v>
      </c>
      <c r="E42" s="404">
        <f t="shared" si="6"/>
        <v>0.9</v>
      </c>
      <c r="F42" s="85"/>
      <c r="I42" s="393">
        <v>35.0</v>
      </c>
      <c r="J42" s="394">
        <v>11.0</v>
      </c>
      <c r="K42" s="395">
        <v>400.0</v>
      </c>
      <c r="L42" s="402"/>
      <c r="M42" s="397">
        <f>K42/L32</f>
        <v>0.2203856749</v>
      </c>
    </row>
    <row r="43">
      <c r="A43" s="86"/>
      <c r="B43" s="160">
        <v>11.0</v>
      </c>
      <c r="C43" s="160">
        <v>11.0</v>
      </c>
      <c r="D43" s="328">
        <v>4.2</v>
      </c>
      <c r="E43" s="398">
        <f t="shared" si="6"/>
        <v>0.84</v>
      </c>
      <c r="F43" s="85"/>
      <c r="I43" s="399">
        <v>36.0</v>
      </c>
      <c r="J43" s="400">
        <v>12.0</v>
      </c>
      <c r="K43" s="401">
        <v>369.0</v>
      </c>
      <c r="L43" s="405"/>
      <c r="M43" s="403">
        <f>K43/L32</f>
        <v>0.2033057851</v>
      </c>
    </row>
    <row r="44">
      <c r="A44" s="86"/>
      <c r="B44" s="125">
        <v>12.0</v>
      </c>
      <c r="C44" s="125">
        <v>12.0</v>
      </c>
      <c r="D44" s="321">
        <v>4.4</v>
      </c>
      <c r="E44" s="404">
        <f t="shared" si="6"/>
        <v>0.88</v>
      </c>
      <c r="F44" s="85"/>
      <c r="I44" s="406" t="s">
        <v>392</v>
      </c>
      <c r="J44" s="38"/>
      <c r="K44" s="407">
        <f>SUM(K32:K43)</f>
        <v>2419</v>
      </c>
      <c r="L44" s="407">
        <v>1815.0</v>
      </c>
      <c r="M44" s="408">
        <f>SUM(M32:M43)</f>
        <v>1.332782369</v>
      </c>
    </row>
    <row r="45">
      <c r="A45" s="86"/>
      <c r="B45" s="342" t="s">
        <v>393</v>
      </c>
      <c r="C45" s="192"/>
      <c r="D45" s="409">
        <f>AVERAGE(D33:D44)</f>
        <v>4.308333333</v>
      </c>
      <c r="E45" s="398">
        <f t="shared" si="6"/>
        <v>0.8616666667</v>
      </c>
      <c r="F45" s="85"/>
      <c r="I45" s="399">
        <v>37.0</v>
      </c>
      <c r="J45" s="400">
        <v>1.0</v>
      </c>
      <c r="K45" s="410">
        <v>6846.0</v>
      </c>
      <c r="L45" s="411" t="s">
        <v>394</v>
      </c>
      <c r="M45" s="412">
        <f>K45/L45</f>
        <v>4.451235371</v>
      </c>
    </row>
    <row r="46">
      <c r="A46" s="86"/>
      <c r="B46" s="347">
        <v>13.0</v>
      </c>
      <c r="C46" s="271">
        <v>1.0</v>
      </c>
      <c r="D46" s="371">
        <v>4.5</v>
      </c>
      <c r="E46" s="404">
        <f t="shared" si="6"/>
        <v>0.9</v>
      </c>
      <c r="F46" s="85"/>
      <c r="I46" s="413">
        <v>38.0</v>
      </c>
      <c r="J46" s="414">
        <v>2.0</v>
      </c>
      <c r="K46" s="415">
        <v>9746.0</v>
      </c>
      <c r="L46" s="108"/>
      <c r="M46" s="416">
        <f>K46/L45</f>
        <v>6.33680104</v>
      </c>
    </row>
    <row r="47">
      <c r="A47" s="86"/>
      <c r="B47" s="356">
        <v>14.0</v>
      </c>
      <c r="C47" s="365">
        <v>2.0</v>
      </c>
      <c r="D47" s="366">
        <v>4.8</v>
      </c>
      <c r="E47" s="398">
        <f t="shared" si="6"/>
        <v>0.96</v>
      </c>
      <c r="F47" s="85"/>
      <c r="I47" s="399">
        <v>39.0</v>
      </c>
      <c r="J47" s="417">
        <v>3.0</v>
      </c>
      <c r="K47" s="418">
        <v>9354.0</v>
      </c>
      <c r="L47" s="108"/>
      <c r="M47" s="419">
        <f>K47/L45</f>
        <v>6.081924577</v>
      </c>
    </row>
    <row r="48">
      <c r="A48" s="86"/>
      <c r="B48" s="347">
        <v>15.0</v>
      </c>
      <c r="C48" s="271">
        <v>3.0</v>
      </c>
      <c r="D48" s="371">
        <v>4.6</v>
      </c>
      <c r="E48" s="404">
        <f t="shared" si="6"/>
        <v>0.92</v>
      </c>
      <c r="F48" s="85"/>
      <c r="I48" s="413">
        <v>40.0</v>
      </c>
      <c r="J48" s="414">
        <v>4.0</v>
      </c>
      <c r="K48" s="415">
        <v>6890.0</v>
      </c>
      <c r="L48" s="108"/>
      <c r="M48" s="416">
        <f>K48/L45</f>
        <v>4.479843953</v>
      </c>
    </row>
    <row r="49">
      <c r="A49" s="86"/>
      <c r="B49" s="356">
        <v>16.0</v>
      </c>
      <c r="C49" s="365">
        <v>4.0</v>
      </c>
      <c r="D49" s="366">
        <v>4.1</v>
      </c>
      <c r="E49" s="398">
        <f t="shared" si="6"/>
        <v>0.82</v>
      </c>
      <c r="F49" s="85"/>
      <c r="I49" s="399">
        <v>41.0</v>
      </c>
      <c r="J49" s="417">
        <v>5.0</v>
      </c>
      <c r="K49" s="418">
        <v>8531.0</v>
      </c>
      <c r="L49" s="108"/>
      <c r="M49" s="419">
        <f>K49/L45</f>
        <v>5.546814044</v>
      </c>
    </row>
    <row r="50">
      <c r="A50" s="86"/>
      <c r="B50" s="347">
        <v>17.0</v>
      </c>
      <c r="C50" s="271">
        <v>5.0</v>
      </c>
      <c r="D50" s="371">
        <v>4.7</v>
      </c>
      <c r="E50" s="404">
        <f t="shared" si="6"/>
        <v>0.94</v>
      </c>
      <c r="F50" s="85"/>
      <c r="I50" s="413">
        <v>42.0</v>
      </c>
      <c r="J50" s="414">
        <v>6.0</v>
      </c>
      <c r="K50" s="415">
        <v>7462.0</v>
      </c>
      <c r="L50" s="108"/>
      <c r="M50" s="416">
        <f>K50/L45</f>
        <v>4.851755527</v>
      </c>
    </row>
    <row r="51">
      <c r="A51" s="86"/>
      <c r="B51" s="356">
        <v>18.0</v>
      </c>
      <c r="C51" s="365">
        <v>6.0</v>
      </c>
      <c r="D51" s="366">
        <v>4.2</v>
      </c>
      <c r="E51" s="398">
        <f t="shared" si="6"/>
        <v>0.84</v>
      </c>
      <c r="F51" s="85"/>
      <c r="I51" s="399">
        <v>43.0</v>
      </c>
      <c r="J51" s="417">
        <v>7.0</v>
      </c>
      <c r="K51" s="418">
        <v>9023.0</v>
      </c>
      <c r="L51" s="108"/>
      <c r="M51" s="419">
        <f>K51/L45</f>
        <v>5.866710013</v>
      </c>
    </row>
    <row r="52">
      <c r="A52" s="86"/>
      <c r="B52" s="347">
        <v>19.0</v>
      </c>
      <c r="C52" s="271">
        <v>7.0</v>
      </c>
      <c r="D52" s="371">
        <v>4.9</v>
      </c>
      <c r="E52" s="404">
        <f t="shared" si="6"/>
        <v>0.98</v>
      </c>
      <c r="F52" s="85"/>
      <c r="I52" s="413">
        <v>44.0</v>
      </c>
      <c r="J52" s="414">
        <v>8.0</v>
      </c>
      <c r="K52" s="415">
        <v>9546.0</v>
      </c>
      <c r="L52" s="108"/>
      <c r="M52" s="416">
        <f>K52/L45</f>
        <v>6.206762029</v>
      </c>
    </row>
    <row r="53">
      <c r="A53" s="86"/>
      <c r="B53" s="356">
        <v>20.0</v>
      </c>
      <c r="C53" s="365">
        <v>8.0</v>
      </c>
      <c r="D53" s="366">
        <v>4.4</v>
      </c>
      <c r="E53" s="398">
        <f t="shared" si="6"/>
        <v>0.88</v>
      </c>
      <c r="F53" s="85"/>
      <c r="I53" s="399">
        <v>45.0</v>
      </c>
      <c r="J53" s="417">
        <v>9.0</v>
      </c>
      <c r="K53" s="418">
        <v>7985.0</v>
      </c>
      <c r="L53" s="108"/>
      <c r="M53" s="419">
        <f>K53/L45</f>
        <v>5.191807542</v>
      </c>
    </row>
    <row r="54">
      <c r="A54" s="86"/>
      <c r="B54" s="347">
        <v>21.0</v>
      </c>
      <c r="C54" s="271">
        <v>9.0</v>
      </c>
      <c r="D54" s="371">
        <v>4.5</v>
      </c>
      <c r="E54" s="404">
        <f t="shared" si="6"/>
        <v>0.9</v>
      </c>
      <c r="F54" s="85"/>
      <c r="I54" s="413">
        <v>46.0</v>
      </c>
      <c r="J54" s="414">
        <v>10.0</v>
      </c>
      <c r="K54" s="415">
        <v>10346.0</v>
      </c>
      <c r="L54" s="108"/>
      <c r="M54" s="416">
        <f>K54/L45</f>
        <v>6.726918075</v>
      </c>
    </row>
    <row r="55">
      <c r="A55" s="86"/>
      <c r="B55" s="356">
        <v>22.0</v>
      </c>
      <c r="C55" s="365">
        <v>10.0</v>
      </c>
      <c r="D55" s="366">
        <v>4.4</v>
      </c>
      <c r="E55" s="398">
        <f t="shared" si="6"/>
        <v>0.88</v>
      </c>
      <c r="F55" s="85"/>
      <c r="I55" s="399">
        <v>47.0</v>
      </c>
      <c r="J55" s="417">
        <v>11.0</v>
      </c>
      <c r="K55" s="418">
        <v>8471.0</v>
      </c>
      <c r="L55" s="108"/>
      <c r="M55" s="419">
        <f>K55/L45</f>
        <v>5.507802341</v>
      </c>
    </row>
    <row r="56">
      <c r="B56" s="347">
        <v>23.0</v>
      </c>
      <c r="C56" s="271">
        <v>11.0</v>
      </c>
      <c r="D56" s="371">
        <v>4.3</v>
      </c>
      <c r="E56" s="404">
        <f t="shared" si="6"/>
        <v>0.86</v>
      </c>
      <c r="F56" s="85"/>
      <c r="I56" s="413">
        <v>48.0</v>
      </c>
      <c r="J56" s="414">
        <v>12.0</v>
      </c>
      <c r="K56" s="415">
        <v>10235.0</v>
      </c>
      <c r="L56" s="49"/>
      <c r="M56" s="416">
        <f>K56/L45</f>
        <v>6.654746424</v>
      </c>
    </row>
    <row r="57">
      <c r="B57" s="356">
        <v>24.0</v>
      </c>
      <c r="C57" s="365">
        <v>12.0</v>
      </c>
      <c r="D57" s="366">
        <v>4.7</v>
      </c>
      <c r="E57" s="398">
        <f t="shared" si="6"/>
        <v>0.94</v>
      </c>
      <c r="F57" s="85"/>
      <c r="I57" s="406" t="s">
        <v>395</v>
      </c>
      <c r="J57" s="38"/>
      <c r="K57" s="407">
        <f>SUM(K45:K56)</f>
        <v>104435</v>
      </c>
      <c r="L57" s="407">
        <v>1538.0</v>
      </c>
      <c r="M57" s="420">
        <f>SUM(M45:M56)</f>
        <v>67.90312094</v>
      </c>
    </row>
    <row r="58">
      <c r="B58" s="162" t="s">
        <v>396</v>
      </c>
      <c r="C58" s="163"/>
      <c r="D58" s="421">
        <f>AVERAGE(D46:D57)</f>
        <v>4.508333333</v>
      </c>
      <c r="E58" s="404">
        <f t="shared" si="6"/>
        <v>0.9016666667</v>
      </c>
      <c r="F58" s="85"/>
    </row>
    <row r="59">
      <c r="B59" s="356">
        <v>25.0</v>
      </c>
      <c r="C59" s="365">
        <v>1.0</v>
      </c>
      <c r="D59" s="366">
        <v>4.4</v>
      </c>
      <c r="E59" s="398">
        <f t="shared" si="6"/>
        <v>0.88</v>
      </c>
      <c r="F59" s="85"/>
    </row>
    <row r="60">
      <c r="B60" s="347">
        <v>26.0</v>
      </c>
      <c r="C60" s="271">
        <v>2.0</v>
      </c>
      <c r="D60" s="371">
        <v>4.5</v>
      </c>
      <c r="E60" s="404">
        <f t="shared" si="6"/>
        <v>0.9</v>
      </c>
      <c r="F60" s="85"/>
    </row>
    <row r="61">
      <c r="B61" s="356">
        <v>27.0</v>
      </c>
      <c r="C61" s="365">
        <v>3.0</v>
      </c>
      <c r="D61" s="366">
        <v>4.3</v>
      </c>
      <c r="E61" s="398">
        <f t="shared" si="6"/>
        <v>0.86</v>
      </c>
      <c r="F61" s="85"/>
    </row>
    <row r="62">
      <c r="B62" s="347">
        <v>28.0</v>
      </c>
      <c r="C62" s="271">
        <v>4.0</v>
      </c>
      <c r="D62" s="371">
        <v>4.6</v>
      </c>
      <c r="E62" s="404">
        <f t="shared" si="6"/>
        <v>0.92</v>
      </c>
      <c r="F62" s="85"/>
    </row>
    <row r="63">
      <c r="B63" s="356">
        <v>29.0</v>
      </c>
      <c r="C63" s="365">
        <v>5.0</v>
      </c>
      <c r="D63" s="366">
        <v>4.2</v>
      </c>
      <c r="E63" s="398">
        <f t="shared" si="6"/>
        <v>0.84</v>
      </c>
      <c r="F63" s="85"/>
    </row>
    <row r="64">
      <c r="B64" s="347">
        <v>30.0</v>
      </c>
      <c r="C64" s="271">
        <v>6.0</v>
      </c>
      <c r="D64" s="371">
        <v>4.1</v>
      </c>
      <c r="E64" s="404">
        <f t="shared" si="6"/>
        <v>0.82</v>
      </c>
      <c r="F64" s="85"/>
    </row>
    <row r="65">
      <c r="B65" s="356">
        <v>31.0</v>
      </c>
      <c r="C65" s="365">
        <v>7.0</v>
      </c>
      <c r="D65" s="366">
        <v>4.7</v>
      </c>
      <c r="E65" s="398">
        <f t="shared" si="6"/>
        <v>0.94</v>
      </c>
      <c r="F65" s="85"/>
    </row>
    <row r="66">
      <c r="B66" s="347">
        <v>32.0</v>
      </c>
      <c r="C66" s="271">
        <v>8.0</v>
      </c>
      <c r="D66" s="371">
        <v>4.4</v>
      </c>
      <c r="E66" s="404">
        <f t="shared" si="6"/>
        <v>0.88</v>
      </c>
      <c r="F66" s="85"/>
    </row>
    <row r="67">
      <c r="B67" s="356">
        <v>33.0</v>
      </c>
      <c r="C67" s="365">
        <v>9.0</v>
      </c>
      <c r="D67" s="366">
        <v>4.2</v>
      </c>
      <c r="E67" s="398">
        <f t="shared" si="6"/>
        <v>0.84</v>
      </c>
      <c r="F67" s="85"/>
    </row>
    <row r="68">
      <c r="B68" s="347">
        <v>34.0</v>
      </c>
      <c r="C68" s="271">
        <v>10.0</v>
      </c>
      <c r="D68" s="371">
        <v>4.6</v>
      </c>
      <c r="E68" s="404">
        <f t="shared" si="6"/>
        <v>0.92</v>
      </c>
      <c r="F68" s="85"/>
    </row>
    <row r="69">
      <c r="B69" s="356">
        <v>35.0</v>
      </c>
      <c r="C69" s="365">
        <v>11.0</v>
      </c>
      <c r="D69" s="366">
        <v>4.5</v>
      </c>
      <c r="E69" s="398">
        <f t="shared" si="6"/>
        <v>0.9</v>
      </c>
      <c r="F69" s="85"/>
    </row>
    <row r="70">
      <c r="B70" s="347">
        <v>36.0</v>
      </c>
      <c r="C70" s="271">
        <v>12.0</v>
      </c>
      <c r="D70" s="371">
        <v>4.2</v>
      </c>
      <c r="E70" s="404">
        <f t="shared" si="6"/>
        <v>0.84</v>
      </c>
      <c r="F70" s="85"/>
    </row>
    <row r="71">
      <c r="B71" s="377" t="s">
        <v>397</v>
      </c>
      <c r="C71" s="192"/>
      <c r="D71" s="422">
        <f>AVERAGE(D59:D70)</f>
        <v>4.391666667</v>
      </c>
      <c r="E71" s="398">
        <f t="shared" si="6"/>
        <v>0.8783333333</v>
      </c>
      <c r="F71" s="85"/>
    </row>
    <row r="72">
      <c r="B72" s="347">
        <v>37.0</v>
      </c>
      <c r="C72" s="271">
        <v>1.0</v>
      </c>
      <c r="D72" s="371">
        <v>4.3</v>
      </c>
      <c r="E72" s="404">
        <f t="shared" si="6"/>
        <v>0.86</v>
      </c>
      <c r="F72" s="85"/>
    </row>
    <row r="73">
      <c r="B73" s="356">
        <v>38.0</v>
      </c>
      <c r="C73" s="365">
        <v>2.0</v>
      </c>
      <c r="D73" s="366">
        <v>4.1</v>
      </c>
      <c r="E73" s="398">
        <f t="shared" si="6"/>
        <v>0.82</v>
      </c>
      <c r="F73" s="85"/>
    </row>
    <row r="74">
      <c r="B74" s="347">
        <v>39.0</v>
      </c>
      <c r="C74" s="271">
        <v>3.0</v>
      </c>
      <c r="D74" s="371">
        <v>4.4</v>
      </c>
      <c r="E74" s="404">
        <f t="shared" si="6"/>
        <v>0.88</v>
      </c>
      <c r="F74" s="85"/>
    </row>
    <row r="75">
      <c r="B75" s="356">
        <v>40.0</v>
      </c>
      <c r="C75" s="365">
        <v>4.0</v>
      </c>
      <c r="D75" s="366">
        <v>4.0</v>
      </c>
      <c r="E75" s="398">
        <f t="shared" si="6"/>
        <v>0.8</v>
      </c>
      <c r="F75" s="85"/>
    </row>
    <row r="76">
      <c r="B76" s="347">
        <v>41.0</v>
      </c>
      <c r="C76" s="271">
        <v>5.0</v>
      </c>
      <c r="D76" s="371">
        <v>4.3</v>
      </c>
      <c r="E76" s="404">
        <f t="shared" si="6"/>
        <v>0.86</v>
      </c>
      <c r="F76" s="85"/>
    </row>
    <row r="77">
      <c r="B77" s="356">
        <v>42.0</v>
      </c>
      <c r="C77" s="365">
        <v>6.0</v>
      </c>
      <c r="D77" s="366">
        <v>4.2</v>
      </c>
      <c r="E77" s="398">
        <f t="shared" si="6"/>
        <v>0.84</v>
      </c>
      <c r="F77" s="85"/>
    </row>
    <row r="78">
      <c r="B78" s="347">
        <v>43.0</v>
      </c>
      <c r="C78" s="271">
        <v>7.0</v>
      </c>
      <c r="D78" s="371">
        <v>4.4</v>
      </c>
      <c r="E78" s="404">
        <f t="shared" si="6"/>
        <v>0.88</v>
      </c>
      <c r="F78" s="85"/>
    </row>
    <row r="79">
      <c r="B79" s="356">
        <v>44.0</v>
      </c>
      <c r="C79" s="365">
        <v>8.0</v>
      </c>
      <c r="D79" s="366">
        <v>4.0</v>
      </c>
      <c r="E79" s="398">
        <f t="shared" si="6"/>
        <v>0.8</v>
      </c>
      <c r="F79" s="85"/>
    </row>
    <row r="80">
      <c r="B80" s="347">
        <v>45.0</v>
      </c>
      <c r="C80" s="271">
        <v>9.0</v>
      </c>
      <c r="D80" s="371">
        <v>4.1</v>
      </c>
      <c r="E80" s="404">
        <f t="shared" si="6"/>
        <v>0.82</v>
      </c>
      <c r="F80" s="85"/>
    </row>
    <row r="81">
      <c r="B81" s="356">
        <v>46.0</v>
      </c>
      <c r="C81" s="365">
        <v>10.0</v>
      </c>
      <c r="D81" s="366">
        <v>4.3</v>
      </c>
      <c r="E81" s="398">
        <f t="shared" si="6"/>
        <v>0.86</v>
      </c>
      <c r="F81" s="85"/>
    </row>
    <row r="82">
      <c r="B82" s="347">
        <v>47.0</v>
      </c>
      <c r="C82" s="271">
        <v>11.0</v>
      </c>
      <c r="D82" s="371">
        <v>4.0</v>
      </c>
      <c r="E82" s="404">
        <f t="shared" si="6"/>
        <v>0.8</v>
      </c>
      <c r="F82" s="85"/>
    </row>
    <row r="83">
      <c r="B83" s="356">
        <v>48.0</v>
      </c>
      <c r="C83" s="365">
        <v>12.0</v>
      </c>
      <c r="D83" s="366">
        <v>4.3</v>
      </c>
      <c r="E83" s="398">
        <f t="shared" si="6"/>
        <v>0.86</v>
      </c>
      <c r="F83" s="85"/>
    </row>
    <row r="84">
      <c r="B84" s="369" t="s">
        <v>398</v>
      </c>
      <c r="C84" s="163"/>
      <c r="D84" s="423">
        <f>AVERAGE(D72:D83)</f>
        <v>4.2</v>
      </c>
      <c r="E84" s="404">
        <f t="shared" si="6"/>
        <v>0.84</v>
      </c>
      <c r="F84" s="85"/>
    </row>
  </sheetData>
  <mergeCells count="29">
    <mergeCell ref="B1:F3"/>
    <mergeCell ref="I1:M3"/>
    <mergeCell ref="P1:T3"/>
    <mergeCell ref="I4:M4"/>
    <mergeCell ref="L6:L17"/>
    <mergeCell ref="D10:F10"/>
    <mergeCell ref="D15:F15"/>
    <mergeCell ref="I18:J18"/>
    <mergeCell ref="L32:L43"/>
    <mergeCell ref="L45:L56"/>
    <mergeCell ref="I57:J57"/>
    <mergeCell ref="P10:Q10"/>
    <mergeCell ref="P15:Q15"/>
    <mergeCell ref="L19:L30"/>
    <mergeCell ref="P20:Q20"/>
    <mergeCell ref="P25:Q25"/>
    <mergeCell ref="I31:J31"/>
    <mergeCell ref="I44:J44"/>
    <mergeCell ref="B45:C45"/>
    <mergeCell ref="B58:C58"/>
    <mergeCell ref="B71:C71"/>
    <mergeCell ref="B84:C84"/>
    <mergeCell ref="B10:C10"/>
    <mergeCell ref="B15:C15"/>
    <mergeCell ref="B20:C20"/>
    <mergeCell ref="D20:F20"/>
    <mergeCell ref="B25:C25"/>
    <mergeCell ref="D25:F25"/>
    <mergeCell ref="B28:E31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5" width="18.88"/>
    <col customWidth="1" min="6" max="6" width="15.75"/>
  </cols>
  <sheetData>
    <row r="4">
      <c r="B4" s="68" t="s">
        <v>368</v>
      </c>
      <c r="C4" s="69"/>
      <c r="D4" s="69"/>
      <c r="E4" s="69"/>
      <c r="F4" s="107"/>
    </row>
    <row r="5">
      <c r="B5" s="74"/>
      <c r="F5" s="108"/>
    </row>
    <row r="6">
      <c r="B6" s="74"/>
      <c r="F6" s="108"/>
    </row>
    <row r="7">
      <c r="B7" s="78"/>
      <c r="C7" s="79"/>
      <c r="D7" s="79"/>
      <c r="E7" s="79"/>
      <c r="F7" s="318"/>
    </row>
    <row r="8">
      <c r="B8" s="83" t="s">
        <v>293</v>
      </c>
      <c r="C8" s="83" t="s">
        <v>294</v>
      </c>
      <c r="D8" s="83" t="s">
        <v>371</v>
      </c>
      <c r="E8" s="83" t="s">
        <v>372</v>
      </c>
      <c r="F8" s="83" t="s">
        <v>347</v>
      </c>
    </row>
    <row r="9">
      <c r="B9" s="125">
        <v>1.0</v>
      </c>
      <c r="C9" s="125">
        <v>1.0</v>
      </c>
      <c r="D9" s="125">
        <v>200.0</v>
      </c>
      <c r="E9" s="125">
        <v>140.0</v>
      </c>
      <c r="F9" s="324" t="s">
        <v>378</v>
      </c>
    </row>
    <row r="10">
      <c r="B10" s="160">
        <v>2.0</v>
      </c>
      <c r="C10" s="160">
        <v>2.0</v>
      </c>
      <c r="D10" s="325">
        <v>200.0</v>
      </c>
      <c r="E10" s="326">
        <f t="shared" ref="E10:E12" si="1">D10+F10-F9</f>
        <v>150</v>
      </c>
      <c r="F10" s="330" t="s">
        <v>380</v>
      </c>
    </row>
    <row r="11">
      <c r="B11" s="125">
        <v>3.0</v>
      </c>
      <c r="C11" s="125">
        <v>3.0</v>
      </c>
      <c r="D11" s="332">
        <v>200.0</v>
      </c>
      <c r="E11" s="333">
        <f t="shared" si="1"/>
        <v>188</v>
      </c>
      <c r="F11" s="324" t="s">
        <v>381</v>
      </c>
    </row>
    <row r="12">
      <c r="B12" s="160">
        <v>4.0</v>
      </c>
      <c r="C12" s="160">
        <v>4.0</v>
      </c>
      <c r="D12" s="325">
        <v>200.0</v>
      </c>
      <c r="E12" s="326">
        <f t="shared" si="1"/>
        <v>172</v>
      </c>
      <c r="F12" s="330" t="s">
        <v>379</v>
      </c>
    </row>
    <row r="13">
      <c r="B13" s="162" t="s">
        <v>382</v>
      </c>
      <c r="C13" s="163"/>
      <c r="D13" s="334">
        <v>1810.0</v>
      </c>
      <c r="E13" s="188"/>
      <c r="F13" s="163"/>
    </row>
    <row r="14">
      <c r="B14" s="160">
        <v>5.0</v>
      </c>
      <c r="C14" s="160">
        <v>1.0</v>
      </c>
      <c r="D14" s="325">
        <v>200.0</v>
      </c>
      <c r="E14" s="338">
        <f>D13+D14-F14</f>
        <v>10</v>
      </c>
      <c r="F14" s="325">
        <v>2000.0</v>
      </c>
    </row>
    <row r="15">
      <c r="B15" s="125">
        <v>6.0</v>
      </c>
      <c r="C15" s="125">
        <v>2.0</v>
      </c>
      <c r="D15" s="332">
        <v>200.0</v>
      </c>
      <c r="E15" s="340">
        <f t="shared" ref="E15:E17" si="2">F14+D15-F15</f>
        <v>243</v>
      </c>
      <c r="F15" s="332">
        <v>1957.0</v>
      </c>
    </row>
    <row r="16">
      <c r="B16" s="160">
        <v>7.0</v>
      </c>
      <c r="C16" s="160">
        <v>3.0</v>
      </c>
      <c r="D16" s="325">
        <v>200.0</v>
      </c>
      <c r="E16" s="338">
        <f t="shared" si="2"/>
        <v>27</v>
      </c>
      <c r="F16" s="325">
        <v>2130.0</v>
      </c>
    </row>
    <row r="17">
      <c r="B17" s="125">
        <v>8.0</v>
      </c>
      <c r="C17" s="125">
        <v>4.0</v>
      </c>
      <c r="D17" s="332">
        <v>200.0</v>
      </c>
      <c r="E17" s="340">
        <f t="shared" si="2"/>
        <v>94</v>
      </c>
      <c r="F17" s="332">
        <v>2236.0</v>
      </c>
    </row>
    <row r="18">
      <c r="B18" s="342" t="s">
        <v>383</v>
      </c>
      <c r="C18" s="192"/>
      <c r="D18" s="343">
        <v>2236.0</v>
      </c>
      <c r="E18" s="191"/>
      <c r="F18" s="192"/>
    </row>
    <row r="19">
      <c r="B19" s="347">
        <v>9.0</v>
      </c>
      <c r="C19" s="348">
        <v>1.0</v>
      </c>
      <c r="D19" s="349">
        <v>200.0</v>
      </c>
      <c r="E19" s="349">
        <f>D18+D19-F19</f>
        <v>286</v>
      </c>
      <c r="F19" s="424">
        <v>2150.0</v>
      </c>
    </row>
    <row r="20">
      <c r="B20" s="352">
        <v>10.0</v>
      </c>
      <c r="C20" s="353">
        <v>2.0</v>
      </c>
      <c r="D20" s="354">
        <v>200.0</v>
      </c>
      <c r="E20" s="354">
        <f t="shared" ref="E20:E22" si="3">F19+D20-F20</f>
        <v>264</v>
      </c>
      <c r="F20" s="425">
        <v>2086.0</v>
      </c>
    </row>
    <row r="21">
      <c r="B21" s="358">
        <v>11.0</v>
      </c>
      <c r="C21" s="359">
        <v>3.0</v>
      </c>
      <c r="D21" s="360">
        <v>200.0</v>
      </c>
      <c r="E21" s="360">
        <f t="shared" si="3"/>
        <v>386</v>
      </c>
      <c r="F21" s="426">
        <v>1900.0</v>
      </c>
    </row>
    <row r="22">
      <c r="B22" s="352">
        <v>12.0</v>
      </c>
      <c r="C22" s="353">
        <v>4.0</v>
      </c>
      <c r="D22" s="354">
        <v>200.0</v>
      </c>
      <c r="E22" s="354">
        <f t="shared" si="3"/>
        <v>285</v>
      </c>
      <c r="F22" s="425">
        <v>1815.0</v>
      </c>
    </row>
    <row r="23">
      <c r="B23" s="369" t="s">
        <v>386</v>
      </c>
      <c r="C23" s="163"/>
      <c r="D23" s="370">
        <v>1815.0</v>
      </c>
      <c r="E23" s="188"/>
      <c r="F23" s="163"/>
    </row>
    <row r="24">
      <c r="B24" s="356">
        <v>13.0</v>
      </c>
      <c r="C24" s="374">
        <v>1.0</v>
      </c>
      <c r="D24" s="375">
        <v>200.0</v>
      </c>
      <c r="E24" s="375">
        <f>D23+D24-F24</f>
        <v>165</v>
      </c>
      <c r="F24" s="427">
        <v>1850.0</v>
      </c>
    </row>
    <row r="25">
      <c r="B25" s="358">
        <v>14.0</v>
      </c>
      <c r="C25" s="359">
        <v>2.0</v>
      </c>
      <c r="D25" s="360">
        <v>200.0</v>
      </c>
      <c r="E25" s="360">
        <f t="shared" ref="E25:E27" si="4">F24+D25-F25</f>
        <v>350</v>
      </c>
      <c r="F25" s="426">
        <v>1700.0</v>
      </c>
    </row>
    <row r="26">
      <c r="B26" s="352">
        <v>15.0</v>
      </c>
      <c r="C26" s="353">
        <v>3.0</v>
      </c>
      <c r="D26" s="354">
        <v>200.0</v>
      </c>
      <c r="E26" s="354">
        <f t="shared" si="4"/>
        <v>250</v>
      </c>
      <c r="F26" s="425">
        <v>1650.0</v>
      </c>
    </row>
    <row r="27">
      <c r="B27" s="358">
        <v>16.0</v>
      </c>
      <c r="C27" s="359">
        <v>4.0</v>
      </c>
      <c r="D27" s="360">
        <v>200.0</v>
      </c>
      <c r="E27" s="360">
        <f t="shared" si="4"/>
        <v>312</v>
      </c>
      <c r="F27" s="426">
        <v>1538.0</v>
      </c>
    </row>
    <row r="28">
      <c r="B28" s="377" t="s">
        <v>387</v>
      </c>
      <c r="C28" s="192"/>
      <c r="D28" s="378">
        <v>1538.0</v>
      </c>
      <c r="E28" s="191"/>
      <c r="F28" s="192"/>
    </row>
  </sheetData>
  <mergeCells count="9">
    <mergeCell ref="B28:C28"/>
    <mergeCell ref="D28:F28"/>
    <mergeCell ref="B4:F6"/>
    <mergeCell ref="B13:C13"/>
    <mergeCell ref="D13:F13"/>
    <mergeCell ref="B18:C18"/>
    <mergeCell ref="D18:F18"/>
    <mergeCell ref="B23:C23"/>
    <mergeCell ref="D23:F23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cols>
    <col customWidth="1" min="1" max="2" width="18.75"/>
    <col customWidth="1" min="3" max="3" width="18.88"/>
  </cols>
  <sheetData>
    <row r="1">
      <c r="A1" s="58" t="s">
        <v>288</v>
      </c>
      <c r="B1" s="58" t="s">
        <v>371</v>
      </c>
      <c r="C1" s="58" t="s">
        <v>372</v>
      </c>
      <c r="D1" s="58" t="s">
        <v>347</v>
      </c>
    </row>
    <row r="2">
      <c r="A2" s="133">
        <v>43831.0</v>
      </c>
      <c r="B2" s="428">
        <v>200.0</v>
      </c>
      <c r="C2" s="428">
        <v>140.0</v>
      </c>
      <c r="D2" s="428">
        <v>1900.0</v>
      </c>
    </row>
    <row r="3">
      <c r="A3" s="133">
        <v>43922.0</v>
      </c>
      <c r="B3" s="428">
        <v>200.0</v>
      </c>
      <c r="C3" s="182">
        <v>150.0</v>
      </c>
      <c r="D3" s="428">
        <v>1850.0</v>
      </c>
    </row>
    <row r="4">
      <c r="A4" s="133">
        <v>44013.0</v>
      </c>
      <c r="B4" s="428">
        <v>200.0</v>
      </c>
      <c r="C4" s="182">
        <v>188.0</v>
      </c>
      <c r="D4" s="428">
        <v>1838.0</v>
      </c>
    </row>
    <row r="5">
      <c r="A5" s="133">
        <v>44105.0</v>
      </c>
      <c r="B5" s="428">
        <v>200.0</v>
      </c>
      <c r="C5" s="182">
        <v>172.0</v>
      </c>
      <c r="D5" s="428">
        <v>1810.0</v>
      </c>
    </row>
    <row r="6">
      <c r="A6" s="133">
        <v>44197.0</v>
      </c>
      <c r="B6" s="428">
        <v>200.0</v>
      </c>
      <c r="C6" s="182">
        <v>10.0</v>
      </c>
      <c r="D6" s="428">
        <v>2000.0</v>
      </c>
    </row>
    <row r="7">
      <c r="A7" s="133">
        <v>44287.0</v>
      </c>
      <c r="B7" s="428">
        <v>200.0</v>
      </c>
      <c r="C7" s="182">
        <v>243.0</v>
      </c>
      <c r="D7" s="428">
        <v>1957.0</v>
      </c>
    </row>
    <row r="8">
      <c r="A8" s="133">
        <v>44378.0</v>
      </c>
      <c r="B8" s="428">
        <v>200.0</v>
      </c>
      <c r="C8" s="182">
        <v>27.0</v>
      </c>
      <c r="D8" s="428">
        <v>2130.0</v>
      </c>
    </row>
    <row r="9">
      <c r="A9" s="133">
        <v>44470.0</v>
      </c>
      <c r="B9" s="428">
        <v>200.0</v>
      </c>
      <c r="C9" s="182">
        <v>94.0</v>
      </c>
      <c r="D9" s="428">
        <v>2236.0</v>
      </c>
    </row>
    <row r="10">
      <c r="A10" s="133">
        <v>44562.0</v>
      </c>
      <c r="B10" s="182">
        <v>200.0</v>
      </c>
      <c r="C10" s="182">
        <v>286.0</v>
      </c>
      <c r="D10" s="428">
        <v>2150.0</v>
      </c>
    </row>
    <row r="11">
      <c r="A11" s="133">
        <v>44652.0</v>
      </c>
      <c r="B11" s="182">
        <v>200.0</v>
      </c>
      <c r="C11" s="182">
        <v>264.0</v>
      </c>
      <c r="D11" s="428">
        <v>2086.0</v>
      </c>
    </row>
    <row r="12">
      <c r="A12" s="133">
        <v>44743.0</v>
      </c>
      <c r="B12" s="182">
        <v>200.0</v>
      </c>
      <c r="C12" s="182">
        <v>386.0</v>
      </c>
      <c r="D12" s="428">
        <v>1900.0</v>
      </c>
    </row>
    <row r="13">
      <c r="A13" s="133">
        <v>44835.0</v>
      </c>
      <c r="B13" s="182">
        <v>200.0</v>
      </c>
      <c r="C13" s="182">
        <v>285.0</v>
      </c>
      <c r="D13" s="428">
        <v>1815.0</v>
      </c>
    </row>
    <row r="14">
      <c r="A14" s="133">
        <v>44927.0</v>
      </c>
      <c r="B14" s="182">
        <v>200.0</v>
      </c>
      <c r="C14" s="182">
        <v>165.0</v>
      </c>
      <c r="D14" s="428">
        <v>1850.0</v>
      </c>
    </row>
    <row r="15">
      <c r="A15" s="133">
        <v>45017.0</v>
      </c>
      <c r="B15" s="182">
        <v>200.0</v>
      </c>
      <c r="C15" s="182">
        <v>350.0</v>
      </c>
      <c r="D15" s="428">
        <v>1700.0</v>
      </c>
    </row>
    <row r="16">
      <c r="A16" s="133">
        <v>45108.0</v>
      </c>
      <c r="B16" s="182">
        <v>200.0</v>
      </c>
      <c r="C16" s="182">
        <v>250.0</v>
      </c>
      <c r="D16" s="428">
        <v>1650.0</v>
      </c>
    </row>
    <row r="17">
      <c r="A17" s="133">
        <v>45200.0</v>
      </c>
      <c r="B17" s="182">
        <v>200.0</v>
      </c>
      <c r="C17" s="182">
        <v>312.0</v>
      </c>
      <c r="D17" s="428">
        <v>1538.0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22.13"/>
    <col customWidth="1" min="4" max="4" width="30.0"/>
  </cols>
  <sheetData>
    <row r="5">
      <c r="B5" s="68" t="s">
        <v>388</v>
      </c>
      <c r="C5" s="384"/>
      <c r="D5" s="385"/>
    </row>
    <row r="6">
      <c r="B6" s="386"/>
      <c r="D6" s="387"/>
    </row>
    <row r="7">
      <c r="B7" s="388"/>
      <c r="D7" s="389"/>
    </row>
    <row r="8">
      <c r="B8" s="390"/>
      <c r="C8" s="203"/>
      <c r="D8" s="204"/>
    </row>
    <row r="9">
      <c r="B9" s="83" t="s">
        <v>293</v>
      </c>
      <c r="C9" s="84" t="s">
        <v>321</v>
      </c>
      <c r="D9" s="83" t="s">
        <v>390</v>
      </c>
    </row>
    <row r="10" ht="26.25" customHeight="1">
      <c r="B10" s="429">
        <v>2020.0</v>
      </c>
      <c r="C10" s="191"/>
      <c r="D10" s="192"/>
    </row>
    <row r="11">
      <c r="B11" s="125">
        <v>1.0</v>
      </c>
      <c r="C11" s="125">
        <v>1.0</v>
      </c>
      <c r="D11" s="321">
        <v>4.4</v>
      </c>
    </row>
    <row r="12">
      <c r="B12" s="160">
        <v>2.0</v>
      </c>
      <c r="C12" s="160">
        <v>2.0</v>
      </c>
      <c r="D12" s="328">
        <v>4.2</v>
      </c>
    </row>
    <row r="13">
      <c r="B13" s="125">
        <v>3.0</v>
      </c>
      <c r="C13" s="125">
        <v>3.0</v>
      </c>
      <c r="D13" s="321">
        <v>4.3</v>
      </c>
    </row>
    <row r="14">
      <c r="B14" s="160">
        <v>4.0</v>
      </c>
      <c r="C14" s="160">
        <v>4.0</v>
      </c>
      <c r="D14" s="328">
        <v>4.6</v>
      </c>
    </row>
    <row r="15">
      <c r="B15" s="125">
        <v>5.0</v>
      </c>
      <c r="C15" s="125">
        <v>5.0</v>
      </c>
      <c r="D15" s="321">
        <v>4.1</v>
      </c>
    </row>
    <row r="16">
      <c r="B16" s="160">
        <v>6.0</v>
      </c>
      <c r="C16" s="160">
        <v>6.0</v>
      </c>
      <c r="D16" s="328">
        <v>4.4</v>
      </c>
    </row>
    <row r="17">
      <c r="B17" s="125">
        <v>7.0</v>
      </c>
      <c r="C17" s="125">
        <v>7.0</v>
      </c>
      <c r="D17" s="321">
        <v>4.4</v>
      </c>
    </row>
    <row r="18">
      <c r="B18" s="160">
        <v>8.0</v>
      </c>
      <c r="C18" s="160">
        <v>8.0</v>
      </c>
      <c r="D18" s="328">
        <v>4.0</v>
      </c>
    </row>
    <row r="19">
      <c r="B19" s="125">
        <v>9.0</v>
      </c>
      <c r="C19" s="125">
        <v>9.0</v>
      </c>
      <c r="D19" s="321">
        <v>4.2</v>
      </c>
    </row>
    <row r="20">
      <c r="B20" s="160">
        <v>10.0</v>
      </c>
      <c r="C20" s="160">
        <v>10.0</v>
      </c>
      <c r="D20" s="328">
        <v>4.5</v>
      </c>
    </row>
    <row r="21">
      <c r="B21" s="125">
        <v>11.0</v>
      </c>
      <c r="C21" s="125">
        <v>11.0</v>
      </c>
      <c r="D21" s="321">
        <v>4.2</v>
      </c>
    </row>
    <row r="22">
      <c r="B22" s="160">
        <v>12.0</v>
      </c>
      <c r="C22" s="160">
        <v>12.0</v>
      </c>
      <c r="D22" s="328">
        <v>4.4</v>
      </c>
    </row>
    <row r="23" ht="26.25" customHeight="1">
      <c r="B23" s="429">
        <v>2021.0</v>
      </c>
      <c r="C23" s="188"/>
      <c r="D23" s="163"/>
    </row>
    <row r="24">
      <c r="B24" s="356">
        <v>13.0</v>
      </c>
      <c r="C24" s="365">
        <v>1.0</v>
      </c>
      <c r="D24" s="366">
        <v>4.5</v>
      </c>
    </row>
    <row r="25">
      <c r="B25" s="347">
        <v>14.0</v>
      </c>
      <c r="C25" s="271">
        <v>2.0</v>
      </c>
      <c r="D25" s="371">
        <v>4.8</v>
      </c>
    </row>
    <row r="26">
      <c r="B26" s="356">
        <v>15.0</v>
      </c>
      <c r="C26" s="365">
        <v>3.0</v>
      </c>
      <c r="D26" s="366">
        <v>4.6</v>
      </c>
    </row>
    <row r="27">
      <c r="B27" s="347">
        <v>16.0</v>
      </c>
      <c r="C27" s="271">
        <v>4.0</v>
      </c>
      <c r="D27" s="371">
        <v>4.1</v>
      </c>
    </row>
    <row r="28">
      <c r="B28" s="356">
        <v>17.0</v>
      </c>
      <c r="C28" s="365">
        <v>5.0</v>
      </c>
      <c r="D28" s="366">
        <v>4.7</v>
      </c>
    </row>
    <row r="29">
      <c r="B29" s="347">
        <v>18.0</v>
      </c>
      <c r="C29" s="271">
        <v>6.0</v>
      </c>
      <c r="D29" s="371">
        <v>4.2</v>
      </c>
    </row>
    <row r="30">
      <c r="B30" s="356">
        <v>19.0</v>
      </c>
      <c r="C30" s="365">
        <v>7.0</v>
      </c>
      <c r="D30" s="366">
        <v>4.9</v>
      </c>
    </row>
    <row r="31">
      <c r="B31" s="347">
        <v>20.0</v>
      </c>
      <c r="C31" s="271">
        <v>8.0</v>
      </c>
      <c r="D31" s="371">
        <v>4.4</v>
      </c>
    </row>
    <row r="32">
      <c r="B32" s="356">
        <v>21.0</v>
      </c>
      <c r="C32" s="365">
        <v>9.0</v>
      </c>
      <c r="D32" s="366">
        <v>4.5</v>
      </c>
    </row>
    <row r="33">
      <c r="B33" s="347">
        <v>22.0</v>
      </c>
      <c r="C33" s="271">
        <v>10.0</v>
      </c>
      <c r="D33" s="371">
        <v>4.4</v>
      </c>
    </row>
    <row r="34">
      <c r="B34" s="356">
        <v>23.0</v>
      </c>
      <c r="C34" s="365">
        <v>11.0</v>
      </c>
      <c r="D34" s="366">
        <v>4.3</v>
      </c>
    </row>
    <row r="35">
      <c r="B35" s="347">
        <v>24.0</v>
      </c>
      <c r="C35" s="271">
        <v>12.0</v>
      </c>
      <c r="D35" s="371">
        <v>4.7</v>
      </c>
    </row>
    <row r="36" ht="26.25" customHeight="1">
      <c r="B36" s="429">
        <v>2022.0</v>
      </c>
      <c r="C36" s="191"/>
      <c r="D36" s="192"/>
    </row>
    <row r="37">
      <c r="B37" s="347">
        <v>25.0</v>
      </c>
      <c r="C37" s="271">
        <v>1.0</v>
      </c>
      <c r="D37" s="371">
        <v>4.4</v>
      </c>
    </row>
    <row r="38">
      <c r="B38" s="356">
        <v>26.0</v>
      </c>
      <c r="C38" s="365">
        <v>2.0</v>
      </c>
      <c r="D38" s="366">
        <v>4.5</v>
      </c>
    </row>
    <row r="39">
      <c r="B39" s="347">
        <v>27.0</v>
      </c>
      <c r="C39" s="271">
        <v>3.0</v>
      </c>
      <c r="D39" s="371">
        <v>4.3</v>
      </c>
    </row>
    <row r="40">
      <c r="B40" s="356">
        <v>28.0</v>
      </c>
      <c r="C40" s="365">
        <v>4.0</v>
      </c>
      <c r="D40" s="366">
        <v>4.6</v>
      </c>
    </row>
    <row r="41">
      <c r="B41" s="347">
        <v>29.0</v>
      </c>
      <c r="C41" s="271">
        <v>5.0</v>
      </c>
      <c r="D41" s="371">
        <v>4.2</v>
      </c>
    </row>
    <row r="42">
      <c r="B42" s="356">
        <v>30.0</v>
      </c>
      <c r="C42" s="365">
        <v>6.0</v>
      </c>
      <c r="D42" s="366">
        <v>4.1</v>
      </c>
    </row>
    <row r="43">
      <c r="B43" s="347">
        <v>31.0</v>
      </c>
      <c r="C43" s="271">
        <v>7.0</v>
      </c>
      <c r="D43" s="371">
        <v>4.7</v>
      </c>
    </row>
    <row r="44">
      <c r="B44" s="356">
        <v>32.0</v>
      </c>
      <c r="C44" s="365">
        <v>8.0</v>
      </c>
      <c r="D44" s="366">
        <v>4.4</v>
      </c>
    </row>
    <row r="45">
      <c r="B45" s="347">
        <v>33.0</v>
      </c>
      <c r="C45" s="271">
        <v>9.0</v>
      </c>
      <c r="D45" s="371">
        <v>4.2</v>
      </c>
    </row>
    <row r="46">
      <c r="B46" s="356">
        <v>34.0</v>
      </c>
      <c r="C46" s="365">
        <v>10.0</v>
      </c>
      <c r="D46" s="366">
        <v>4.6</v>
      </c>
    </row>
    <row r="47">
      <c r="B47" s="347">
        <v>35.0</v>
      </c>
      <c r="C47" s="271">
        <v>11.0</v>
      </c>
      <c r="D47" s="371">
        <v>4.5</v>
      </c>
    </row>
    <row r="48">
      <c r="B48" s="356">
        <v>36.0</v>
      </c>
      <c r="C48" s="365">
        <v>12.0</v>
      </c>
      <c r="D48" s="366">
        <v>4.2</v>
      </c>
    </row>
    <row r="49" ht="26.25" customHeight="1">
      <c r="B49" s="429">
        <v>2023.0</v>
      </c>
      <c r="C49" s="188"/>
      <c r="D49" s="163"/>
    </row>
    <row r="50">
      <c r="B50" s="356">
        <v>37.0</v>
      </c>
      <c r="C50" s="365">
        <v>1.0</v>
      </c>
      <c r="D50" s="366">
        <v>4.3</v>
      </c>
    </row>
    <row r="51">
      <c r="B51" s="347">
        <v>38.0</v>
      </c>
      <c r="C51" s="271">
        <v>2.0</v>
      </c>
      <c r="D51" s="371">
        <v>4.1</v>
      </c>
    </row>
    <row r="52">
      <c r="B52" s="356">
        <v>39.0</v>
      </c>
      <c r="C52" s="365">
        <v>3.0</v>
      </c>
      <c r="D52" s="366">
        <v>4.4</v>
      </c>
    </row>
    <row r="53">
      <c r="B53" s="347">
        <v>40.0</v>
      </c>
      <c r="C53" s="271">
        <v>4.0</v>
      </c>
      <c r="D53" s="371">
        <v>4.0</v>
      </c>
    </row>
    <row r="54">
      <c r="B54" s="356">
        <v>41.0</v>
      </c>
      <c r="C54" s="365">
        <v>5.0</v>
      </c>
      <c r="D54" s="366">
        <v>4.3</v>
      </c>
    </row>
    <row r="55">
      <c r="B55" s="347">
        <v>42.0</v>
      </c>
      <c r="C55" s="271">
        <v>6.0</v>
      </c>
      <c r="D55" s="371">
        <v>4.2</v>
      </c>
    </row>
    <row r="56">
      <c r="B56" s="356">
        <v>43.0</v>
      </c>
      <c r="C56" s="365">
        <v>7.0</v>
      </c>
      <c r="D56" s="366">
        <v>4.4</v>
      </c>
    </row>
    <row r="57">
      <c r="B57" s="347">
        <v>44.0</v>
      </c>
      <c r="C57" s="271">
        <v>8.0</v>
      </c>
      <c r="D57" s="371">
        <v>4.0</v>
      </c>
    </row>
    <row r="58">
      <c r="B58" s="356">
        <v>45.0</v>
      </c>
      <c r="C58" s="365">
        <v>9.0</v>
      </c>
      <c r="D58" s="366">
        <v>4.1</v>
      </c>
    </row>
    <row r="59">
      <c r="B59" s="347">
        <v>46.0</v>
      </c>
      <c r="C59" s="271">
        <v>10.0</v>
      </c>
      <c r="D59" s="371">
        <v>4.3</v>
      </c>
    </row>
    <row r="60">
      <c r="B60" s="356">
        <v>47.0</v>
      </c>
      <c r="C60" s="365">
        <v>11.0</v>
      </c>
      <c r="D60" s="366">
        <v>4.0</v>
      </c>
    </row>
    <row r="61">
      <c r="B61" s="347">
        <v>48.0</v>
      </c>
      <c r="C61" s="271">
        <v>12.0</v>
      </c>
      <c r="D61" s="371">
        <v>4.3</v>
      </c>
    </row>
    <row r="62">
      <c r="B62" s="430"/>
      <c r="D62" s="431"/>
    </row>
  </sheetData>
  <mergeCells count="6">
    <mergeCell ref="B5:D8"/>
    <mergeCell ref="B10:D10"/>
    <mergeCell ref="B23:D23"/>
    <mergeCell ref="B36:D36"/>
    <mergeCell ref="B49:D49"/>
    <mergeCell ref="B62:C6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9.38"/>
    <col customWidth="1" min="3" max="7" width="27.38"/>
    <col customWidth="1" min="8" max="8" width="24.63"/>
    <col customWidth="1" min="9" max="9" width="11.88"/>
    <col customWidth="1" min="10" max="11" width="25.13"/>
    <col customWidth="1" min="12" max="12" width="12.63"/>
    <col customWidth="1" min="13" max="14" width="25.13"/>
    <col customWidth="1" min="15" max="15" width="21.25"/>
    <col customWidth="1" min="16" max="16" width="19.75"/>
    <col customWidth="1" min="17" max="17" width="19.13"/>
    <col customWidth="1" min="20" max="20" width="19.75"/>
    <col customWidth="1" min="22" max="22" width="20.63"/>
  </cols>
  <sheetData>
    <row r="1">
      <c r="A1" s="67"/>
      <c r="B1" s="68" t="s">
        <v>276</v>
      </c>
      <c r="C1" s="69"/>
      <c r="D1" s="69"/>
      <c r="E1" s="69"/>
      <c r="F1" s="69"/>
      <c r="G1" s="69"/>
      <c r="H1" s="70"/>
      <c r="I1" s="70"/>
      <c r="J1" s="71"/>
      <c r="L1" s="72"/>
      <c r="M1" s="72"/>
      <c r="R1" s="70"/>
      <c r="S1" s="70"/>
      <c r="T1" s="71"/>
    </row>
    <row r="2">
      <c r="A2" s="73"/>
      <c r="B2" s="74"/>
      <c r="H2" s="72"/>
      <c r="I2" s="72"/>
      <c r="J2" s="75"/>
      <c r="L2" s="76"/>
      <c r="M2" s="76"/>
      <c r="N2" s="77"/>
      <c r="R2" s="72"/>
      <c r="S2" s="72"/>
      <c r="T2" s="75" t="s">
        <v>110</v>
      </c>
      <c r="U2" s="75"/>
    </row>
    <row r="3">
      <c r="A3" s="73"/>
      <c r="B3" s="74"/>
      <c r="H3" s="72"/>
      <c r="I3" s="72"/>
      <c r="J3" s="75"/>
    </row>
    <row r="4">
      <c r="A4" s="73"/>
      <c r="B4" s="78"/>
      <c r="C4" s="79"/>
      <c r="D4" s="79"/>
      <c r="E4" s="79"/>
      <c r="F4" s="80"/>
      <c r="G4" s="80" t="s">
        <v>273</v>
      </c>
      <c r="H4" s="81"/>
      <c r="I4" s="81"/>
      <c r="J4" s="82"/>
    </row>
    <row r="5">
      <c r="A5" s="73"/>
      <c r="B5" s="83" t="s">
        <v>277</v>
      </c>
      <c r="C5" s="84" t="s">
        <v>278</v>
      </c>
      <c r="D5" s="84" t="s">
        <v>279</v>
      </c>
      <c r="E5" s="84" t="s">
        <v>280</v>
      </c>
      <c r="F5" s="84" t="s">
        <v>281</v>
      </c>
      <c r="G5" s="84" t="s">
        <v>282</v>
      </c>
      <c r="H5" s="85"/>
    </row>
    <row r="6">
      <c r="A6" s="86"/>
      <c r="B6" s="87">
        <v>1.0</v>
      </c>
      <c r="C6" s="88">
        <v>43475.0</v>
      </c>
      <c r="D6" s="89" t="s">
        <v>283</v>
      </c>
      <c r="E6" s="90"/>
      <c r="F6" s="90">
        <f>-541868</f>
        <v>-541868</v>
      </c>
      <c r="G6" s="91">
        <v>-384292.0</v>
      </c>
      <c r="H6" s="85"/>
    </row>
    <row r="7">
      <c r="A7" s="86"/>
      <c r="B7" s="87">
        <v>2.0</v>
      </c>
      <c r="C7" s="88">
        <v>43501.0</v>
      </c>
      <c r="D7" s="89" t="s">
        <v>283</v>
      </c>
      <c r="E7" s="90"/>
      <c r="F7" s="92">
        <v>-394012.0</v>
      </c>
      <c r="G7" s="91">
        <f>-324739</f>
        <v>-324739</v>
      </c>
      <c r="H7" s="85"/>
    </row>
    <row r="8">
      <c r="A8" s="86"/>
      <c r="B8" s="87">
        <v>3.0</v>
      </c>
      <c r="C8" s="88">
        <v>43544.0</v>
      </c>
      <c r="D8" s="89" t="s">
        <v>283</v>
      </c>
      <c r="E8" s="90"/>
      <c r="F8" s="92">
        <v>-281003.0</v>
      </c>
      <c r="G8" s="91">
        <f>-213048</f>
        <v>-213048</v>
      </c>
      <c r="H8" s="85"/>
    </row>
    <row r="9">
      <c r="A9" s="86"/>
      <c r="B9" s="87">
        <v>4.0</v>
      </c>
      <c r="C9" s="93">
        <v>43573.0</v>
      </c>
      <c r="D9" s="89" t="s">
        <v>283</v>
      </c>
      <c r="E9" s="90">
        <v>50230.0</v>
      </c>
      <c r="F9" s="92"/>
      <c r="G9" s="91">
        <f>-62419</f>
        <v>-62419</v>
      </c>
      <c r="H9" s="85"/>
    </row>
    <row r="10">
      <c r="A10" s="86"/>
      <c r="B10" s="87">
        <v>5.0</v>
      </c>
      <c r="C10" s="93">
        <v>43604.0</v>
      </c>
      <c r="D10" s="89" t="s">
        <v>283</v>
      </c>
      <c r="E10" s="90"/>
      <c r="F10" s="92">
        <v>-502390.0</v>
      </c>
      <c r="G10" s="91">
        <f>-478320</f>
        <v>-478320</v>
      </c>
      <c r="H10" s="85"/>
    </row>
    <row r="11">
      <c r="A11" s="86"/>
      <c r="B11" s="87">
        <v>6.0</v>
      </c>
      <c r="C11" s="88">
        <v>43621.0</v>
      </c>
      <c r="D11" s="89" t="s">
        <v>283</v>
      </c>
      <c r="E11" s="90">
        <v>123045.0</v>
      </c>
      <c r="F11" s="92"/>
      <c r="G11" s="91">
        <f>72492</f>
        <v>72492</v>
      </c>
      <c r="H11" s="85"/>
    </row>
    <row r="12">
      <c r="A12" s="86"/>
      <c r="B12" s="87">
        <v>7.0</v>
      </c>
      <c r="C12" s="88">
        <v>43650.0</v>
      </c>
      <c r="D12" s="89" t="s">
        <v>283</v>
      </c>
      <c r="E12" s="90">
        <v>230450.0</v>
      </c>
      <c r="F12" s="92"/>
      <c r="G12" s="91">
        <f>189340</f>
        <v>189340</v>
      </c>
      <c r="H12" s="85"/>
    </row>
    <row r="13">
      <c r="A13" s="86"/>
      <c r="B13" s="87">
        <v>8.0</v>
      </c>
      <c r="C13" s="88">
        <v>43678.0</v>
      </c>
      <c r="D13" s="89" t="s">
        <v>283</v>
      </c>
      <c r="E13" s="90">
        <v>320405.0</v>
      </c>
      <c r="F13" s="92"/>
      <c r="G13" s="91">
        <f>284293</f>
        <v>284293</v>
      </c>
      <c r="H13" s="85"/>
    </row>
    <row r="14">
      <c r="A14" s="86"/>
      <c r="B14" s="87">
        <v>9.0</v>
      </c>
      <c r="C14" s="88">
        <v>43724.0</v>
      </c>
      <c r="D14" s="89" t="s">
        <v>283</v>
      </c>
      <c r="E14" s="90">
        <v>23050.0</v>
      </c>
      <c r="F14" s="92"/>
      <c r="G14" s="91">
        <f>-12364</f>
        <v>-12364</v>
      </c>
      <c r="H14" s="85"/>
    </row>
    <row r="15">
      <c r="A15" s="86"/>
      <c r="B15" s="87">
        <v>10.0</v>
      </c>
      <c r="C15" s="88">
        <v>43748.0</v>
      </c>
      <c r="D15" s="87" t="s">
        <v>284</v>
      </c>
      <c r="E15" s="94"/>
      <c r="F15" s="95">
        <v>-394320.0</v>
      </c>
      <c r="G15" s="91">
        <f>-465882</f>
        <v>-465882</v>
      </c>
      <c r="H15" s="85"/>
    </row>
    <row r="16">
      <c r="A16" s="86"/>
      <c r="B16" s="87">
        <v>11.0</v>
      </c>
      <c r="C16" s="88">
        <v>43774.0</v>
      </c>
      <c r="D16" s="89" t="s">
        <v>283</v>
      </c>
      <c r="E16" s="94"/>
      <c r="F16" s="92">
        <v>-534023.0</v>
      </c>
      <c r="G16" s="91">
        <f>-582721</f>
        <v>-582721</v>
      </c>
      <c r="H16" s="85"/>
    </row>
    <row r="17">
      <c r="A17" s="86"/>
      <c r="B17" s="96">
        <v>12.0</v>
      </c>
      <c r="C17" s="97">
        <v>43825.0</v>
      </c>
      <c r="D17" s="96" t="s">
        <v>283</v>
      </c>
      <c r="E17" s="98"/>
      <c r="F17" s="99">
        <f>-238439-548228</f>
        <v>-786667</v>
      </c>
      <c r="G17" s="100">
        <f>-375382-331958</f>
        <v>-707340</v>
      </c>
      <c r="H17" s="101">
        <f>sum(G6:G17) / ((SUM(F6:F17)+SUM(E6:E17)))</f>
        <v>0.9992173728</v>
      </c>
    </row>
    <row r="18">
      <c r="A18" s="86"/>
      <c r="B18" s="87">
        <v>11.0</v>
      </c>
      <c r="C18" s="88">
        <v>43839.0</v>
      </c>
      <c r="D18" s="89" t="s">
        <v>283</v>
      </c>
      <c r="E18" s="102"/>
      <c r="F18" s="92">
        <v>-230123.0</v>
      </c>
      <c r="G18" s="91">
        <v>-72492.0</v>
      </c>
      <c r="H18" s="85"/>
    </row>
    <row r="19">
      <c r="A19" s="86"/>
      <c r="B19" s="87">
        <v>12.0</v>
      </c>
      <c r="C19" s="88">
        <v>43890.0</v>
      </c>
      <c r="D19" s="89" t="s">
        <v>283</v>
      </c>
      <c r="E19" s="102"/>
      <c r="F19" s="92">
        <v>-130923.0</v>
      </c>
      <c r="G19" s="91">
        <v>-12834.0</v>
      </c>
      <c r="H19" s="85"/>
    </row>
    <row r="20">
      <c r="A20" s="86"/>
      <c r="B20" s="87">
        <v>13.0</v>
      </c>
      <c r="C20" s="88">
        <v>43921.0</v>
      </c>
      <c r="D20" s="89" t="s">
        <v>283</v>
      </c>
      <c r="E20" s="102"/>
      <c r="F20" s="92">
        <v>-50347.0</v>
      </c>
      <c r="G20" s="91">
        <v>-5723.0</v>
      </c>
      <c r="H20" s="85"/>
    </row>
    <row r="21">
      <c r="A21" s="86"/>
      <c r="B21" s="87">
        <v>14.0</v>
      </c>
      <c r="C21" s="88">
        <v>43951.0</v>
      </c>
      <c r="D21" s="89" t="s">
        <v>283</v>
      </c>
      <c r="E21" s="102">
        <v>30429.0</v>
      </c>
      <c r="F21" s="92"/>
      <c r="G21" s="91">
        <f>72394</f>
        <v>72394</v>
      </c>
      <c r="H21" s="85"/>
    </row>
    <row r="22">
      <c r="A22" s="86"/>
      <c r="B22" s="87">
        <v>15.0</v>
      </c>
      <c r="C22" s="88">
        <v>43982.0</v>
      </c>
      <c r="D22" s="89" t="s">
        <v>283</v>
      </c>
      <c r="E22" s="102">
        <v>102384.0</v>
      </c>
      <c r="F22" s="92"/>
      <c r="G22" s="91">
        <f>824734</f>
        <v>824734</v>
      </c>
      <c r="H22" s="85"/>
    </row>
    <row r="23">
      <c r="A23" s="86"/>
      <c r="B23" s="87">
        <v>16.0</v>
      </c>
      <c r="C23" s="88">
        <v>44012.0</v>
      </c>
      <c r="D23" s="89" t="s">
        <v>283</v>
      </c>
      <c r="E23" s="102">
        <v>265793.0</v>
      </c>
      <c r="F23" s="92"/>
      <c r="G23" s="91">
        <v>637429.0</v>
      </c>
      <c r="H23" s="85"/>
    </row>
    <row r="24">
      <c r="A24" s="86"/>
      <c r="B24" s="87">
        <v>17.0</v>
      </c>
      <c r="C24" s="88">
        <v>44043.0</v>
      </c>
      <c r="D24" s="89" t="s">
        <v>283</v>
      </c>
      <c r="E24" s="102">
        <v>387649.0</v>
      </c>
      <c r="F24" s="92"/>
      <c r="G24" s="91">
        <v>592385.0</v>
      </c>
      <c r="H24" s="85"/>
    </row>
    <row r="25">
      <c r="A25" s="86"/>
      <c r="B25" s="87">
        <v>18.0</v>
      </c>
      <c r="C25" s="88">
        <v>44074.0</v>
      </c>
      <c r="D25" s="89" t="s">
        <v>283</v>
      </c>
      <c r="E25" s="102">
        <v>123740.0</v>
      </c>
      <c r="F25" s="92"/>
      <c r="G25" s="91">
        <v>723482.0</v>
      </c>
      <c r="H25" s="85"/>
    </row>
    <row r="26">
      <c r="A26" s="86"/>
      <c r="B26" s="87">
        <v>19.0</v>
      </c>
      <c r="C26" s="88">
        <v>44104.0</v>
      </c>
      <c r="D26" s="89" t="s">
        <v>283</v>
      </c>
      <c r="E26" s="102"/>
      <c r="F26" s="92">
        <v>-23848.0</v>
      </c>
      <c r="G26" s="91">
        <f>222232</f>
        <v>222232</v>
      </c>
      <c r="H26" s="85"/>
    </row>
    <row r="27">
      <c r="A27" s="86"/>
      <c r="B27" s="87">
        <v>20.0</v>
      </c>
      <c r="C27" s="88">
        <v>44135.0</v>
      </c>
      <c r="D27" s="89" t="s">
        <v>283</v>
      </c>
      <c r="E27" s="102"/>
      <c r="F27" s="92">
        <v>-327454.0</v>
      </c>
      <c r="G27" s="91">
        <v>-354273.0</v>
      </c>
      <c r="H27" s="85"/>
    </row>
    <row r="28">
      <c r="A28" s="86"/>
      <c r="B28" s="87">
        <v>21.0</v>
      </c>
      <c r="C28" s="88">
        <v>44165.0</v>
      </c>
      <c r="D28" s="89" t="s">
        <v>283</v>
      </c>
      <c r="E28" s="102"/>
      <c r="F28" s="92">
        <v>-437539.0</v>
      </c>
      <c r="G28" s="91">
        <v>-457239.0</v>
      </c>
      <c r="H28" s="85"/>
    </row>
    <row r="29">
      <c r="A29" s="86"/>
      <c r="B29" s="96">
        <v>22.0</v>
      </c>
      <c r="C29" s="97">
        <v>44196.0</v>
      </c>
      <c r="D29" s="96" t="s">
        <v>285</v>
      </c>
      <c r="E29" s="103"/>
      <c r="F29" s="99">
        <f>-347593-581647-431998</f>
        <v>-1361238</v>
      </c>
      <c r="G29" s="100">
        <f>-72314-123845-323942</f>
        <v>-520101</v>
      </c>
      <c r="H29" s="85"/>
    </row>
    <row r="30">
      <c r="A30" s="86"/>
      <c r="B30" s="87">
        <v>24.0</v>
      </c>
      <c r="C30" s="88">
        <v>44227.0</v>
      </c>
      <c r="D30" s="89" t="s">
        <v>283</v>
      </c>
      <c r="E30" s="102"/>
      <c r="F30" s="92">
        <v>-300230.0</v>
      </c>
      <c r="G30" s="91">
        <v>-52832.0</v>
      </c>
      <c r="H30" s="85"/>
    </row>
    <row r="31">
      <c r="B31" s="87">
        <v>25.0</v>
      </c>
      <c r="C31" s="88">
        <v>44255.0</v>
      </c>
      <c r="D31" s="89" t="s">
        <v>283</v>
      </c>
      <c r="E31" s="102"/>
      <c r="F31" s="92">
        <v>-234875.0</v>
      </c>
      <c r="G31" s="91">
        <v>-123843.0</v>
      </c>
      <c r="H31" s="85"/>
    </row>
    <row r="32">
      <c r="B32" s="87">
        <v>26.0</v>
      </c>
      <c r="C32" s="88">
        <v>44286.0</v>
      </c>
      <c r="D32" s="89" t="s">
        <v>283</v>
      </c>
      <c r="E32" s="102"/>
      <c r="F32" s="92">
        <v>-292347.0</v>
      </c>
      <c r="G32" s="91">
        <v>-104272.0</v>
      </c>
      <c r="H32" s="85"/>
    </row>
    <row r="33">
      <c r="B33" s="87">
        <v>27.0</v>
      </c>
      <c r="C33" s="88">
        <v>44316.0</v>
      </c>
      <c r="D33" s="89" t="s">
        <v>283</v>
      </c>
      <c r="E33" s="102"/>
      <c r="F33" s="92">
        <v>-127495.0</v>
      </c>
      <c r="G33" s="91">
        <v>-81249.0</v>
      </c>
      <c r="H33" s="85"/>
    </row>
    <row r="34">
      <c r="B34" s="87">
        <v>28.0</v>
      </c>
      <c r="C34" s="88">
        <v>44347.0</v>
      </c>
      <c r="D34" s="89" t="s">
        <v>283</v>
      </c>
      <c r="E34" s="102"/>
      <c r="F34" s="92">
        <v>-175824.0</v>
      </c>
      <c r="G34" s="91">
        <v>-102482.0</v>
      </c>
      <c r="H34" s="85"/>
    </row>
    <row r="35">
      <c r="B35" s="87">
        <v>29.0</v>
      </c>
      <c r="C35" s="88">
        <v>44377.0</v>
      </c>
      <c r="D35" s="89" t="s">
        <v>283</v>
      </c>
      <c r="E35" s="102">
        <v>24274.0</v>
      </c>
      <c r="F35" s="92"/>
      <c r="G35" s="91">
        <f>84238</f>
        <v>84238</v>
      </c>
      <c r="H35" s="85"/>
    </row>
    <row r="36">
      <c r="B36" s="87">
        <v>30.0</v>
      </c>
      <c r="C36" s="88">
        <v>44408.0</v>
      </c>
      <c r="D36" s="89" t="s">
        <v>283</v>
      </c>
      <c r="E36" s="102">
        <v>123745.0</v>
      </c>
      <c r="F36" s="92"/>
      <c r="G36" s="91">
        <f>800673</f>
        <v>800673</v>
      </c>
      <c r="H36" s="85"/>
    </row>
    <row r="37">
      <c r="B37" s="87">
        <v>31.0</v>
      </c>
      <c r="C37" s="88">
        <v>44439.0</v>
      </c>
      <c r="D37" s="89" t="s">
        <v>283</v>
      </c>
      <c r="E37" s="102">
        <v>213494.0</v>
      </c>
      <c r="F37" s="92"/>
      <c r="G37" s="91">
        <f>246234</f>
        <v>246234</v>
      </c>
      <c r="H37" s="85"/>
    </row>
    <row r="38">
      <c r="B38" s="87">
        <v>32.0</v>
      </c>
      <c r="C38" s="88">
        <v>44469.0</v>
      </c>
      <c r="D38" s="89" t="s">
        <v>283</v>
      </c>
      <c r="E38" s="102">
        <v>128532.0</v>
      </c>
      <c r="F38" s="92"/>
      <c r="G38" s="91">
        <f>1353945</f>
        <v>1353945</v>
      </c>
      <c r="H38" s="85"/>
    </row>
    <row r="39">
      <c r="B39" s="87">
        <v>33.0</v>
      </c>
      <c r="C39" s="88">
        <v>44500.0</v>
      </c>
      <c r="D39" s="89" t="s">
        <v>283</v>
      </c>
      <c r="E39" s="102"/>
      <c r="F39" s="92">
        <v>-265284.0</v>
      </c>
      <c r="G39" s="91">
        <v>-82344.0</v>
      </c>
      <c r="H39" s="85"/>
    </row>
    <row r="40">
      <c r="B40" s="87">
        <v>34.0</v>
      </c>
      <c r="C40" s="88">
        <v>44530.0</v>
      </c>
      <c r="D40" s="89" t="s">
        <v>285</v>
      </c>
      <c r="E40" s="102"/>
      <c r="F40" s="92">
        <v>-185723.0</v>
      </c>
      <c r="G40" s="91">
        <v>-284213.0</v>
      </c>
      <c r="H40" s="85"/>
    </row>
    <row r="41">
      <c r="B41" s="96">
        <v>35.0</v>
      </c>
      <c r="C41" s="97">
        <v>44561.0</v>
      </c>
      <c r="D41" s="96" t="s">
        <v>283</v>
      </c>
      <c r="E41" s="103"/>
      <c r="F41" s="99">
        <f>-214895-238324</f>
        <v>-453219</v>
      </c>
      <c r="G41" s="100">
        <f>-124753-128412</f>
        <v>-253165</v>
      </c>
      <c r="H41" s="85"/>
    </row>
    <row r="42">
      <c r="B42" s="87">
        <v>36.0</v>
      </c>
      <c r="C42" s="104">
        <v>44602.0</v>
      </c>
      <c r="D42" s="89" t="s">
        <v>283</v>
      </c>
      <c r="E42" s="102">
        <v>23852.0</v>
      </c>
      <c r="F42" s="92"/>
      <c r="G42" s="91">
        <f>35712</f>
        <v>35712</v>
      </c>
      <c r="H42" s="85"/>
    </row>
    <row r="43">
      <c r="B43" s="87">
        <v>37.0</v>
      </c>
      <c r="C43" s="104">
        <v>44622.0</v>
      </c>
      <c r="D43" s="89" t="s">
        <v>283</v>
      </c>
      <c r="E43" s="102">
        <v>123845.0</v>
      </c>
      <c r="F43" s="92"/>
      <c r="G43" s="91">
        <f>94725</f>
        <v>94725</v>
      </c>
      <c r="H43" s="85"/>
    </row>
    <row r="44">
      <c r="B44" s="87">
        <v>38.0</v>
      </c>
      <c r="C44" s="104">
        <v>44657.0</v>
      </c>
      <c r="D44" s="89" t="s">
        <v>283</v>
      </c>
      <c r="E44" s="102">
        <v>102548.0</v>
      </c>
      <c r="F44" s="92"/>
      <c r="G44" s="91">
        <f>74385</f>
        <v>74385</v>
      </c>
      <c r="H44" s="85"/>
    </row>
    <row r="45">
      <c r="B45" s="87">
        <v>39.0</v>
      </c>
      <c r="C45" s="104">
        <v>44685.0</v>
      </c>
      <c r="D45" s="89" t="s">
        <v>283</v>
      </c>
      <c r="E45" s="102">
        <v>29320.0</v>
      </c>
      <c r="F45" s="92"/>
      <c r="G45" s="91">
        <f>15823</f>
        <v>15823</v>
      </c>
      <c r="H45" s="85"/>
    </row>
    <row r="46">
      <c r="B46" s="87">
        <v>40.0</v>
      </c>
      <c r="C46" s="104">
        <v>44713.0</v>
      </c>
      <c r="D46" s="89" t="s">
        <v>283</v>
      </c>
      <c r="E46" s="102"/>
      <c r="F46" s="92">
        <v>-72391.0</v>
      </c>
      <c r="G46" s="91">
        <v>-124475.0</v>
      </c>
      <c r="H46" s="85"/>
    </row>
    <row r="47">
      <c r="B47" s="87">
        <v>41.0</v>
      </c>
      <c r="C47" s="104">
        <v>44748.0</v>
      </c>
      <c r="D47" s="89" t="s">
        <v>284</v>
      </c>
      <c r="E47" s="102">
        <f>23842-39144</f>
        <v>-15302</v>
      </c>
      <c r="F47" s="92"/>
      <c r="G47" s="91">
        <f>48123</f>
        <v>48123</v>
      </c>
      <c r="H47" s="85"/>
    </row>
    <row r="48">
      <c r="B48" s="87">
        <v>42.0</v>
      </c>
      <c r="C48" s="104">
        <v>44782.0</v>
      </c>
      <c r="D48" s="89" t="s">
        <v>283</v>
      </c>
      <c r="E48" s="102">
        <v>265823.0</v>
      </c>
      <c r="F48" s="92"/>
      <c r="G48" s="91">
        <v>12572.0</v>
      </c>
      <c r="H48" s="85"/>
    </row>
    <row r="49">
      <c r="B49" s="87">
        <v>43.0</v>
      </c>
      <c r="C49" s="104">
        <v>44825.0</v>
      </c>
      <c r="D49" s="89" t="s">
        <v>283</v>
      </c>
      <c r="E49" s="102">
        <v>123854.0</v>
      </c>
      <c r="F49" s="92"/>
      <c r="G49" s="91">
        <v>24832.0</v>
      </c>
      <c r="H49" s="85"/>
    </row>
    <row r="50">
      <c r="B50" s="87">
        <v>44.0</v>
      </c>
      <c r="C50" s="104">
        <v>44860.0</v>
      </c>
      <c r="D50" s="89" t="s">
        <v>283</v>
      </c>
      <c r="E50" s="102">
        <v>275923.0</v>
      </c>
      <c r="F50" s="92"/>
      <c r="G50" s="91">
        <f>212384</f>
        <v>212384</v>
      </c>
      <c r="H50" s="85"/>
    </row>
    <row r="51">
      <c r="B51" s="87">
        <v>45.0</v>
      </c>
      <c r="C51" s="104">
        <v>44887.0</v>
      </c>
      <c r="D51" s="89" t="s">
        <v>283</v>
      </c>
      <c r="E51" s="102">
        <v>482328.0</v>
      </c>
      <c r="F51" s="92"/>
      <c r="G51" s="91">
        <f>248253</f>
        <v>248253</v>
      </c>
      <c r="H51" s="85"/>
    </row>
    <row r="52">
      <c r="B52" s="96">
        <v>46.0</v>
      </c>
      <c r="C52" s="97">
        <v>44924.0</v>
      </c>
      <c r="D52" s="96" t="s">
        <v>283</v>
      </c>
      <c r="E52" s="103">
        <f>500230+12699</f>
        <v>512929</v>
      </c>
      <c r="F52" s="99"/>
      <c r="G52" s="100">
        <f> 361842+64283-58329</f>
        <v>367796</v>
      </c>
      <c r="H52" s="85"/>
    </row>
    <row r="53">
      <c r="B53" s="87">
        <v>48.0</v>
      </c>
      <c r="C53" s="88">
        <v>44950.0</v>
      </c>
      <c r="D53" s="89" t="s">
        <v>286</v>
      </c>
      <c r="E53" s="102"/>
      <c r="F53" s="92">
        <v>-238542.0</v>
      </c>
      <c r="G53" s="91">
        <v>-24729.0</v>
      </c>
      <c r="H53" s="85"/>
    </row>
    <row r="54">
      <c r="B54" s="87">
        <v>49.0</v>
      </c>
      <c r="C54" s="88">
        <v>44985.0</v>
      </c>
      <c r="D54" s="89" t="s">
        <v>286</v>
      </c>
      <c r="E54" s="102"/>
      <c r="F54" s="92">
        <v>-172391.0</v>
      </c>
      <c r="G54" s="91">
        <v>-12482.0</v>
      </c>
      <c r="H54" s="85"/>
    </row>
    <row r="55">
      <c r="B55" s="87">
        <v>50.0</v>
      </c>
      <c r="C55" s="88">
        <v>45015.0</v>
      </c>
      <c r="D55" s="89" t="s">
        <v>286</v>
      </c>
      <c r="E55" s="102"/>
      <c r="F55" s="92">
        <v>-254712.0</v>
      </c>
      <c r="G55" s="91">
        <v>-127523.0</v>
      </c>
      <c r="H55" s="85"/>
    </row>
    <row r="56">
      <c r="B56" s="87">
        <v>51.0</v>
      </c>
      <c r="C56" s="88">
        <v>45043.0</v>
      </c>
      <c r="D56" s="89" t="s">
        <v>286</v>
      </c>
      <c r="E56" s="102"/>
      <c r="F56" s="92">
        <v>-184593.0</v>
      </c>
      <c r="G56" s="91">
        <v>-78429.0</v>
      </c>
      <c r="H56" s="85"/>
    </row>
    <row r="57">
      <c r="B57" s="87">
        <v>52.0</v>
      </c>
      <c r="C57" s="88">
        <v>45077.0</v>
      </c>
      <c r="D57" s="89" t="s">
        <v>286</v>
      </c>
      <c r="E57" s="102"/>
      <c r="F57" s="92">
        <v>-73850.0</v>
      </c>
      <c r="G57" s="91">
        <v>-21274.0</v>
      </c>
      <c r="H57" s="85"/>
    </row>
    <row r="58">
      <c r="B58" s="87">
        <v>53.0</v>
      </c>
      <c r="C58" s="88">
        <v>45107.0</v>
      </c>
      <c r="D58" s="89" t="s">
        <v>286</v>
      </c>
      <c r="E58" s="102"/>
      <c r="F58" s="92">
        <v>-72392.0</v>
      </c>
      <c r="G58" s="91">
        <v>-75293.0</v>
      </c>
      <c r="H58" s="85"/>
    </row>
    <row r="59">
      <c r="B59" s="87">
        <v>54.0</v>
      </c>
      <c r="C59" s="88">
        <v>45134.0</v>
      </c>
      <c r="D59" s="89" t="s">
        <v>286</v>
      </c>
      <c r="E59" s="102"/>
      <c r="F59" s="92">
        <v>-42732.0</v>
      </c>
      <c r="G59" s="91">
        <v>-72346.0</v>
      </c>
      <c r="H59" s="85"/>
    </row>
    <row r="60">
      <c r="B60" s="87">
        <v>55.0</v>
      </c>
      <c r="C60" s="88">
        <v>45169.0</v>
      </c>
      <c r="D60" s="89" t="s">
        <v>286</v>
      </c>
      <c r="E60" s="102"/>
      <c r="F60" s="92">
        <v>-123623.0</v>
      </c>
      <c r="G60" s="91">
        <v>-29347.0</v>
      </c>
      <c r="H60" s="85"/>
    </row>
    <row r="61">
      <c r="B61" s="87">
        <v>56.0</v>
      </c>
      <c r="C61" s="88">
        <v>45198.0</v>
      </c>
      <c r="D61" s="89" t="s">
        <v>286</v>
      </c>
      <c r="E61" s="102"/>
      <c r="F61" s="92">
        <v>-162481.0</v>
      </c>
      <c r="G61" s="91">
        <v>-162483.0</v>
      </c>
      <c r="H61" s="85"/>
    </row>
    <row r="62">
      <c r="B62" s="87">
        <v>57.0</v>
      </c>
      <c r="C62" s="88">
        <v>45230.0</v>
      </c>
      <c r="D62" s="89" t="s">
        <v>286</v>
      </c>
      <c r="E62" s="102"/>
      <c r="F62" s="92">
        <v>-285423.0</v>
      </c>
      <c r="G62" s="91">
        <f>745327</f>
        <v>745327</v>
      </c>
      <c r="H62" s="85"/>
    </row>
    <row r="63">
      <c r="B63" s="87">
        <v>58.0</v>
      </c>
      <c r="C63" s="88">
        <v>45260.0</v>
      </c>
      <c r="D63" s="89" t="s">
        <v>286</v>
      </c>
      <c r="E63" s="102"/>
      <c r="F63" s="92">
        <v>-124713.0</v>
      </c>
      <c r="G63" s="91">
        <f>635001</f>
        <v>635001</v>
      </c>
      <c r="H63" s="85"/>
    </row>
    <row r="64">
      <c r="B64" s="96">
        <v>59.0</v>
      </c>
      <c r="C64" s="97">
        <v>45290.0</v>
      </c>
      <c r="D64" s="96" t="s">
        <v>287</v>
      </c>
      <c r="E64" s="99"/>
      <c r="F64" s="103">
        <f>-173281-148210</f>
        <v>-321491</v>
      </c>
      <c r="G64" s="100">
        <f>-82394-59237</f>
        <v>-141631</v>
      </c>
      <c r="H64" s="85"/>
    </row>
    <row r="66">
      <c r="F66" s="85"/>
    </row>
  </sheetData>
  <mergeCells count="3">
    <mergeCell ref="B1:G3"/>
    <mergeCell ref="B67:C67"/>
    <mergeCell ref="B71:C71"/>
  </mergeCells>
  <drawing r:id="rId1"/>
  <tableParts count="2">
    <tablePart r:id="rId4"/>
    <tablePart r:id="rId5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cols>
    <col customWidth="1" min="1" max="2" width="20.25"/>
    <col customWidth="1" min="3" max="3" width="18.88"/>
  </cols>
  <sheetData>
    <row r="1">
      <c r="A1" s="58" t="s">
        <v>288</v>
      </c>
      <c r="B1" s="58" t="s">
        <v>390</v>
      </c>
    </row>
    <row r="2">
      <c r="A2" s="432">
        <v>43831.0</v>
      </c>
      <c r="B2" s="58">
        <v>4.4</v>
      </c>
      <c r="C2" s="428"/>
      <c r="D2" s="428"/>
    </row>
    <row r="3">
      <c r="A3" s="432">
        <v>43862.0</v>
      </c>
      <c r="B3" s="58">
        <v>4.2</v>
      </c>
      <c r="C3" s="182"/>
      <c r="D3" s="428"/>
    </row>
    <row r="4">
      <c r="A4" s="432">
        <v>43891.0</v>
      </c>
      <c r="B4" s="58">
        <v>4.3</v>
      </c>
      <c r="C4" s="182"/>
      <c r="D4" s="428"/>
    </row>
    <row r="5">
      <c r="A5" s="432">
        <v>43922.0</v>
      </c>
      <c r="B5" s="58">
        <v>4.6</v>
      </c>
      <c r="C5" s="182"/>
      <c r="D5" s="428"/>
    </row>
    <row r="6">
      <c r="A6" s="432">
        <v>43952.0</v>
      </c>
      <c r="B6" s="58">
        <v>4.1</v>
      </c>
      <c r="C6" s="182"/>
      <c r="D6" s="428"/>
    </row>
    <row r="7">
      <c r="A7" s="432">
        <v>43983.0</v>
      </c>
      <c r="B7" s="58">
        <v>4.4</v>
      </c>
      <c r="C7" s="182"/>
      <c r="D7" s="428"/>
    </row>
    <row r="8">
      <c r="A8" s="432">
        <v>44013.0</v>
      </c>
      <c r="B8" s="58">
        <v>4.4</v>
      </c>
      <c r="C8" s="182"/>
      <c r="D8" s="428"/>
    </row>
    <row r="9">
      <c r="A9" s="432">
        <v>44044.0</v>
      </c>
      <c r="B9" s="58">
        <v>4.0</v>
      </c>
      <c r="C9" s="182"/>
      <c r="D9" s="428"/>
    </row>
    <row r="10">
      <c r="A10" s="432">
        <v>44075.0</v>
      </c>
      <c r="B10" s="58">
        <v>4.2</v>
      </c>
      <c r="C10" s="182"/>
      <c r="D10" s="428"/>
    </row>
    <row r="11">
      <c r="A11" s="432">
        <v>44105.0</v>
      </c>
      <c r="B11" s="58">
        <v>4.5</v>
      </c>
      <c r="C11" s="182"/>
      <c r="D11" s="428"/>
    </row>
    <row r="12">
      <c r="A12" s="432">
        <v>44136.0</v>
      </c>
      <c r="B12" s="58">
        <v>4.2</v>
      </c>
      <c r="C12" s="182"/>
      <c r="D12" s="428"/>
    </row>
    <row r="13">
      <c r="A13" s="432">
        <v>44166.0</v>
      </c>
      <c r="B13" s="58">
        <v>4.4</v>
      </c>
      <c r="C13" s="182"/>
      <c r="D13" s="428"/>
    </row>
    <row r="14">
      <c r="A14" s="432">
        <v>44197.0</v>
      </c>
      <c r="B14" s="58">
        <v>4.5</v>
      </c>
      <c r="C14" s="182"/>
      <c r="D14" s="428"/>
    </row>
    <row r="15">
      <c r="A15" s="432">
        <v>44228.0</v>
      </c>
      <c r="B15" s="58">
        <v>4.8</v>
      </c>
      <c r="C15" s="182"/>
      <c r="D15" s="428"/>
    </row>
    <row r="16">
      <c r="A16" s="432">
        <v>44256.0</v>
      </c>
      <c r="B16" s="58">
        <v>4.6</v>
      </c>
      <c r="C16" s="182"/>
      <c r="D16" s="428"/>
    </row>
    <row r="17">
      <c r="A17" s="432">
        <v>44287.0</v>
      </c>
      <c r="B17" s="58">
        <v>4.1</v>
      </c>
      <c r="C17" s="182"/>
      <c r="D17" s="428"/>
    </row>
    <row r="18">
      <c r="A18" s="432">
        <v>44317.0</v>
      </c>
      <c r="B18" s="58">
        <v>4.7</v>
      </c>
    </row>
    <row r="19">
      <c r="A19" s="432">
        <v>44348.0</v>
      </c>
      <c r="B19" s="58">
        <v>4.2</v>
      </c>
    </row>
    <row r="20">
      <c r="A20" s="432">
        <v>44378.0</v>
      </c>
      <c r="B20" s="58">
        <v>4.9</v>
      </c>
    </row>
    <row r="21">
      <c r="A21" s="432">
        <v>44409.0</v>
      </c>
      <c r="B21" s="58">
        <v>4.4</v>
      </c>
    </row>
    <row r="22">
      <c r="A22" s="432">
        <v>44440.0</v>
      </c>
      <c r="B22" s="58">
        <v>4.5</v>
      </c>
    </row>
    <row r="23">
      <c r="A23" s="432">
        <v>44470.0</v>
      </c>
      <c r="B23" s="58">
        <v>4.4</v>
      </c>
    </row>
    <row r="24">
      <c r="A24" s="432">
        <v>44501.0</v>
      </c>
      <c r="B24" s="58">
        <v>4.3</v>
      </c>
    </row>
    <row r="25">
      <c r="A25" s="432">
        <v>44531.0</v>
      </c>
      <c r="B25" s="58">
        <v>4.7</v>
      </c>
    </row>
    <row r="26">
      <c r="A26" s="432">
        <v>44562.0</v>
      </c>
      <c r="B26" s="58">
        <v>4.4</v>
      </c>
    </row>
    <row r="27">
      <c r="A27" s="432">
        <v>44593.0</v>
      </c>
      <c r="B27" s="58">
        <v>4.5</v>
      </c>
    </row>
    <row r="28">
      <c r="A28" s="432">
        <v>44621.0</v>
      </c>
      <c r="B28" s="58">
        <v>4.3</v>
      </c>
    </row>
    <row r="29">
      <c r="A29" s="432">
        <v>44652.0</v>
      </c>
      <c r="B29" s="58">
        <v>4.6</v>
      </c>
    </row>
    <row r="30">
      <c r="A30" s="432">
        <v>44682.0</v>
      </c>
      <c r="B30" s="58">
        <v>4.2</v>
      </c>
    </row>
    <row r="31">
      <c r="A31" s="432">
        <v>44713.0</v>
      </c>
      <c r="B31" s="58">
        <v>4.1</v>
      </c>
    </row>
    <row r="32">
      <c r="A32" s="432">
        <v>44743.0</v>
      </c>
      <c r="B32" s="58">
        <v>4.7</v>
      </c>
    </row>
    <row r="33">
      <c r="A33" s="432">
        <v>44774.0</v>
      </c>
      <c r="B33" s="58">
        <v>4.4</v>
      </c>
    </row>
    <row r="34">
      <c r="A34" s="432">
        <v>44805.0</v>
      </c>
      <c r="B34" s="58">
        <v>4.2</v>
      </c>
    </row>
    <row r="35">
      <c r="A35" s="432">
        <v>44835.0</v>
      </c>
      <c r="B35" s="58">
        <v>4.6</v>
      </c>
    </row>
    <row r="36">
      <c r="A36" s="432">
        <v>44866.0</v>
      </c>
      <c r="B36" s="58">
        <v>4.5</v>
      </c>
    </row>
    <row r="37">
      <c r="A37" s="432">
        <v>44896.0</v>
      </c>
      <c r="B37" s="58">
        <v>4.2</v>
      </c>
    </row>
    <row r="38">
      <c r="A38" s="432">
        <v>44927.0</v>
      </c>
      <c r="B38" s="58">
        <v>4.3</v>
      </c>
    </row>
    <row r="39">
      <c r="A39" s="432">
        <v>44958.0</v>
      </c>
      <c r="B39" s="58">
        <v>4.1</v>
      </c>
    </row>
    <row r="40">
      <c r="A40" s="432">
        <v>44986.0</v>
      </c>
      <c r="B40" s="58">
        <v>4.4</v>
      </c>
    </row>
    <row r="41">
      <c r="A41" s="432">
        <v>45017.0</v>
      </c>
      <c r="B41" s="58">
        <v>4.0</v>
      </c>
    </row>
    <row r="42">
      <c r="A42" s="432">
        <v>45047.0</v>
      </c>
      <c r="B42" s="58">
        <v>4.3</v>
      </c>
    </row>
    <row r="43">
      <c r="A43" s="432">
        <v>45078.0</v>
      </c>
      <c r="B43" s="58">
        <v>4.2</v>
      </c>
    </row>
    <row r="44">
      <c r="A44" s="432">
        <v>45108.0</v>
      </c>
      <c r="B44" s="58">
        <v>4.4</v>
      </c>
    </row>
    <row r="45">
      <c r="A45" s="432">
        <v>45139.0</v>
      </c>
      <c r="B45" s="58">
        <v>4.0</v>
      </c>
    </row>
    <row r="46">
      <c r="A46" s="432">
        <v>45170.0</v>
      </c>
      <c r="B46" s="58">
        <v>4.1</v>
      </c>
    </row>
    <row r="47">
      <c r="A47" s="432">
        <v>45200.0</v>
      </c>
      <c r="B47" s="58">
        <v>4.3</v>
      </c>
    </row>
    <row r="48">
      <c r="A48" s="432">
        <v>45231.0</v>
      </c>
      <c r="B48" s="58">
        <v>4.0</v>
      </c>
    </row>
    <row r="49">
      <c r="A49" s="432">
        <v>45261.0</v>
      </c>
      <c r="B49" s="58">
        <v>4.3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4" max="4" width="29.63"/>
    <col customWidth="1" min="5" max="5" width="26.25"/>
  </cols>
  <sheetData>
    <row r="5">
      <c r="B5" s="68" t="s">
        <v>369</v>
      </c>
      <c r="C5" s="69"/>
      <c r="D5" s="69"/>
      <c r="E5" s="107"/>
    </row>
    <row r="6">
      <c r="B6" s="74"/>
      <c r="E6" s="108"/>
    </row>
    <row r="7">
      <c r="B7" s="74"/>
      <c r="E7" s="108"/>
    </row>
    <row r="8">
      <c r="B8" s="78"/>
    </row>
    <row r="9">
      <c r="B9" s="83" t="s">
        <v>293</v>
      </c>
      <c r="C9" s="84" t="s">
        <v>321</v>
      </c>
      <c r="D9" s="84" t="s">
        <v>373</v>
      </c>
      <c r="E9" s="84" t="s">
        <v>364</v>
      </c>
    </row>
    <row r="10" ht="26.25" customHeight="1">
      <c r="B10" s="429">
        <v>2020.0</v>
      </c>
      <c r="C10" s="188"/>
      <c r="D10" s="188"/>
      <c r="E10" s="163"/>
    </row>
    <row r="11">
      <c r="B11" s="160">
        <v>1.0</v>
      </c>
      <c r="C11" s="160">
        <v>1.0</v>
      </c>
      <c r="D11" s="328">
        <v>1250.0</v>
      </c>
      <c r="E11" s="433" t="s">
        <v>379</v>
      </c>
    </row>
    <row r="12">
      <c r="B12" s="125">
        <v>2.0</v>
      </c>
      <c r="C12" s="125">
        <v>2.0</v>
      </c>
      <c r="D12" s="321">
        <v>1180.0</v>
      </c>
      <c r="E12" s="115"/>
    </row>
    <row r="13">
      <c r="B13" s="160">
        <v>3.0</v>
      </c>
      <c r="C13" s="160">
        <v>3.0</v>
      </c>
      <c r="D13" s="328">
        <v>1300.0</v>
      </c>
      <c r="E13" s="114"/>
    </row>
    <row r="14">
      <c r="B14" s="125">
        <v>4.0</v>
      </c>
      <c r="C14" s="125">
        <v>4.0</v>
      </c>
      <c r="D14" s="321">
        <v>1220.0</v>
      </c>
      <c r="E14" s="115"/>
    </row>
    <row r="15">
      <c r="B15" s="160">
        <v>5.0</v>
      </c>
      <c r="C15" s="160">
        <v>5.0</v>
      </c>
      <c r="D15" s="328">
        <v>1280.0</v>
      </c>
      <c r="E15" s="114"/>
    </row>
    <row r="16">
      <c r="B16" s="125">
        <v>6.0</v>
      </c>
      <c r="C16" s="125">
        <v>6.0</v>
      </c>
      <c r="D16" s="321">
        <v>1200.0</v>
      </c>
      <c r="E16" s="115"/>
    </row>
    <row r="17">
      <c r="B17" s="160">
        <v>7.0</v>
      </c>
      <c r="C17" s="160">
        <v>7.0</v>
      </c>
      <c r="D17" s="328">
        <v>1350.0</v>
      </c>
      <c r="E17" s="114"/>
    </row>
    <row r="18">
      <c r="B18" s="125">
        <v>8.0</v>
      </c>
      <c r="C18" s="125">
        <v>8.0</v>
      </c>
      <c r="D18" s="321">
        <v>1270.0</v>
      </c>
      <c r="E18" s="115"/>
    </row>
    <row r="19">
      <c r="B19" s="160">
        <v>9.0</v>
      </c>
      <c r="C19" s="160">
        <v>9.0</v>
      </c>
      <c r="D19" s="328">
        <v>1190.0</v>
      </c>
      <c r="E19" s="114"/>
    </row>
    <row r="20">
      <c r="B20" s="125">
        <v>10.0</v>
      </c>
      <c r="C20" s="125">
        <v>10.0</v>
      </c>
      <c r="D20" s="321">
        <v>1320.0</v>
      </c>
      <c r="E20" s="115"/>
    </row>
    <row r="21">
      <c r="B21" s="160">
        <v>11.0</v>
      </c>
      <c r="C21" s="160">
        <v>11.0</v>
      </c>
      <c r="D21" s="328">
        <v>1240.0</v>
      </c>
      <c r="E21" s="114"/>
    </row>
    <row r="22">
      <c r="B22" s="125">
        <v>12.0</v>
      </c>
      <c r="C22" s="125">
        <v>12.0</v>
      </c>
      <c r="D22" s="321">
        <v>1210.0</v>
      </c>
      <c r="E22" s="118"/>
    </row>
    <row r="23" ht="26.25" customHeight="1">
      <c r="B23" s="429">
        <v>2021.0</v>
      </c>
      <c r="C23" s="191"/>
      <c r="D23" s="191"/>
      <c r="E23" s="192"/>
    </row>
    <row r="24">
      <c r="B24" s="347">
        <v>13.0</v>
      </c>
      <c r="C24" s="271">
        <v>1.0</v>
      </c>
      <c r="D24" s="371">
        <v>954.0</v>
      </c>
      <c r="E24" s="434" t="s">
        <v>385</v>
      </c>
    </row>
    <row r="25">
      <c r="B25" s="356">
        <v>14.0</v>
      </c>
      <c r="C25" s="365">
        <v>2.0</v>
      </c>
      <c r="D25" s="366">
        <v>1031.0</v>
      </c>
      <c r="E25" s="114"/>
    </row>
    <row r="26">
      <c r="B26" s="347">
        <v>15.0</v>
      </c>
      <c r="C26" s="271">
        <v>3.0</v>
      </c>
      <c r="D26" s="371">
        <v>876.0</v>
      </c>
      <c r="E26" s="115"/>
    </row>
    <row r="27">
      <c r="B27" s="356">
        <v>16.0</v>
      </c>
      <c r="C27" s="365">
        <v>4.0</v>
      </c>
      <c r="D27" s="366">
        <v>1122.0</v>
      </c>
      <c r="E27" s="114"/>
    </row>
    <row r="28">
      <c r="B28" s="347">
        <v>17.0</v>
      </c>
      <c r="C28" s="271">
        <v>5.0</v>
      </c>
      <c r="D28" s="371">
        <v>1009.0</v>
      </c>
      <c r="E28" s="115"/>
    </row>
    <row r="29">
      <c r="B29" s="356">
        <v>18.0</v>
      </c>
      <c r="C29" s="365">
        <v>6.0</v>
      </c>
      <c r="D29" s="366">
        <v>987.0</v>
      </c>
      <c r="E29" s="114"/>
    </row>
    <row r="30">
      <c r="B30" s="347">
        <v>19.0</v>
      </c>
      <c r="C30" s="271">
        <v>7.0</v>
      </c>
      <c r="D30" s="371">
        <v>1014.0</v>
      </c>
      <c r="E30" s="115"/>
    </row>
    <row r="31">
      <c r="B31" s="356">
        <v>20.0</v>
      </c>
      <c r="C31" s="365">
        <v>8.0</v>
      </c>
      <c r="D31" s="366">
        <v>865.0</v>
      </c>
      <c r="E31" s="114"/>
    </row>
    <row r="32">
      <c r="B32" s="347">
        <v>21.0</v>
      </c>
      <c r="C32" s="271">
        <v>9.0</v>
      </c>
      <c r="D32" s="371">
        <v>1018.0</v>
      </c>
      <c r="E32" s="115"/>
    </row>
    <row r="33">
      <c r="B33" s="356">
        <v>22.0</v>
      </c>
      <c r="C33" s="365">
        <v>10.0</v>
      </c>
      <c r="D33" s="366">
        <v>913.0</v>
      </c>
      <c r="E33" s="114"/>
    </row>
    <row r="34">
      <c r="B34" s="347">
        <v>23.0</v>
      </c>
      <c r="C34" s="271">
        <v>11.0</v>
      </c>
      <c r="D34" s="371">
        <v>772.0</v>
      </c>
      <c r="E34" s="115"/>
    </row>
    <row r="35">
      <c r="B35" s="356">
        <v>24.0</v>
      </c>
      <c r="C35" s="365">
        <v>12.0</v>
      </c>
      <c r="D35" s="366">
        <v>907.0</v>
      </c>
      <c r="E35" s="116"/>
    </row>
    <row r="36" ht="26.25" customHeight="1">
      <c r="B36" s="429">
        <v>2022.0</v>
      </c>
      <c r="C36" s="188"/>
      <c r="D36" s="188"/>
      <c r="E36" s="163"/>
    </row>
    <row r="37">
      <c r="B37" s="393">
        <v>25.0</v>
      </c>
      <c r="C37" s="394">
        <v>1.0</v>
      </c>
      <c r="D37" s="395">
        <v>403.0</v>
      </c>
      <c r="E37" s="396" t="s">
        <v>391</v>
      </c>
    </row>
    <row r="38">
      <c r="B38" s="399">
        <v>26.0</v>
      </c>
      <c r="C38" s="400">
        <v>2.0</v>
      </c>
      <c r="D38" s="401">
        <v>347.0</v>
      </c>
      <c r="E38" s="402"/>
    </row>
    <row r="39">
      <c r="B39" s="393">
        <v>27.0</v>
      </c>
      <c r="C39" s="394">
        <v>3.0</v>
      </c>
      <c r="D39" s="395">
        <v>200.0</v>
      </c>
      <c r="E39" s="402"/>
    </row>
    <row r="40">
      <c r="B40" s="399">
        <v>28.0</v>
      </c>
      <c r="C40" s="400">
        <v>4.0</v>
      </c>
      <c r="D40" s="401">
        <v>103.0</v>
      </c>
      <c r="E40" s="402"/>
    </row>
    <row r="41">
      <c r="B41" s="393">
        <v>29.0</v>
      </c>
      <c r="C41" s="394">
        <v>5.0</v>
      </c>
      <c r="D41" s="395">
        <v>67.0</v>
      </c>
      <c r="E41" s="402"/>
    </row>
    <row r="42">
      <c r="B42" s="399">
        <v>30.0</v>
      </c>
      <c r="C42" s="400">
        <v>6.0</v>
      </c>
      <c r="D42" s="401">
        <v>50.0</v>
      </c>
      <c r="E42" s="402"/>
    </row>
    <row r="43">
      <c r="B43" s="393">
        <v>31.0</v>
      </c>
      <c r="C43" s="394">
        <v>7.0</v>
      </c>
      <c r="D43" s="395">
        <v>100.0</v>
      </c>
      <c r="E43" s="402"/>
    </row>
    <row r="44">
      <c r="B44" s="399">
        <v>32.0</v>
      </c>
      <c r="C44" s="400">
        <v>8.0</v>
      </c>
      <c r="D44" s="401">
        <v>70.0</v>
      </c>
      <c r="E44" s="402"/>
    </row>
    <row r="45">
      <c r="B45" s="393">
        <v>33.0</v>
      </c>
      <c r="C45" s="394">
        <v>9.0</v>
      </c>
      <c r="D45" s="395">
        <v>98.0</v>
      </c>
      <c r="E45" s="402"/>
    </row>
    <row r="46">
      <c r="B46" s="399">
        <v>34.0</v>
      </c>
      <c r="C46" s="400">
        <v>10.0</v>
      </c>
      <c r="D46" s="401">
        <v>212.0</v>
      </c>
      <c r="E46" s="402"/>
    </row>
    <row r="47">
      <c r="B47" s="393">
        <v>35.0</v>
      </c>
      <c r="C47" s="394">
        <v>11.0</v>
      </c>
      <c r="D47" s="395">
        <v>400.0</v>
      </c>
      <c r="E47" s="402"/>
    </row>
    <row r="48">
      <c r="B48" s="399">
        <v>36.0</v>
      </c>
      <c r="C48" s="400">
        <v>12.0</v>
      </c>
      <c r="D48" s="401">
        <v>369.0</v>
      </c>
      <c r="E48" s="405"/>
    </row>
    <row r="49" ht="26.25" customHeight="1">
      <c r="B49" s="429">
        <v>2023.0</v>
      </c>
      <c r="C49" s="188"/>
      <c r="D49" s="188"/>
      <c r="E49" s="163"/>
    </row>
    <row r="50">
      <c r="B50" s="399">
        <v>37.0</v>
      </c>
      <c r="C50" s="400">
        <v>1.0</v>
      </c>
      <c r="D50" s="410">
        <v>6846.0</v>
      </c>
      <c r="E50" s="411" t="s">
        <v>394</v>
      </c>
    </row>
    <row r="51">
      <c r="B51" s="413">
        <v>38.0</v>
      </c>
      <c r="C51" s="414">
        <v>2.0</v>
      </c>
      <c r="D51" s="415">
        <v>9746.0</v>
      </c>
      <c r="E51" s="108"/>
    </row>
    <row r="52">
      <c r="B52" s="399">
        <v>39.0</v>
      </c>
      <c r="C52" s="417">
        <v>3.0</v>
      </c>
      <c r="D52" s="418">
        <v>9354.0</v>
      </c>
      <c r="E52" s="108"/>
    </row>
    <row r="53">
      <c r="B53" s="413">
        <v>40.0</v>
      </c>
      <c r="C53" s="414">
        <v>4.0</v>
      </c>
      <c r="D53" s="415">
        <v>6890.0</v>
      </c>
      <c r="E53" s="108"/>
    </row>
    <row r="54">
      <c r="B54" s="399">
        <v>41.0</v>
      </c>
      <c r="C54" s="417">
        <v>5.0</v>
      </c>
      <c r="D54" s="418">
        <v>8531.0</v>
      </c>
      <c r="E54" s="108"/>
    </row>
    <row r="55">
      <c r="B55" s="413">
        <v>42.0</v>
      </c>
      <c r="C55" s="414">
        <v>6.0</v>
      </c>
      <c r="D55" s="415">
        <v>7462.0</v>
      </c>
      <c r="E55" s="108"/>
    </row>
    <row r="56">
      <c r="B56" s="399">
        <v>43.0</v>
      </c>
      <c r="C56" s="417">
        <v>7.0</v>
      </c>
      <c r="D56" s="418">
        <v>9023.0</v>
      </c>
      <c r="E56" s="108"/>
    </row>
    <row r="57">
      <c r="B57" s="413">
        <v>44.0</v>
      </c>
      <c r="C57" s="414">
        <v>8.0</v>
      </c>
      <c r="D57" s="415">
        <v>9546.0</v>
      </c>
      <c r="E57" s="108"/>
    </row>
    <row r="58">
      <c r="B58" s="399">
        <v>45.0</v>
      </c>
      <c r="C58" s="417">
        <v>9.0</v>
      </c>
      <c r="D58" s="418">
        <v>7985.0</v>
      </c>
      <c r="E58" s="108"/>
    </row>
    <row r="59">
      <c r="B59" s="413">
        <v>46.0</v>
      </c>
      <c r="C59" s="414">
        <v>10.0</v>
      </c>
      <c r="D59" s="415">
        <v>10346.0</v>
      </c>
      <c r="E59" s="108"/>
    </row>
    <row r="60">
      <c r="B60" s="399">
        <v>47.0</v>
      </c>
      <c r="C60" s="417">
        <v>11.0</v>
      </c>
      <c r="D60" s="418">
        <v>8471.0</v>
      </c>
      <c r="E60" s="108"/>
    </row>
    <row r="61">
      <c r="B61" s="413">
        <v>48.0</v>
      </c>
      <c r="C61" s="414">
        <v>12.0</v>
      </c>
      <c r="D61" s="415">
        <v>10235.0</v>
      </c>
      <c r="E61" s="49"/>
    </row>
  </sheetData>
  <mergeCells count="10">
    <mergeCell ref="E37:E48"/>
    <mergeCell ref="B49:E49"/>
    <mergeCell ref="E50:E61"/>
    <mergeCell ref="B5:E7"/>
    <mergeCell ref="B8:E8"/>
    <mergeCell ref="B10:E10"/>
    <mergeCell ref="E11:E22"/>
    <mergeCell ref="B23:E23"/>
    <mergeCell ref="E24:E35"/>
    <mergeCell ref="B36:E36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cols>
    <col customWidth="1" min="1" max="2" width="20.25"/>
    <col customWidth="1" min="3" max="3" width="18.88"/>
  </cols>
  <sheetData>
    <row r="1">
      <c r="A1" s="58" t="s">
        <v>288</v>
      </c>
      <c r="B1" s="58" t="s">
        <v>399</v>
      </c>
      <c r="C1" s="58" t="s">
        <v>364</v>
      </c>
    </row>
    <row r="2">
      <c r="A2" s="432">
        <v>43831.0</v>
      </c>
      <c r="B2" s="58">
        <v>1250.0</v>
      </c>
      <c r="C2" s="435" t="s">
        <v>379</v>
      </c>
      <c r="D2" s="428"/>
    </row>
    <row r="3">
      <c r="A3" s="432">
        <v>43862.0</v>
      </c>
      <c r="B3" s="58">
        <v>1180.0</v>
      </c>
      <c r="C3" s="435" t="s">
        <v>379</v>
      </c>
      <c r="D3" s="428"/>
    </row>
    <row r="4">
      <c r="A4" s="432">
        <v>43891.0</v>
      </c>
      <c r="B4" s="58">
        <v>1300.0</v>
      </c>
      <c r="C4" s="435" t="s">
        <v>379</v>
      </c>
      <c r="D4" s="428"/>
    </row>
    <row r="5">
      <c r="A5" s="432">
        <v>43922.0</v>
      </c>
      <c r="B5" s="58">
        <v>1220.0</v>
      </c>
      <c r="C5" s="435" t="s">
        <v>379</v>
      </c>
      <c r="D5" s="428"/>
    </row>
    <row r="6">
      <c r="A6" s="432">
        <v>43952.0</v>
      </c>
      <c r="B6" s="58">
        <v>1280.0</v>
      </c>
      <c r="C6" s="435" t="s">
        <v>379</v>
      </c>
      <c r="D6" s="428"/>
    </row>
    <row r="7">
      <c r="A7" s="432">
        <v>43983.0</v>
      </c>
      <c r="B7" s="58">
        <v>1200.0</v>
      </c>
      <c r="C7" s="435" t="s">
        <v>379</v>
      </c>
      <c r="D7" s="428"/>
    </row>
    <row r="8">
      <c r="A8" s="432">
        <v>44013.0</v>
      </c>
      <c r="B8" s="58">
        <v>1350.0</v>
      </c>
      <c r="C8" s="435" t="s">
        <v>379</v>
      </c>
      <c r="D8" s="428"/>
    </row>
    <row r="9">
      <c r="A9" s="432">
        <v>44044.0</v>
      </c>
      <c r="B9" s="58">
        <v>1270.0</v>
      </c>
      <c r="C9" s="435" t="s">
        <v>379</v>
      </c>
      <c r="D9" s="428"/>
    </row>
    <row r="10">
      <c r="A10" s="432">
        <v>44075.0</v>
      </c>
      <c r="B10" s="58">
        <v>1190.0</v>
      </c>
      <c r="C10" s="435" t="s">
        <v>379</v>
      </c>
      <c r="D10" s="428"/>
    </row>
    <row r="11">
      <c r="A11" s="432">
        <v>44105.0</v>
      </c>
      <c r="B11" s="58">
        <v>1320.0</v>
      </c>
      <c r="C11" s="435" t="s">
        <v>379</v>
      </c>
      <c r="D11" s="428"/>
    </row>
    <row r="12">
      <c r="A12" s="432">
        <v>44136.0</v>
      </c>
      <c r="B12" s="58">
        <v>1240.0</v>
      </c>
      <c r="C12" s="435" t="s">
        <v>379</v>
      </c>
      <c r="D12" s="428"/>
    </row>
    <row r="13">
      <c r="A13" s="432">
        <v>44166.0</v>
      </c>
      <c r="B13" s="58">
        <v>1210.0</v>
      </c>
      <c r="C13" s="435" t="s">
        <v>379</v>
      </c>
      <c r="D13" s="428"/>
    </row>
    <row r="14">
      <c r="A14" s="432">
        <v>44197.0</v>
      </c>
      <c r="B14" s="58">
        <v>954.0</v>
      </c>
      <c r="C14" s="435" t="s">
        <v>385</v>
      </c>
      <c r="D14" s="428"/>
    </row>
    <row r="15">
      <c r="A15" s="432">
        <v>44228.0</v>
      </c>
      <c r="B15" s="58">
        <v>1031.0</v>
      </c>
      <c r="C15" s="435" t="s">
        <v>385</v>
      </c>
      <c r="D15" s="428"/>
    </row>
    <row r="16">
      <c r="A16" s="432">
        <v>44256.0</v>
      </c>
      <c r="B16" s="58">
        <v>876.0</v>
      </c>
      <c r="C16" s="435" t="s">
        <v>385</v>
      </c>
      <c r="D16" s="428"/>
    </row>
    <row r="17">
      <c r="A17" s="432">
        <v>44287.0</v>
      </c>
      <c r="B17" s="58">
        <v>1122.0</v>
      </c>
      <c r="C17" s="435" t="s">
        <v>385</v>
      </c>
      <c r="D17" s="428"/>
    </row>
    <row r="18">
      <c r="A18" s="432">
        <v>44317.0</v>
      </c>
      <c r="B18" s="58">
        <v>1009.0</v>
      </c>
      <c r="C18" s="435" t="s">
        <v>385</v>
      </c>
    </row>
    <row r="19">
      <c r="A19" s="432">
        <v>44348.0</v>
      </c>
      <c r="B19" s="58">
        <v>987.0</v>
      </c>
      <c r="C19" s="435" t="s">
        <v>385</v>
      </c>
    </row>
    <row r="20">
      <c r="A20" s="432">
        <v>44378.0</v>
      </c>
      <c r="B20" s="58">
        <v>1014.0</v>
      </c>
      <c r="C20" s="435" t="s">
        <v>385</v>
      </c>
    </row>
    <row r="21">
      <c r="A21" s="432">
        <v>44409.0</v>
      </c>
      <c r="B21" s="58">
        <v>865.0</v>
      </c>
      <c r="C21" s="435" t="s">
        <v>385</v>
      </c>
    </row>
    <row r="22">
      <c r="A22" s="432">
        <v>44440.0</v>
      </c>
      <c r="B22" s="58">
        <v>1018.0</v>
      </c>
      <c r="C22" s="435" t="s">
        <v>385</v>
      </c>
    </row>
    <row r="23">
      <c r="A23" s="432">
        <v>44470.0</v>
      </c>
      <c r="B23" s="58">
        <v>913.0</v>
      </c>
      <c r="C23" s="435" t="s">
        <v>385</v>
      </c>
    </row>
    <row r="24">
      <c r="A24" s="432">
        <v>44501.0</v>
      </c>
      <c r="B24" s="58">
        <v>772.0</v>
      </c>
      <c r="C24" s="435" t="s">
        <v>385</v>
      </c>
    </row>
    <row r="25">
      <c r="A25" s="432">
        <v>44531.0</v>
      </c>
      <c r="B25" s="58">
        <v>907.0</v>
      </c>
      <c r="C25" s="435" t="s">
        <v>385</v>
      </c>
    </row>
    <row r="26">
      <c r="A26" s="432">
        <v>44562.0</v>
      </c>
      <c r="B26" s="58">
        <v>403.0</v>
      </c>
      <c r="C26" s="435" t="s">
        <v>391</v>
      </c>
    </row>
    <row r="27">
      <c r="A27" s="432">
        <v>44593.0</v>
      </c>
      <c r="B27" s="58">
        <v>347.0</v>
      </c>
      <c r="C27" s="435" t="s">
        <v>391</v>
      </c>
    </row>
    <row r="28">
      <c r="A28" s="432">
        <v>44621.0</v>
      </c>
      <c r="B28" s="58">
        <v>200.0</v>
      </c>
      <c r="C28" s="435" t="s">
        <v>391</v>
      </c>
    </row>
    <row r="29">
      <c r="A29" s="432">
        <v>44652.0</v>
      </c>
      <c r="B29" s="58">
        <v>103.0</v>
      </c>
      <c r="C29" s="435" t="s">
        <v>391</v>
      </c>
    </row>
    <row r="30">
      <c r="A30" s="432">
        <v>44682.0</v>
      </c>
      <c r="B30" s="58">
        <v>67.0</v>
      </c>
      <c r="C30" s="435" t="s">
        <v>391</v>
      </c>
    </row>
    <row r="31">
      <c r="A31" s="432">
        <v>44713.0</v>
      </c>
      <c r="B31" s="58">
        <v>50.0</v>
      </c>
      <c r="C31" s="435" t="s">
        <v>391</v>
      </c>
    </row>
    <row r="32">
      <c r="A32" s="432">
        <v>44743.0</v>
      </c>
      <c r="B32" s="58">
        <v>100.0</v>
      </c>
      <c r="C32" s="435" t="s">
        <v>391</v>
      </c>
    </row>
    <row r="33">
      <c r="A33" s="432">
        <v>44774.0</v>
      </c>
      <c r="B33" s="58">
        <v>70.0</v>
      </c>
      <c r="C33" s="435" t="s">
        <v>391</v>
      </c>
    </row>
    <row r="34">
      <c r="A34" s="432">
        <v>44805.0</v>
      </c>
      <c r="B34" s="58">
        <v>98.0</v>
      </c>
      <c r="C34" s="435" t="s">
        <v>391</v>
      </c>
    </row>
    <row r="35">
      <c r="A35" s="432">
        <v>44835.0</v>
      </c>
      <c r="B35" s="58">
        <v>212.0</v>
      </c>
      <c r="C35" s="435" t="s">
        <v>391</v>
      </c>
    </row>
    <row r="36">
      <c r="A36" s="432">
        <v>44866.0</v>
      </c>
      <c r="B36" s="58">
        <v>400.0</v>
      </c>
      <c r="C36" s="435" t="s">
        <v>391</v>
      </c>
    </row>
    <row r="37">
      <c r="A37" s="432">
        <v>44896.0</v>
      </c>
      <c r="B37" s="58">
        <v>369.0</v>
      </c>
      <c r="C37" s="435" t="s">
        <v>391</v>
      </c>
    </row>
    <row r="38">
      <c r="A38" s="432">
        <v>44927.0</v>
      </c>
      <c r="B38" s="58">
        <v>6846.0</v>
      </c>
      <c r="C38" s="435" t="s">
        <v>394</v>
      </c>
    </row>
    <row r="39">
      <c r="A39" s="432">
        <v>44958.0</v>
      </c>
      <c r="B39" s="58">
        <v>9746.0</v>
      </c>
      <c r="C39" s="435" t="s">
        <v>394</v>
      </c>
    </row>
    <row r="40">
      <c r="A40" s="432">
        <v>44986.0</v>
      </c>
      <c r="B40" s="58">
        <v>9354.0</v>
      </c>
      <c r="C40" s="435" t="s">
        <v>394</v>
      </c>
    </row>
    <row r="41">
      <c r="A41" s="432">
        <v>45017.0</v>
      </c>
      <c r="B41" s="58">
        <v>6890.0</v>
      </c>
      <c r="C41" s="435" t="s">
        <v>394</v>
      </c>
    </row>
    <row r="42">
      <c r="A42" s="432">
        <v>45047.0</v>
      </c>
      <c r="B42" s="58">
        <v>8531.0</v>
      </c>
      <c r="C42" s="435" t="s">
        <v>394</v>
      </c>
    </row>
    <row r="43">
      <c r="A43" s="432">
        <v>45078.0</v>
      </c>
      <c r="B43" s="58">
        <v>7462.0</v>
      </c>
      <c r="C43" s="435" t="s">
        <v>394</v>
      </c>
    </row>
    <row r="44">
      <c r="A44" s="432">
        <v>45108.0</v>
      </c>
      <c r="B44" s="58">
        <v>9023.0</v>
      </c>
      <c r="C44" s="435" t="s">
        <v>394</v>
      </c>
    </row>
    <row r="45">
      <c r="A45" s="432">
        <v>45139.0</v>
      </c>
      <c r="B45" s="58">
        <v>9546.0</v>
      </c>
      <c r="C45" s="435" t="s">
        <v>394</v>
      </c>
    </row>
    <row r="46">
      <c r="A46" s="432">
        <v>45170.0</v>
      </c>
      <c r="B46" s="58">
        <v>7985.0</v>
      </c>
      <c r="C46" s="435" t="s">
        <v>394</v>
      </c>
    </row>
    <row r="47">
      <c r="A47" s="432">
        <v>45200.0</v>
      </c>
      <c r="B47" s="58">
        <v>10346.0</v>
      </c>
      <c r="C47" s="435" t="s">
        <v>394</v>
      </c>
    </row>
    <row r="48">
      <c r="A48" s="432">
        <v>45231.0</v>
      </c>
      <c r="B48" s="58">
        <v>8471.0</v>
      </c>
      <c r="C48" s="435" t="s">
        <v>394</v>
      </c>
    </row>
    <row r="49">
      <c r="A49" s="432">
        <v>45261.0</v>
      </c>
      <c r="B49" s="58">
        <v>10235.0</v>
      </c>
      <c r="C49" s="435" t="s">
        <v>394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4" max="4" width="25.75"/>
    <col customWidth="1" min="5" max="5" width="25.13"/>
  </cols>
  <sheetData>
    <row r="2">
      <c r="B2" s="68" t="s">
        <v>370</v>
      </c>
      <c r="C2" s="69"/>
      <c r="D2" s="69"/>
      <c r="E2" s="107"/>
    </row>
    <row r="3">
      <c r="B3" s="74"/>
      <c r="E3" s="108"/>
    </row>
    <row r="4">
      <c r="B4" s="74"/>
      <c r="E4" s="108"/>
    </row>
    <row r="5">
      <c r="B5" s="78"/>
      <c r="C5" s="79"/>
      <c r="D5" s="79"/>
      <c r="E5" s="79"/>
    </row>
    <row r="6">
      <c r="B6" s="83" t="s">
        <v>293</v>
      </c>
      <c r="C6" s="83" t="s">
        <v>294</v>
      </c>
      <c r="D6" s="83" t="s">
        <v>375</v>
      </c>
      <c r="E6" s="83" t="s">
        <v>376</v>
      </c>
    </row>
    <row r="7">
      <c r="B7" s="125">
        <v>1.0</v>
      </c>
      <c r="C7" s="125">
        <v>1.0</v>
      </c>
      <c r="D7" s="125">
        <v>168.0</v>
      </c>
      <c r="E7" s="324" t="s">
        <v>378</v>
      </c>
    </row>
    <row r="8">
      <c r="B8" s="160">
        <v>2.0</v>
      </c>
      <c r="C8" s="160">
        <v>2.0</v>
      </c>
      <c r="D8" s="325">
        <v>175.0</v>
      </c>
      <c r="E8" s="330" t="s">
        <v>380</v>
      </c>
    </row>
    <row r="9">
      <c r="B9" s="125">
        <v>3.0</v>
      </c>
      <c r="C9" s="125">
        <v>3.0</v>
      </c>
      <c r="D9" s="332">
        <v>177.0</v>
      </c>
      <c r="E9" s="324" t="s">
        <v>381</v>
      </c>
    </row>
    <row r="10">
      <c r="B10" s="160">
        <v>4.0</v>
      </c>
      <c r="C10" s="160">
        <v>4.0</v>
      </c>
      <c r="D10" s="325">
        <v>172.0</v>
      </c>
      <c r="E10" s="330" t="s">
        <v>379</v>
      </c>
    </row>
    <row r="11">
      <c r="B11" s="162" t="s">
        <v>382</v>
      </c>
      <c r="C11" s="163"/>
      <c r="D11" s="335">
        <v>172.0</v>
      </c>
      <c r="E11" s="336">
        <v>1810.0</v>
      </c>
    </row>
    <row r="12">
      <c r="B12" s="160">
        <v>5.0</v>
      </c>
      <c r="C12" s="160">
        <v>1.0</v>
      </c>
      <c r="D12" s="325">
        <v>180.0</v>
      </c>
      <c r="E12" s="325">
        <v>2000.0</v>
      </c>
    </row>
    <row r="13">
      <c r="B13" s="125">
        <v>6.0</v>
      </c>
      <c r="C13" s="125">
        <v>2.0</v>
      </c>
      <c r="D13" s="332">
        <v>195.0</v>
      </c>
      <c r="E13" s="332">
        <v>1957.0</v>
      </c>
    </row>
    <row r="14">
      <c r="B14" s="160">
        <v>7.0</v>
      </c>
      <c r="C14" s="160">
        <v>3.0</v>
      </c>
      <c r="D14" s="325">
        <v>210.0</v>
      </c>
      <c r="E14" s="325">
        <v>2130.0</v>
      </c>
    </row>
    <row r="15">
      <c r="B15" s="125">
        <v>8.0</v>
      </c>
      <c r="C15" s="125">
        <v>4.0</v>
      </c>
      <c r="D15" s="332">
        <v>219.0</v>
      </c>
      <c r="E15" s="332">
        <v>2236.0</v>
      </c>
    </row>
    <row r="16">
      <c r="B16" s="342" t="s">
        <v>383</v>
      </c>
      <c r="C16" s="192"/>
      <c r="D16" s="344">
        <v>219.0</v>
      </c>
      <c r="E16" s="345">
        <v>2236.0</v>
      </c>
    </row>
    <row r="17">
      <c r="B17" s="347">
        <v>9.0</v>
      </c>
      <c r="C17" s="347">
        <v>1.0</v>
      </c>
      <c r="D17" s="351">
        <v>211.0</v>
      </c>
      <c r="E17" s="351">
        <v>2150.0</v>
      </c>
    </row>
    <row r="18">
      <c r="B18" s="356">
        <v>10.0</v>
      </c>
      <c r="C18" s="356">
        <v>2.0</v>
      </c>
      <c r="D18" s="357">
        <v>185.0</v>
      </c>
      <c r="E18" s="357">
        <v>2086.0</v>
      </c>
    </row>
    <row r="19">
      <c r="B19" s="347">
        <v>11.0</v>
      </c>
      <c r="C19" s="347">
        <v>3.0</v>
      </c>
      <c r="D19" s="351">
        <v>198.0</v>
      </c>
      <c r="E19" s="351">
        <v>1900.0</v>
      </c>
    </row>
    <row r="20">
      <c r="B20" s="356">
        <v>12.0</v>
      </c>
      <c r="C20" s="356">
        <v>4.0</v>
      </c>
      <c r="D20" s="357">
        <v>180.0</v>
      </c>
      <c r="E20" s="357">
        <v>1815.0</v>
      </c>
    </row>
    <row r="21">
      <c r="B21" s="369" t="s">
        <v>386</v>
      </c>
      <c r="C21" s="163"/>
      <c r="D21" s="335">
        <v>180.0</v>
      </c>
      <c r="E21" s="373">
        <v>1815.0</v>
      </c>
    </row>
    <row r="22">
      <c r="B22" s="356">
        <v>13.0</v>
      </c>
      <c r="C22" s="356">
        <v>1.0</v>
      </c>
      <c r="D22" s="357">
        <v>169.0</v>
      </c>
      <c r="E22" s="357">
        <v>1850.0</v>
      </c>
    </row>
    <row r="23">
      <c r="B23" s="347">
        <v>14.0</v>
      </c>
      <c r="C23" s="347">
        <v>2.0</v>
      </c>
      <c r="D23" s="351">
        <v>175.0</v>
      </c>
      <c r="E23" s="351">
        <v>1700.0</v>
      </c>
    </row>
    <row r="24">
      <c r="B24" s="356">
        <v>15.0</v>
      </c>
      <c r="C24" s="356">
        <v>3.0</v>
      </c>
      <c r="D24" s="357">
        <v>162.0</v>
      </c>
      <c r="E24" s="357">
        <v>1650.0</v>
      </c>
    </row>
    <row r="25">
      <c r="B25" s="347">
        <v>16.0</v>
      </c>
      <c r="C25" s="347">
        <v>4.0</v>
      </c>
      <c r="D25" s="351">
        <v>162.0</v>
      </c>
      <c r="E25" s="351">
        <v>1538.0</v>
      </c>
    </row>
    <row r="26">
      <c r="B26" s="377" t="s">
        <v>387</v>
      </c>
      <c r="C26" s="192"/>
      <c r="D26" s="344">
        <v>162.0</v>
      </c>
      <c r="E26" s="379">
        <v>1538.0</v>
      </c>
    </row>
  </sheetData>
  <mergeCells count="5">
    <mergeCell ref="B2:E4"/>
    <mergeCell ref="B11:C11"/>
    <mergeCell ref="B16:C16"/>
    <mergeCell ref="B21:C21"/>
    <mergeCell ref="B26:C26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cols>
    <col customWidth="1" min="1" max="2" width="20.25"/>
    <col customWidth="1" min="3" max="3" width="18.88"/>
  </cols>
  <sheetData>
    <row r="1">
      <c r="A1" s="58" t="s">
        <v>288</v>
      </c>
      <c r="B1" s="58" t="s">
        <v>375</v>
      </c>
      <c r="C1" s="58" t="s">
        <v>376</v>
      </c>
    </row>
    <row r="2">
      <c r="A2" s="133">
        <v>43831.0</v>
      </c>
      <c r="B2" s="428">
        <v>168.0</v>
      </c>
      <c r="C2" s="428">
        <v>1900.0</v>
      </c>
      <c r="D2" s="428"/>
    </row>
    <row r="3">
      <c r="A3" s="133">
        <v>43922.0</v>
      </c>
      <c r="B3" s="428">
        <v>175.0</v>
      </c>
      <c r="C3" s="428">
        <v>1850.0</v>
      </c>
      <c r="D3" s="428"/>
    </row>
    <row r="4">
      <c r="A4" s="133">
        <v>44013.0</v>
      </c>
      <c r="B4" s="428">
        <v>177.0</v>
      </c>
      <c r="C4" s="428">
        <v>1838.0</v>
      </c>
      <c r="D4" s="428"/>
    </row>
    <row r="5">
      <c r="A5" s="133">
        <v>44105.0</v>
      </c>
      <c r="B5" s="428">
        <v>172.0</v>
      </c>
      <c r="C5" s="428">
        <v>1810.0</v>
      </c>
      <c r="D5" s="428"/>
    </row>
    <row r="6">
      <c r="A6" s="133">
        <v>44197.0</v>
      </c>
      <c r="B6" s="428">
        <v>180.0</v>
      </c>
      <c r="C6" s="428">
        <v>2000.0</v>
      </c>
      <c r="D6" s="428"/>
    </row>
    <row r="7">
      <c r="A7" s="133">
        <v>44287.0</v>
      </c>
      <c r="B7" s="428">
        <v>195.0</v>
      </c>
      <c r="C7" s="428">
        <v>1957.0</v>
      </c>
      <c r="D7" s="428"/>
    </row>
    <row r="8">
      <c r="A8" s="133">
        <v>44378.0</v>
      </c>
      <c r="B8" s="428">
        <v>210.0</v>
      </c>
      <c r="C8" s="428">
        <v>2130.0</v>
      </c>
      <c r="D8" s="428"/>
    </row>
    <row r="9">
      <c r="A9" s="133">
        <v>44470.0</v>
      </c>
      <c r="B9" s="428">
        <v>219.0</v>
      </c>
      <c r="C9" s="428">
        <v>2236.0</v>
      </c>
      <c r="D9" s="428"/>
    </row>
    <row r="10">
      <c r="A10" s="133">
        <v>44562.0</v>
      </c>
      <c r="B10" s="428">
        <v>211.0</v>
      </c>
      <c r="C10" s="428">
        <v>2150.0</v>
      </c>
      <c r="D10" s="428"/>
    </row>
    <row r="11">
      <c r="A11" s="133">
        <v>44652.0</v>
      </c>
      <c r="B11" s="428">
        <v>185.0</v>
      </c>
      <c r="C11" s="428">
        <v>2086.0</v>
      </c>
      <c r="D11" s="428"/>
    </row>
    <row r="12">
      <c r="A12" s="133">
        <v>44743.0</v>
      </c>
      <c r="B12" s="428">
        <v>198.0</v>
      </c>
      <c r="C12" s="428">
        <v>1900.0</v>
      </c>
      <c r="D12" s="428"/>
    </row>
    <row r="13">
      <c r="A13" s="133">
        <v>44835.0</v>
      </c>
      <c r="B13" s="428">
        <v>180.0</v>
      </c>
      <c r="C13" s="428">
        <v>1815.0</v>
      </c>
      <c r="D13" s="428"/>
    </row>
    <row r="14">
      <c r="A14" s="133">
        <v>44927.0</v>
      </c>
      <c r="B14" s="428">
        <v>169.0</v>
      </c>
      <c r="C14" s="428">
        <v>1850.0</v>
      </c>
      <c r="D14" s="428"/>
    </row>
    <row r="15">
      <c r="A15" s="133">
        <v>45017.0</v>
      </c>
      <c r="B15" s="428">
        <v>175.0</v>
      </c>
      <c r="C15" s="428">
        <v>1700.0</v>
      </c>
      <c r="D15" s="428"/>
    </row>
    <row r="16">
      <c r="A16" s="133">
        <v>45108.0</v>
      </c>
      <c r="B16" s="428">
        <v>162.0</v>
      </c>
      <c r="C16" s="428">
        <v>1650.0</v>
      </c>
      <c r="D16" s="428"/>
    </row>
    <row r="17">
      <c r="A17" s="133">
        <v>45200.0</v>
      </c>
      <c r="B17" s="428">
        <v>162.0</v>
      </c>
      <c r="C17" s="428">
        <v>1538.0</v>
      </c>
      <c r="D17" s="428"/>
    </row>
    <row r="18">
      <c r="A18" s="432"/>
      <c r="C18" s="435"/>
    </row>
    <row r="19">
      <c r="A19" s="432"/>
      <c r="C19" s="435"/>
    </row>
    <row r="20">
      <c r="A20" s="432"/>
      <c r="C20" s="435"/>
    </row>
    <row r="21">
      <c r="A21" s="432"/>
      <c r="C21" s="435"/>
    </row>
    <row r="22">
      <c r="A22" s="432"/>
      <c r="C22" s="435"/>
    </row>
    <row r="23">
      <c r="A23" s="432"/>
      <c r="C23" s="435"/>
    </row>
    <row r="24">
      <c r="A24" s="432"/>
      <c r="C24" s="435"/>
    </row>
    <row r="25">
      <c r="A25" s="432"/>
      <c r="C25" s="435"/>
    </row>
    <row r="26">
      <c r="A26" s="432"/>
      <c r="C26" s="435"/>
    </row>
    <row r="27">
      <c r="A27" s="432"/>
      <c r="C27" s="435"/>
    </row>
    <row r="28">
      <c r="A28" s="432"/>
      <c r="C28" s="435"/>
    </row>
    <row r="29">
      <c r="A29" s="432"/>
      <c r="C29" s="435"/>
    </row>
    <row r="30">
      <c r="A30" s="432"/>
      <c r="C30" s="435"/>
    </row>
    <row r="31">
      <c r="A31" s="432"/>
      <c r="C31" s="435"/>
    </row>
    <row r="32">
      <c r="A32" s="432"/>
      <c r="C32" s="435"/>
    </row>
    <row r="33">
      <c r="A33" s="432"/>
      <c r="C33" s="435"/>
    </row>
    <row r="34">
      <c r="A34" s="432"/>
      <c r="C34" s="435"/>
    </row>
    <row r="35">
      <c r="A35" s="432"/>
      <c r="C35" s="435"/>
    </row>
    <row r="36">
      <c r="A36" s="432"/>
      <c r="C36" s="435"/>
    </row>
    <row r="37">
      <c r="A37" s="432"/>
      <c r="C37" s="435"/>
    </row>
    <row r="38">
      <c r="A38" s="432"/>
      <c r="C38" s="435"/>
    </row>
    <row r="39">
      <c r="A39" s="432"/>
      <c r="C39" s="435"/>
    </row>
    <row r="40">
      <c r="A40" s="432"/>
      <c r="C40" s="435"/>
    </row>
    <row r="41">
      <c r="A41" s="432"/>
      <c r="C41" s="435"/>
    </row>
    <row r="42">
      <c r="A42" s="432"/>
      <c r="C42" s="435"/>
    </row>
    <row r="43">
      <c r="A43" s="432"/>
      <c r="C43" s="435"/>
    </row>
    <row r="44">
      <c r="A44" s="432"/>
      <c r="C44" s="435"/>
    </row>
    <row r="45">
      <c r="A45" s="432"/>
      <c r="C45" s="435"/>
    </row>
    <row r="46">
      <c r="A46" s="432"/>
      <c r="C46" s="435"/>
    </row>
    <row r="47">
      <c r="A47" s="432"/>
      <c r="C47" s="435"/>
    </row>
    <row r="48">
      <c r="A48" s="432"/>
      <c r="C48" s="435"/>
    </row>
    <row r="49">
      <c r="A49" s="432"/>
      <c r="C49" s="435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13"/>
    <col customWidth="1" min="5" max="5" width="25.38"/>
  </cols>
  <sheetData>
    <row r="1">
      <c r="A1" s="436" t="s">
        <v>288</v>
      </c>
      <c r="B1" s="436" t="s">
        <v>274</v>
      </c>
      <c r="C1" s="436" t="s">
        <v>400</v>
      </c>
      <c r="D1" s="436" t="s">
        <v>34</v>
      </c>
      <c r="E1" s="436" t="s">
        <v>401</v>
      </c>
    </row>
    <row r="2">
      <c r="A2" s="58" t="s">
        <v>402</v>
      </c>
      <c r="B2" s="58" t="s">
        <v>403</v>
      </c>
      <c r="C2" s="1" t="s">
        <v>404</v>
      </c>
      <c r="D2" s="58">
        <v>230450.0</v>
      </c>
      <c r="E2" s="1" t="s">
        <v>405</v>
      </c>
    </row>
    <row r="3">
      <c r="A3" s="58" t="s">
        <v>406</v>
      </c>
      <c r="B3" s="58" t="s">
        <v>407</v>
      </c>
      <c r="C3" s="1" t="s">
        <v>408</v>
      </c>
      <c r="D3" s="58">
        <v>320405.0</v>
      </c>
      <c r="E3" s="1" t="s">
        <v>405</v>
      </c>
      <c r="H3" s="436"/>
    </row>
    <row r="4">
      <c r="A4" s="58" t="s">
        <v>409</v>
      </c>
      <c r="B4" s="58" t="s">
        <v>410</v>
      </c>
      <c r="C4" s="1" t="s">
        <v>411</v>
      </c>
      <c r="D4" s="58">
        <v>23050.0</v>
      </c>
      <c r="E4" s="1" t="s">
        <v>405</v>
      </c>
      <c r="K4" s="1"/>
    </row>
    <row r="5">
      <c r="A5" s="58" t="s">
        <v>412</v>
      </c>
      <c r="B5" s="58" t="s">
        <v>413</v>
      </c>
      <c r="C5" s="1" t="s">
        <v>414</v>
      </c>
      <c r="D5" s="58">
        <v>-394320.0</v>
      </c>
      <c r="E5" s="1" t="s">
        <v>415</v>
      </c>
      <c r="K5" s="1"/>
    </row>
    <row r="6">
      <c r="A6" s="58" t="s">
        <v>416</v>
      </c>
      <c r="B6" s="58" t="s">
        <v>417</v>
      </c>
      <c r="C6" s="1" t="s">
        <v>418</v>
      </c>
      <c r="D6" s="58">
        <v>-534023.0</v>
      </c>
      <c r="E6" s="1" t="s">
        <v>415</v>
      </c>
      <c r="K6" s="1"/>
    </row>
    <row r="7">
      <c r="A7" s="58" t="s">
        <v>419</v>
      </c>
      <c r="B7" s="58" t="s">
        <v>420</v>
      </c>
      <c r="C7" s="1" t="s">
        <v>421</v>
      </c>
      <c r="D7" s="58">
        <v>-786667.0</v>
      </c>
      <c r="E7" s="1" t="s">
        <v>415</v>
      </c>
      <c r="K7" s="1"/>
    </row>
    <row r="8">
      <c r="A8" s="58" t="s">
        <v>422</v>
      </c>
      <c r="B8" s="58" t="s">
        <v>423</v>
      </c>
      <c r="C8" s="1" t="s">
        <v>424</v>
      </c>
      <c r="D8" s="58">
        <v>-230123.0</v>
      </c>
      <c r="E8" s="1" t="s">
        <v>425</v>
      </c>
      <c r="K8" s="1"/>
    </row>
    <row r="9">
      <c r="A9" s="58" t="s">
        <v>426</v>
      </c>
      <c r="B9" s="58" t="s">
        <v>427</v>
      </c>
      <c r="C9" s="1" t="s">
        <v>428</v>
      </c>
      <c r="D9" s="58">
        <v>-130923.0</v>
      </c>
      <c r="E9" s="1" t="s">
        <v>425</v>
      </c>
      <c r="K9" s="1"/>
    </row>
    <row r="10">
      <c r="A10" s="58" t="s">
        <v>429</v>
      </c>
      <c r="B10" s="58" t="s">
        <v>430</v>
      </c>
      <c r="C10" s="1" t="s">
        <v>431</v>
      </c>
      <c r="D10" s="58">
        <v>-50347.0</v>
      </c>
      <c r="E10" s="1" t="s">
        <v>425</v>
      </c>
      <c r="K10" s="1"/>
    </row>
    <row r="11">
      <c r="A11" s="58" t="s">
        <v>432</v>
      </c>
      <c r="B11" s="58" t="s">
        <v>433</v>
      </c>
      <c r="C11" s="1" t="s">
        <v>434</v>
      </c>
      <c r="D11" s="58">
        <v>30429.0</v>
      </c>
      <c r="E11" s="1" t="s">
        <v>435</v>
      </c>
      <c r="K11" s="1"/>
    </row>
    <row r="12">
      <c r="A12" s="58" t="s">
        <v>436</v>
      </c>
      <c r="B12" s="58" t="s">
        <v>437</v>
      </c>
      <c r="C12" s="1" t="s">
        <v>438</v>
      </c>
      <c r="D12" s="58">
        <v>102384.0</v>
      </c>
      <c r="E12" s="1" t="s">
        <v>435</v>
      </c>
      <c r="K12" s="1"/>
    </row>
    <row r="13">
      <c r="A13" s="58" t="s">
        <v>439</v>
      </c>
      <c r="B13" s="58" t="s">
        <v>440</v>
      </c>
      <c r="C13" s="1" t="s">
        <v>441</v>
      </c>
      <c r="D13" s="58">
        <v>265793.0</v>
      </c>
      <c r="E13" s="1" t="s">
        <v>435</v>
      </c>
      <c r="K13" s="1"/>
    </row>
    <row r="14">
      <c r="A14" s="58" t="s">
        <v>439</v>
      </c>
      <c r="B14" s="58" t="s">
        <v>442</v>
      </c>
      <c r="C14" s="1" t="s">
        <v>443</v>
      </c>
      <c r="D14" s="58">
        <v>387649.0</v>
      </c>
      <c r="E14" s="1" t="s">
        <v>444</v>
      </c>
      <c r="K14" s="1"/>
    </row>
    <row r="15">
      <c r="A15" s="58" t="s">
        <v>439</v>
      </c>
      <c r="B15" s="58" t="s">
        <v>445</v>
      </c>
      <c r="C15" s="1" t="s">
        <v>446</v>
      </c>
      <c r="D15" s="58">
        <v>123740.0</v>
      </c>
      <c r="E15" s="1" t="s">
        <v>444</v>
      </c>
      <c r="K15" s="1"/>
    </row>
    <row r="16">
      <c r="A16" s="58" t="s">
        <v>447</v>
      </c>
      <c r="B16" s="58" t="s">
        <v>448</v>
      </c>
      <c r="C16" s="1" t="s">
        <v>449</v>
      </c>
      <c r="D16" s="58">
        <v>-23848.0</v>
      </c>
      <c r="E16" s="1" t="s">
        <v>444</v>
      </c>
      <c r="K16" s="1"/>
    </row>
    <row r="17">
      <c r="A17" s="58" t="s">
        <v>450</v>
      </c>
      <c r="B17" s="58" t="s">
        <v>451</v>
      </c>
      <c r="C17" s="1" t="s">
        <v>452</v>
      </c>
      <c r="D17" s="58">
        <v>-327454.0</v>
      </c>
      <c r="E17" s="1" t="s">
        <v>453</v>
      </c>
      <c r="K17" s="1"/>
    </row>
    <row r="18">
      <c r="A18" s="58" t="s">
        <v>454</v>
      </c>
      <c r="B18" s="58" t="s">
        <v>455</v>
      </c>
      <c r="C18" s="1" t="s">
        <v>456</v>
      </c>
      <c r="D18" s="58">
        <v>-437539.0</v>
      </c>
      <c r="E18" s="1" t="s">
        <v>453</v>
      </c>
      <c r="K18" s="1"/>
    </row>
    <row r="19">
      <c r="A19" s="58" t="s">
        <v>457</v>
      </c>
      <c r="B19" s="58" t="s">
        <v>458</v>
      </c>
      <c r="C19" s="1" t="s">
        <v>459</v>
      </c>
      <c r="D19" s="58">
        <v>-1361238.0</v>
      </c>
      <c r="E19" s="1" t="s">
        <v>453</v>
      </c>
      <c r="K19" s="1"/>
    </row>
    <row r="20">
      <c r="A20" s="58" t="s">
        <v>460</v>
      </c>
      <c r="B20" s="58" t="s">
        <v>461</v>
      </c>
      <c r="C20" s="1" t="s">
        <v>462</v>
      </c>
      <c r="D20" s="58">
        <v>-300230.0</v>
      </c>
      <c r="E20" s="1" t="s">
        <v>463</v>
      </c>
    </row>
    <row r="21">
      <c r="A21" s="58" t="s">
        <v>464</v>
      </c>
      <c r="B21" s="58" t="s">
        <v>465</v>
      </c>
      <c r="C21" s="1" t="s">
        <v>466</v>
      </c>
      <c r="D21" s="58">
        <v>-234875.0</v>
      </c>
      <c r="E21" s="1" t="s">
        <v>463</v>
      </c>
    </row>
    <row r="22">
      <c r="A22" s="58" t="s">
        <v>467</v>
      </c>
      <c r="B22" s="58" t="s">
        <v>468</v>
      </c>
      <c r="C22" s="1" t="s">
        <v>469</v>
      </c>
      <c r="D22" s="58">
        <v>-292347.0</v>
      </c>
      <c r="E22" s="1" t="s">
        <v>463</v>
      </c>
    </row>
    <row r="23">
      <c r="A23" s="58" t="s">
        <v>470</v>
      </c>
      <c r="B23" s="58" t="s">
        <v>471</v>
      </c>
      <c r="C23" s="1" t="s">
        <v>472</v>
      </c>
      <c r="D23" s="58">
        <v>-127495.0</v>
      </c>
      <c r="E23" s="1" t="s">
        <v>473</v>
      </c>
    </row>
    <row r="24">
      <c r="A24" s="58" t="s">
        <v>474</v>
      </c>
      <c r="B24" s="58" t="s">
        <v>475</v>
      </c>
      <c r="C24" s="1" t="s">
        <v>476</v>
      </c>
      <c r="D24" s="58">
        <v>-175824.0</v>
      </c>
      <c r="E24" s="1" t="s">
        <v>473</v>
      </c>
    </row>
    <row r="25">
      <c r="A25" s="58" t="s">
        <v>477</v>
      </c>
      <c r="B25" s="58" t="s">
        <v>478</v>
      </c>
      <c r="C25" s="1" t="s">
        <v>479</v>
      </c>
      <c r="D25" s="58">
        <v>24274.0</v>
      </c>
      <c r="E25" s="1" t="s">
        <v>473</v>
      </c>
    </row>
    <row r="26">
      <c r="A26" s="58" t="s">
        <v>480</v>
      </c>
      <c r="B26" s="58" t="s">
        <v>481</v>
      </c>
      <c r="C26" s="1" t="s">
        <v>482</v>
      </c>
      <c r="D26" s="58">
        <v>123745.0</v>
      </c>
      <c r="E26" s="1" t="s">
        <v>483</v>
      </c>
    </row>
    <row r="27">
      <c r="A27" s="58" t="s">
        <v>484</v>
      </c>
      <c r="B27" s="58" t="s">
        <v>485</v>
      </c>
      <c r="C27" s="1" t="s">
        <v>486</v>
      </c>
      <c r="D27" s="58">
        <v>213494.0</v>
      </c>
      <c r="E27" s="1" t="s">
        <v>483</v>
      </c>
    </row>
    <row r="28">
      <c r="A28" s="58" t="s">
        <v>484</v>
      </c>
      <c r="B28" s="58" t="s">
        <v>487</v>
      </c>
      <c r="C28" s="1" t="s">
        <v>488</v>
      </c>
      <c r="D28" s="58">
        <v>128532.0</v>
      </c>
      <c r="E28" s="1" t="s">
        <v>483</v>
      </c>
    </row>
    <row r="29">
      <c r="A29" s="58" t="s">
        <v>489</v>
      </c>
      <c r="B29" s="58" t="s">
        <v>490</v>
      </c>
      <c r="C29" s="1" t="s">
        <v>491</v>
      </c>
      <c r="D29" s="58">
        <v>-265284.0</v>
      </c>
      <c r="E29" s="1" t="s">
        <v>492</v>
      </c>
    </row>
    <row r="30">
      <c r="A30" s="58" t="s">
        <v>493</v>
      </c>
      <c r="B30" s="58" t="s">
        <v>494</v>
      </c>
      <c r="C30" s="1" t="s">
        <v>495</v>
      </c>
      <c r="D30" s="58">
        <v>-185723.0</v>
      </c>
      <c r="E30" s="1" t="s">
        <v>492</v>
      </c>
    </row>
    <row r="31">
      <c r="A31" s="58" t="s">
        <v>496</v>
      </c>
      <c r="B31" s="58" t="s">
        <v>497</v>
      </c>
      <c r="C31" s="1" t="s">
        <v>498</v>
      </c>
      <c r="D31" s="58">
        <v>-453219.0</v>
      </c>
      <c r="E31" s="1" t="s">
        <v>492</v>
      </c>
    </row>
    <row r="32">
      <c r="A32" s="58" t="s">
        <v>499</v>
      </c>
      <c r="B32" s="58" t="s">
        <v>500</v>
      </c>
      <c r="C32" s="1" t="s">
        <v>501</v>
      </c>
      <c r="D32" s="58">
        <v>23852.0</v>
      </c>
      <c r="E32" s="1" t="s">
        <v>502</v>
      </c>
    </row>
    <row r="33">
      <c r="A33" s="58" t="s">
        <v>503</v>
      </c>
      <c r="B33" s="58" t="s">
        <v>504</v>
      </c>
      <c r="C33" s="1" t="s">
        <v>505</v>
      </c>
      <c r="D33" s="58">
        <v>123845.0</v>
      </c>
      <c r="E33" s="1" t="s">
        <v>502</v>
      </c>
    </row>
    <row r="34">
      <c r="A34" s="58" t="s">
        <v>506</v>
      </c>
      <c r="B34" s="58" t="s">
        <v>507</v>
      </c>
      <c r="C34" s="1" t="s">
        <v>508</v>
      </c>
      <c r="D34" s="58">
        <v>102548.0</v>
      </c>
      <c r="E34" s="1" t="s">
        <v>502</v>
      </c>
    </row>
    <row r="35">
      <c r="A35" s="58" t="s">
        <v>509</v>
      </c>
      <c r="B35" s="58" t="s">
        <v>510</v>
      </c>
      <c r="C35" s="1" t="s">
        <v>511</v>
      </c>
      <c r="D35" s="58">
        <v>29320.0</v>
      </c>
      <c r="E35" s="1" t="s">
        <v>512</v>
      </c>
    </row>
    <row r="36">
      <c r="A36" s="58" t="s">
        <v>513</v>
      </c>
      <c r="B36" s="58" t="s">
        <v>514</v>
      </c>
      <c r="C36" s="1" t="s">
        <v>515</v>
      </c>
      <c r="D36" s="58">
        <v>-72391.0</v>
      </c>
      <c r="E36" s="1" t="s">
        <v>512</v>
      </c>
    </row>
    <row r="37">
      <c r="A37" s="58" t="s">
        <v>516</v>
      </c>
      <c r="B37" s="58" t="s">
        <v>517</v>
      </c>
      <c r="C37" s="1" t="s">
        <v>518</v>
      </c>
      <c r="D37" s="58">
        <v>-15302.0</v>
      </c>
      <c r="E37" s="1" t="s">
        <v>512</v>
      </c>
    </row>
    <row r="38">
      <c r="A38" s="58" t="s">
        <v>519</v>
      </c>
      <c r="B38" s="58" t="s">
        <v>520</v>
      </c>
      <c r="C38" s="1" t="s">
        <v>521</v>
      </c>
      <c r="D38" s="58">
        <v>265823.0</v>
      </c>
      <c r="E38" s="1" t="s">
        <v>522</v>
      </c>
    </row>
    <row r="39">
      <c r="A39" s="58" t="s">
        <v>523</v>
      </c>
      <c r="B39" s="58" t="s">
        <v>524</v>
      </c>
      <c r="C39" s="1" t="s">
        <v>525</v>
      </c>
      <c r="D39" s="58">
        <v>123854.0</v>
      </c>
      <c r="E39" s="1" t="s">
        <v>522</v>
      </c>
    </row>
    <row r="40">
      <c r="A40" s="58" t="s">
        <v>523</v>
      </c>
      <c r="B40" s="58" t="s">
        <v>526</v>
      </c>
      <c r="C40" s="1" t="s">
        <v>479</v>
      </c>
      <c r="D40" s="58">
        <v>275923.0</v>
      </c>
      <c r="E40" s="1" t="s">
        <v>522</v>
      </c>
    </row>
    <row r="41">
      <c r="A41" s="58" t="s">
        <v>523</v>
      </c>
      <c r="B41" s="58" t="s">
        <v>527</v>
      </c>
      <c r="C41" s="1" t="s">
        <v>528</v>
      </c>
      <c r="D41" s="58">
        <v>482328.0</v>
      </c>
      <c r="E41" s="1" t="s">
        <v>529</v>
      </c>
    </row>
    <row r="42">
      <c r="A42" s="58" t="s">
        <v>530</v>
      </c>
      <c r="B42" s="58" t="s">
        <v>531</v>
      </c>
      <c r="C42" s="1" t="s">
        <v>532</v>
      </c>
      <c r="D42" s="58">
        <v>512929.0</v>
      </c>
      <c r="E42" s="1" t="s">
        <v>529</v>
      </c>
    </row>
    <row r="43">
      <c r="A43" s="58" t="s">
        <v>533</v>
      </c>
      <c r="B43" s="58" t="s">
        <v>534</v>
      </c>
      <c r="C43" s="1" t="s">
        <v>535</v>
      </c>
      <c r="D43" s="58">
        <v>-238542.0</v>
      </c>
      <c r="E43" s="1" t="s">
        <v>529</v>
      </c>
    </row>
    <row r="44">
      <c r="A44" s="58" t="s">
        <v>536</v>
      </c>
      <c r="B44" s="58" t="s">
        <v>537</v>
      </c>
      <c r="C44" s="1" t="s">
        <v>538</v>
      </c>
      <c r="D44" s="58">
        <v>-172391.0</v>
      </c>
      <c r="E44" s="1" t="s">
        <v>539</v>
      </c>
    </row>
    <row r="45">
      <c r="A45" s="58" t="s">
        <v>540</v>
      </c>
      <c r="B45" s="58" t="s">
        <v>541</v>
      </c>
      <c r="C45" s="1" t="s">
        <v>542</v>
      </c>
      <c r="D45" s="58">
        <v>-254712.0</v>
      </c>
      <c r="E45" s="1" t="s">
        <v>539</v>
      </c>
    </row>
    <row r="46">
      <c r="A46" s="58" t="s">
        <v>543</v>
      </c>
      <c r="B46" s="58" t="s">
        <v>544</v>
      </c>
      <c r="C46" s="1" t="s">
        <v>545</v>
      </c>
      <c r="D46" s="58">
        <v>-184593.0</v>
      </c>
      <c r="E46" s="1" t="s">
        <v>539</v>
      </c>
    </row>
    <row r="47">
      <c r="A47" s="58" t="s">
        <v>546</v>
      </c>
      <c r="B47" s="58" t="s">
        <v>547</v>
      </c>
      <c r="C47" s="1" t="s">
        <v>548</v>
      </c>
      <c r="D47" s="58">
        <v>-73850.0</v>
      </c>
      <c r="E47" s="1" t="s">
        <v>549</v>
      </c>
    </row>
    <row r="48">
      <c r="A48" s="58" t="s">
        <v>550</v>
      </c>
      <c r="B48" s="58" t="s">
        <v>551</v>
      </c>
      <c r="C48" s="1" t="s">
        <v>552</v>
      </c>
      <c r="D48" s="58">
        <v>-72392.0</v>
      </c>
      <c r="E48" s="1" t="s">
        <v>549</v>
      </c>
    </row>
    <row r="49">
      <c r="A49" s="58" t="s">
        <v>553</v>
      </c>
      <c r="B49" s="58" t="s">
        <v>554</v>
      </c>
      <c r="C49" s="1" t="s">
        <v>555</v>
      </c>
      <c r="D49" s="58">
        <v>-42732.0</v>
      </c>
      <c r="E49" s="1" t="s">
        <v>549</v>
      </c>
    </row>
    <row r="50">
      <c r="A50" s="58" t="s">
        <v>556</v>
      </c>
      <c r="B50" s="58" t="s">
        <v>557</v>
      </c>
      <c r="C50" s="1" t="s">
        <v>558</v>
      </c>
      <c r="D50" s="58">
        <v>-123623.0</v>
      </c>
      <c r="E50" s="1" t="s">
        <v>559</v>
      </c>
    </row>
    <row r="51">
      <c r="A51" s="58" t="s">
        <v>560</v>
      </c>
      <c r="B51" s="58" t="s">
        <v>561</v>
      </c>
      <c r="C51" s="1" t="s">
        <v>562</v>
      </c>
      <c r="D51" s="58">
        <v>-162481.0</v>
      </c>
      <c r="E51" s="1" t="s">
        <v>559</v>
      </c>
    </row>
    <row r="52">
      <c r="A52" s="58" t="s">
        <v>563</v>
      </c>
      <c r="B52" s="58" t="s">
        <v>564</v>
      </c>
      <c r="C52" s="1" t="s">
        <v>565</v>
      </c>
      <c r="D52" s="58">
        <v>-285423.0</v>
      </c>
      <c r="E52" s="1" t="s">
        <v>559</v>
      </c>
    </row>
    <row r="53">
      <c r="A53" s="58" t="s">
        <v>566</v>
      </c>
      <c r="B53" s="58" t="s">
        <v>567</v>
      </c>
      <c r="C53" s="1" t="s">
        <v>559</v>
      </c>
      <c r="D53" s="58">
        <v>-124713.0</v>
      </c>
      <c r="E53" s="1" t="s">
        <v>568</v>
      </c>
    </row>
    <row r="54">
      <c r="A54" s="58" t="s">
        <v>569</v>
      </c>
      <c r="B54" s="58" t="s">
        <v>570</v>
      </c>
      <c r="C54" s="1" t="s">
        <v>571</v>
      </c>
      <c r="D54" s="58">
        <v>-321491.0</v>
      </c>
      <c r="E54" s="1" t="s">
        <v>568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8.75"/>
    <col customWidth="1" min="3" max="3" width="15.63"/>
    <col customWidth="1" min="4" max="4" width="14.0"/>
    <col customWidth="1" min="5" max="5" width="16.0"/>
  </cols>
  <sheetData>
    <row r="1">
      <c r="A1" s="436" t="s">
        <v>288</v>
      </c>
      <c r="B1" s="436" t="s">
        <v>303</v>
      </c>
      <c r="C1" s="436" t="s">
        <v>304</v>
      </c>
      <c r="D1" s="436" t="s">
        <v>323</v>
      </c>
      <c r="E1" s="436" t="s">
        <v>320</v>
      </c>
    </row>
    <row r="2">
      <c r="A2" s="58" t="s">
        <v>572</v>
      </c>
      <c r="B2" s="58" t="s">
        <v>573</v>
      </c>
      <c r="C2" s="58" t="s">
        <v>574</v>
      </c>
      <c r="D2" s="58" t="s">
        <v>575</v>
      </c>
      <c r="E2" s="58">
        <v>1674750.0</v>
      </c>
    </row>
    <row r="3">
      <c r="A3" s="58" t="s">
        <v>576</v>
      </c>
      <c r="B3" s="58" t="s">
        <v>577</v>
      </c>
      <c r="C3" s="58" t="s">
        <v>578</v>
      </c>
      <c r="D3" s="58" t="s">
        <v>579</v>
      </c>
      <c r="E3" s="58">
        <v>1758345.0</v>
      </c>
      <c r="F3" s="436"/>
      <c r="G3" s="436"/>
      <c r="H3" s="436"/>
      <c r="J3" s="436"/>
      <c r="K3" s="436"/>
      <c r="L3" s="436"/>
      <c r="M3" s="436"/>
      <c r="O3" s="436"/>
      <c r="P3" s="436"/>
      <c r="Q3" s="436"/>
      <c r="R3" s="436"/>
      <c r="S3" s="436"/>
      <c r="U3" s="436"/>
      <c r="V3" s="436"/>
      <c r="W3" s="436"/>
      <c r="X3" s="436"/>
    </row>
    <row r="4">
      <c r="A4" s="58" t="s">
        <v>580</v>
      </c>
      <c r="B4" s="58" t="s">
        <v>581</v>
      </c>
      <c r="C4" s="58" t="s">
        <v>582</v>
      </c>
      <c r="D4" s="58" t="s">
        <v>579</v>
      </c>
      <c r="E4" s="58">
        <v>1878312.0</v>
      </c>
    </row>
    <row r="5">
      <c r="A5" s="58" t="s">
        <v>583</v>
      </c>
      <c r="B5" s="58" t="s">
        <v>573</v>
      </c>
      <c r="C5" s="58" t="s">
        <v>584</v>
      </c>
      <c r="D5" s="58" t="s">
        <v>585</v>
      </c>
      <c r="E5" s="58">
        <v>1682087.0</v>
      </c>
    </row>
    <row r="6">
      <c r="A6" s="58" t="s">
        <v>586</v>
      </c>
      <c r="B6" s="58" t="s">
        <v>587</v>
      </c>
      <c r="C6" s="58" t="s">
        <v>588</v>
      </c>
      <c r="D6" s="58" t="s">
        <v>589</v>
      </c>
      <c r="E6" s="58">
        <v>646596.0</v>
      </c>
      <c r="H6" s="436"/>
      <c r="I6" s="436"/>
      <c r="J6" s="436"/>
      <c r="L6" s="436"/>
      <c r="M6" s="436"/>
      <c r="N6" s="436"/>
      <c r="O6" s="436"/>
      <c r="Q6" s="436"/>
      <c r="R6" s="436"/>
      <c r="S6" s="436"/>
      <c r="T6" s="436"/>
      <c r="V6" s="436" t="s">
        <v>288</v>
      </c>
      <c r="W6" s="436" t="s">
        <v>320</v>
      </c>
    </row>
    <row r="7">
      <c r="A7" s="58" t="s">
        <v>590</v>
      </c>
      <c r="B7" s="58" t="s">
        <v>591</v>
      </c>
      <c r="C7" s="58" t="s">
        <v>592</v>
      </c>
      <c r="D7" s="58" t="s">
        <v>589</v>
      </c>
      <c r="E7" s="58">
        <v>567857.0</v>
      </c>
      <c r="I7" s="428"/>
      <c r="V7" s="58" t="s">
        <v>572</v>
      </c>
      <c r="W7" s="58">
        <v>1674750.0</v>
      </c>
    </row>
    <row r="8">
      <c r="A8" s="58" t="s">
        <v>593</v>
      </c>
      <c r="B8" s="58" t="s">
        <v>594</v>
      </c>
      <c r="C8" s="58" t="s">
        <v>595</v>
      </c>
      <c r="D8" s="58" t="s">
        <v>589</v>
      </c>
      <c r="E8" s="58">
        <v>605458.0</v>
      </c>
      <c r="I8" s="428"/>
      <c r="V8" s="58" t="s">
        <v>576</v>
      </c>
      <c r="W8" s="58">
        <v>1758345.0</v>
      </c>
    </row>
    <row r="9">
      <c r="A9" s="58" t="s">
        <v>596</v>
      </c>
      <c r="B9" s="58" t="s">
        <v>594</v>
      </c>
      <c r="C9" s="58" t="s">
        <v>444</v>
      </c>
      <c r="D9" s="58" t="s">
        <v>589</v>
      </c>
      <c r="E9" s="58">
        <v>633861.0</v>
      </c>
      <c r="V9" s="58" t="s">
        <v>580</v>
      </c>
      <c r="W9" s="58">
        <v>1878312.0</v>
      </c>
    </row>
    <row r="10">
      <c r="A10" s="58" t="s">
        <v>597</v>
      </c>
      <c r="B10" s="58" t="s">
        <v>598</v>
      </c>
      <c r="C10" s="58" t="s">
        <v>599</v>
      </c>
      <c r="D10" s="58" t="s">
        <v>600</v>
      </c>
      <c r="E10" s="58">
        <v>718196.0</v>
      </c>
      <c r="I10" s="428"/>
      <c r="V10" s="58" t="s">
        <v>583</v>
      </c>
      <c r="W10" s="58">
        <v>1682087.0</v>
      </c>
    </row>
    <row r="11">
      <c r="A11" s="58" t="s">
        <v>601</v>
      </c>
      <c r="B11" s="58" t="s">
        <v>573</v>
      </c>
      <c r="C11" s="58" t="s">
        <v>602</v>
      </c>
      <c r="D11" s="58" t="s">
        <v>603</v>
      </c>
      <c r="E11" s="58">
        <v>720369.0</v>
      </c>
      <c r="I11" s="428"/>
      <c r="V11" s="58" t="s">
        <v>586</v>
      </c>
      <c r="W11" s="58">
        <v>646596.0</v>
      </c>
    </row>
    <row r="12">
      <c r="A12" s="58" t="s">
        <v>604</v>
      </c>
      <c r="B12" s="58" t="s">
        <v>577</v>
      </c>
      <c r="C12" s="58" t="s">
        <v>605</v>
      </c>
      <c r="D12" s="58" t="s">
        <v>606</v>
      </c>
      <c r="E12" s="58">
        <v>667287.0</v>
      </c>
      <c r="I12" s="428"/>
      <c r="V12" s="58" t="s">
        <v>590</v>
      </c>
      <c r="W12" s="58">
        <v>567857.0</v>
      </c>
    </row>
    <row r="13">
      <c r="A13" s="58" t="s">
        <v>607</v>
      </c>
      <c r="B13" s="58" t="s">
        <v>608</v>
      </c>
      <c r="C13" s="58" t="s">
        <v>609</v>
      </c>
      <c r="D13" s="58" t="s">
        <v>610</v>
      </c>
      <c r="E13" s="58">
        <v>678615.0</v>
      </c>
      <c r="I13" s="428"/>
      <c r="V13" s="58" t="s">
        <v>593</v>
      </c>
      <c r="W13" s="58">
        <v>605458.0</v>
      </c>
    </row>
    <row r="14">
      <c r="A14" s="58" t="s">
        <v>611</v>
      </c>
      <c r="B14" s="58" t="s">
        <v>612</v>
      </c>
      <c r="C14" s="58" t="s">
        <v>613</v>
      </c>
      <c r="D14" s="58" t="s">
        <v>614</v>
      </c>
      <c r="E14" s="58">
        <v>329767.0</v>
      </c>
      <c r="I14" s="428"/>
      <c r="V14" s="58" t="s">
        <v>596</v>
      </c>
      <c r="W14" s="58">
        <v>633861.0</v>
      </c>
    </row>
    <row r="15">
      <c r="A15" s="58" t="s">
        <v>615</v>
      </c>
      <c r="B15" s="58" t="s">
        <v>616</v>
      </c>
      <c r="C15" s="58" t="s">
        <v>617</v>
      </c>
      <c r="D15" s="58" t="s">
        <v>618</v>
      </c>
      <c r="E15" s="58">
        <v>321519.0</v>
      </c>
      <c r="I15" s="428"/>
      <c r="V15" s="58" t="s">
        <v>597</v>
      </c>
      <c r="W15" s="58">
        <v>718196.0</v>
      </c>
    </row>
    <row r="16">
      <c r="A16" s="58" t="s">
        <v>619</v>
      </c>
      <c r="B16" s="58" t="s">
        <v>620</v>
      </c>
      <c r="C16" s="58" t="s">
        <v>621</v>
      </c>
      <c r="D16" s="58" t="s">
        <v>622</v>
      </c>
      <c r="E16" s="58">
        <v>331026.0</v>
      </c>
      <c r="I16" s="428"/>
      <c r="V16" s="58" t="s">
        <v>601</v>
      </c>
      <c r="W16" s="58">
        <v>720369.0</v>
      </c>
    </row>
    <row r="17">
      <c r="A17" s="58" t="s">
        <v>623</v>
      </c>
      <c r="B17" s="58" t="s">
        <v>624</v>
      </c>
      <c r="C17" s="58" t="s">
        <v>625</v>
      </c>
      <c r="D17" s="58" t="s">
        <v>626</v>
      </c>
      <c r="E17" s="58">
        <v>460515.0</v>
      </c>
      <c r="I17" s="428"/>
      <c r="V17" s="58" t="s">
        <v>604</v>
      </c>
      <c r="W17" s="58">
        <v>667287.0</v>
      </c>
    </row>
    <row r="18">
      <c r="I18" s="428"/>
      <c r="V18" s="58" t="s">
        <v>607</v>
      </c>
      <c r="W18" s="58">
        <v>678615.0</v>
      </c>
    </row>
    <row r="19">
      <c r="V19" s="58" t="s">
        <v>611</v>
      </c>
      <c r="W19" s="58">
        <v>329767.0</v>
      </c>
    </row>
    <row r="20">
      <c r="I20" s="428"/>
      <c r="V20" s="58" t="s">
        <v>615</v>
      </c>
      <c r="W20" s="58">
        <v>321519.0</v>
      </c>
    </row>
    <row r="21">
      <c r="I21" s="428"/>
      <c r="V21" s="58" t="s">
        <v>619</v>
      </c>
      <c r="W21" s="58">
        <v>331026.0</v>
      </c>
    </row>
    <row r="22">
      <c r="I22" s="428"/>
      <c r="V22" s="58" t="s">
        <v>623</v>
      </c>
      <c r="W22" s="58">
        <v>460515.0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14.63"/>
    <col customWidth="1" min="4" max="4" width="14.75"/>
    <col customWidth="1" min="5" max="5" width="9.88"/>
  </cols>
  <sheetData>
    <row r="1">
      <c r="A1" s="436" t="s">
        <v>288</v>
      </c>
      <c r="B1" s="436" t="s">
        <v>627</v>
      </c>
      <c r="C1" s="436" t="s">
        <v>628</v>
      </c>
      <c r="D1" s="436" t="s">
        <v>629</v>
      </c>
      <c r="E1" s="436" t="s">
        <v>630</v>
      </c>
    </row>
    <row r="2">
      <c r="A2" s="58" t="s">
        <v>572</v>
      </c>
      <c r="B2" s="58" t="s">
        <v>631</v>
      </c>
      <c r="C2" s="58" t="s">
        <v>632</v>
      </c>
      <c r="D2" s="58">
        <v>-389457.0</v>
      </c>
      <c r="E2" s="58">
        <v>482100.0</v>
      </c>
    </row>
    <row r="3">
      <c r="A3" s="58" t="s">
        <v>576</v>
      </c>
      <c r="B3" s="58" t="s">
        <v>633</v>
      </c>
      <c r="C3" s="58" t="s">
        <v>634</v>
      </c>
      <c r="D3" s="58">
        <v>-412789.0</v>
      </c>
      <c r="E3" s="58">
        <v>129800.0</v>
      </c>
      <c r="G3" s="436"/>
      <c r="H3" s="436"/>
      <c r="I3" s="436"/>
      <c r="J3" s="436"/>
    </row>
    <row r="4">
      <c r="A4" s="58" t="s">
        <v>580</v>
      </c>
      <c r="B4" s="58" t="s">
        <v>635</v>
      </c>
      <c r="C4" s="58" t="s">
        <v>636</v>
      </c>
      <c r="D4" s="58">
        <v>-364124.0</v>
      </c>
      <c r="E4" s="58">
        <v>251500.0</v>
      </c>
    </row>
    <row r="5">
      <c r="A5" s="58" t="s">
        <v>583</v>
      </c>
      <c r="B5" s="58" t="s">
        <v>637</v>
      </c>
      <c r="C5" s="58" t="s">
        <v>638</v>
      </c>
      <c r="D5" s="58">
        <v>-374384.0</v>
      </c>
      <c r="E5" s="58">
        <v>231724.0</v>
      </c>
    </row>
    <row r="6">
      <c r="A6" s="58" t="s">
        <v>586</v>
      </c>
      <c r="B6" s="58" t="s">
        <v>639</v>
      </c>
      <c r="C6" s="58" t="s">
        <v>640</v>
      </c>
      <c r="D6" s="58">
        <v>-376831.0</v>
      </c>
      <c r="E6" s="58">
        <v>289040.0</v>
      </c>
      <c r="F6" s="436"/>
      <c r="H6" s="436"/>
      <c r="I6" s="436"/>
    </row>
    <row r="7">
      <c r="A7" s="58" t="s">
        <v>590</v>
      </c>
      <c r="B7" s="58" t="s">
        <v>641</v>
      </c>
      <c r="C7" s="428" t="s">
        <v>642</v>
      </c>
      <c r="D7" s="58">
        <v>-367569.0</v>
      </c>
      <c r="E7" s="58">
        <v>242984.0</v>
      </c>
    </row>
    <row r="8">
      <c r="A8" s="58" t="s">
        <v>593</v>
      </c>
      <c r="B8" s="58" t="s">
        <v>643</v>
      </c>
      <c r="C8" s="428" t="s">
        <v>644</v>
      </c>
      <c r="D8" s="58">
        <v>-368481.0</v>
      </c>
      <c r="E8" s="58">
        <v>204097.0</v>
      </c>
    </row>
    <row r="9">
      <c r="A9" s="58" t="s">
        <v>596</v>
      </c>
      <c r="B9" s="58" t="s">
        <v>639</v>
      </c>
      <c r="C9" s="58" t="s">
        <v>645</v>
      </c>
      <c r="D9" s="58">
        <v>-241520.0</v>
      </c>
      <c r="E9" s="58">
        <v>131000.0</v>
      </c>
    </row>
    <row r="10">
      <c r="A10" s="58" t="s">
        <v>597</v>
      </c>
      <c r="B10" s="58" t="s">
        <v>602</v>
      </c>
      <c r="C10" s="428" t="s">
        <v>646</v>
      </c>
      <c r="D10" s="58">
        <v>-589457.0</v>
      </c>
      <c r="E10" s="58">
        <v>154042.0</v>
      </c>
    </row>
    <row r="11">
      <c r="A11" s="58" t="s">
        <v>601</v>
      </c>
      <c r="B11" s="58" t="s">
        <v>647</v>
      </c>
      <c r="C11" s="428" t="s">
        <v>646</v>
      </c>
      <c r="D11" s="58">
        <v>-612789.0</v>
      </c>
      <c r="E11" s="58">
        <v>157246.0</v>
      </c>
    </row>
    <row r="12">
      <c r="A12" s="58" t="s">
        <v>604</v>
      </c>
      <c r="B12" s="58" t="s">
        <v>648</v>
      </c>
      <c r="C12" s="428" t="s">
        <v>649</v>
      </c>
      <c r="D12" s="58">
        <v>-564124.0</v>
      </c>
      <c r="E12" s="58">
        <v>156480.0</v>
      </c>
    </row>
    <row r="13">
      <c r="A13" s="58" t="s">
        <v>607</v>
      </c>
      <c r="B13" s="58" t="s">
        <v>650</v>
      </c>
      <c r="C13" s="428" t="s">
        <v>646</v>
      </c>
      <c r="D13" s="58">
        <v>3932925.0</v>
      </c>
      <c r="E13" s="58">
        <v>148400.0</v>
      </c>
    </row>
    <row r="14">
      <c r="A14" s="58" t="s">
        <v>611</v>
      </c>
      <c r="B14" s="58" t="s">
        <v>651</v>
      </c>
      <c r="C14" s="428" t="s">
        <v>652</v>
      </c>
      <c r="D14" s="58">
        <v>-421947.0</v>
      </c>
      <c r="E14" s="58">
        <v>94438.0</v>
      </c>
    </row>
    <row r="15">
      <c r="A15" s="58" t="s">
        <v>615</v>
      </c>
      <c r="B15" s="58" t="s">
        <v>653</v>
      </c>
      <c r="C15" s="428" t="s">
        <v>654</v>
      </c>
      <c r="D15" s="58">
        <v>-428346.0</v>
      </c>
      <c r="E15" s="58">
        <v>78749.0</v>
      </c>
    </row>
    <row r="16">
      <c r="A16" s="58" t="s">
        <v>619</v>
      </c>
      <c r="B16" s="58" t="s">
        <v>655</v>
      </c>
      <c r="C16" s="428" t="s">
        <v>656</v>
      </c>
      <c r="D16" s="58">
        <v>-450279.0</v>
      </c>
      <c r="E16" s="58">
        <v>204097.0</v>
      </c>
    </row>
    <row r="17">
      <c r="A17" s="58" t="s">
        <v>623</v>
      </c>
      <c r="B17" s="58" t="s">
        <v>657</v>
      </c>
      <c r="C17" s="428" t="s">
        <v>656</v>
      </c>
      <c r="D17" s="58">
        <v>-436298.0</v>
      </c>
      <c r="E17" s="58">
        <v>470.0</v>
      </c>
    </row>
    <row r="18">
      <c r="C18" s="428"/>
    </row>
    <row r="20">
      <c r="C20" s="428"/>
    </row>
    <row r="21">
      <c r="C21" s="428"/>
    </row>
    <row r="22">
      <c r="C22" s="428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26.88"/>
    <col customWidth="1" min="3" max="3" width="29.75"/>
    <col customWidth="1" min="4" max="4" width="24.88"/>
    <col customWidth="1" min="5" max="5" width="22.88"/>
    <col customWidth="1" min="6" max="6" width="25.5"/>
  </cols>
  <sheetData>
    <row r="1">
      <c r="A1" s="436" t="s">
        <v>288</v>
      </c>
      <c r="B1" s="436" t="s">
        <v>124</v>
      </c>
      <c r="C1" s="436" t="s">
        <v>658</v>
      </c>
      <c r="D1" s="436" t="s">
        <v>659</v>
      </c>
      <c r="E1" s="436" t="s">
        <v>660</v>
      </c>
    </row>
    <row r="2">
      <c r="A2" s="58" t="s">
        <v>572</v>
      </c>
      <c r="B2" s="58">
        <v>1900.0</v>
      </c>
      <c r="C2" s="58" t="s">
        <v>661</v>
      </c>
      <c r="D2" s="428">
        <v>3.45303867403315E14</v>
      </c>
      <c r="E2" s="428" t="s">
        <v>662</v>
      </c>
    </row>
    <row r="3">
      <c r="A3" s="58" t="s">
        <v>663</v>
      </c>
      <c r="B3" s="58">
        <v>1900.0</v>
      </c>
      <c r="C3" s="58" t="s">
        <v>664</v>
      </c>
      <c r="D3" s="428">
        <v>3.25966850828729E14</v>
      </c>
      <c r="E3" s="428" t="s">
        <v>662</v>
      </c>
    </row>
    <row r="4">
      <c r="A4" s="58" t="s">
        <v>665</v>
      </c>
      <c r="B4" s="58">
        <v>1900.0</v>
      </c>
      <c r="C4" s="58" t="s">
        <v>666</v>
      </c>
      <c r="D4" s="428">
        <v>3.59116022099448E14</v>
      </c>
      <c r="E4" s="428" t="s">
        <v>662</v>
      </c>
    </row>
    <row r="5">
      <c r="A5" s="58" t="s">
        <v>576</v>
      </c>
      <c r="B5" s="58">
        <v>1815.0</v>
      </c>
      <c r="C5" s="58" t="s">
        <v>667</v>
      </c>
      <c r="D5" s="428">
        <v>3.37016574585635E14</v>
      </c>
      <c r="E5" s="428" t="s">
        <v>668</v>
      </c>
    </row>
    <row r="6">
      <c r="A6" s="58" t="s">
        <v>669</v>
      </c>
      <c r="B6" s="58">
        <v>1815.0</v>
      </c>
      <c r="C6" s="58" t="s">
        <v>581</v>
      </c>
      <c r="D6" s="428">
        <v>3.53591160220994E14</v>
      </c>
      <c r="E6" s="428" t="s">
        <v>668</v>
      </c>
    </row>
    <row r="7">
      <c r="A7" s="58" t="s">
        <v>670</v>
      </c>
      <c r="B7" s="58">
        <v>1815.0</v>
      </c>
      <c r="C7" s="58" t="s">
        <v>661</v>
      </c>
      <c r="D7" s="428">
        <v>3.31491712707182E14</v>
      </c>
      <c r="E7" s="428" t="s">
        <v>668</v>
      </c>
    </row>
    <row r="8">
      <c r="A8" s="58" t="s">
        <v>580</v>
      </c>
      <c r="B8" s="58">
        <v>1850.0</v>
      </c>
      <c r="C8" s="58" t="s">
        <v>661</v>
      </c>
      <c r="D8" s="428">
        <v>3.7292817679558E13</v>
      </c>
      <c r="E8" s="428" t="s">
        <v>671</v>
      </c>
    </row>
    <row r="9">
      <c r="A9" s="58" t="s">
        <v>672</v>
      </c>
      <c r="B9" s="58">
        <v>1850.0</v>
      </c>
      <c r="C9" s="58" t="s">
        <v>673</v>
      </c>
      <c r="D9" s="428">
        <v>3.50828729281768E14</v>
      </c>
      <c r="E9" s="428" t="s">
        <v>671</v>
      </c>
    </row>
    <row r="10">
      <c r="A10" s="58" t="s">
        <v>674</v>
      </c>
      <c r="B10" s="58">
        <v>1850.0</v>
      </c>
      <c r="C10" s="58" t="s">
        <v>664</v>
      </c>
      <c r="D10" s="428">
        <v>3.28729281767956E14</v>
      </c>
      <c r="E10" s="428" t="s">
        <v>671</v>
      </c>
    </row>
    <row r="11">
      <c r="A11" s="58" t="s">
        <v>583</v>
      </c>
      <c r="B11" s="58">
        <v>1700.0</v>
      </c>
      <c r="C11" s="58" t="s">
        <v>675</v>
      </c>
      <c r="D11" s="428">
        <v>3.64640883977901E14</v>
      </c>
      <c r="E11" s="428" t="s">
        <v>676</v>
      </c>
    </row>
    <row r="12">
      <c r="A12" s="58" t="s">
        <v>677</v>
      </c>
      <c r="B12" s="58">
        <v>1700.0</v>
      </c>
      <c r="C12" s="58" t="s">
        <v>664</v>
      </c>
      <c r="D12" s="428">
        <v>3.42541436464088E14</v>
      </c>
      <c r="E12" s="428" t="s">
        <v>676</v>
      </c>
    </row>
    <row r="13">
      <c r="A13" s="58" t="s">
        <v>678</v>
      </c>
      <c r="B13" s="58">
        <v>1700.0</v>
      </c>
      <c r="C13" s="58" t="s">
        <v>661</v>
      </c>
      <c r="D13" s="428">
        <v>3.34254143646409E14</v>
      </c>
      <c r="E13" s="428" t="s">
        <v>676</v>
      </c>
    </row>
    <row r="14">
      <c r="A14" s="58" t="s">
        <v>586</v>
      </c>
      <c r="B14" s="58">
        <v>1650.0</v>
      </c>
      <c r="C14" s="58" t="s">
        <v>675</v>
      </c>
      <c r="D14" s="428">
        <v>2.13327370304114E14</v>
      </c>
      <c r="E14" s="428" t="s">
        <v>679</v>
      </c>
    </row>
    <row r="15">
      <c r="A15" s="58" t="s">
        <v>680</v>
      </c>
      <c r="B15" s="58">
        <v>1650.0</v>
      </c>
      <c r="C15" s="58" t="s">
        <v>681</v>
      </c>
      <c r="D15" s="428">
        <v>2.30545617173524E14</v>
      </c>
      <c r="E15" s="428" t="s">
        <v>679</v>
      </c>
    </row>
    <row r="16">
      <c r="A16" s="58" t="s">
        <v>682</v>
      </c>
      <c r="B16" s="58">
        <v>1650.0</v>
      </c>
      <c r="C16" s="58" t="s">
        <v>667</v>
      </c>
      <c r="D16" s="428">
        <v>1.95885509838998E14</v>
      </c>
      <c r="E16" s="428" t="s">
        <v>679</v>
      </c>
    </row>
    <row r="17">
      <c r="A17" s="58" t="s">
        <v>590</v>
      </c>
      <c r="B17" s="58">
        <v>1538.0</v>
      </c>
      <c r="C17" s="58" t="s">
        <v>581</v>
      </c>
      <c r="D17" s="428">
        <v>2.50894454382826E14</v>
      </c>
      <c r="E17" s="428" t="s">
        <v>683</v>
      </c>
    </row>
    <row r="18">
      <c r="A18" s="58" t="s">
        <v>684</v>
      </c>
      <c r="B18" s="58">
        <v>1538.0</v>
      </c>
      <c r="C18" s="58" t="s">
        <v>685</v>
      </c>
      <c r="D18" s="428">
        <v>2.25626118067979E14</v>
      </c>
      <c r="E18" s="428" t="s">
        <v>683</v>
      </c>
      <c r="F18" s="428"/>
      <c r="G18" s="428"/>
    </row>
    <row r="19">
      <c r="A19" s="58" t="s">
        <v>686</v>
      </c>
      <c r="B19" s="58">
        <v>1850.0</v>
      </c>
      <c r="C19" s="58" t="s">
        <v>664</v>
      </c>
      <c r="D19" s="428">
        <v>2.20706618962433E14</v>
      </c>
      <c r="E19" s="428" t="s">
        <v>683</v>
      </c>
      <c r="F19" s="428"/>
      <c r="G19" s="428"/>
    </row>
    <row r="20">
      <c r="A20" s="58" t="s">
        <v>593</v>
      </c>
      <c r="B20" s="58">
        <v>1850.0</v>
      </c>
      <c r="C20" s="58" t="s">
        <v>687</v>
      </c>
      <c r="D20" s="428">
        <v>2.26744186046512E14</v>
      </c>
      <c r="E20" s="428" t="s">
        <v>688</v>
      </c>
      <c r="F20" s="428"/>
      <c r="G20" s="428"/>
    </row>
    <row r="21">
      <c r="A21" s="58" t="s">
        <v>689</v>
      </c>
      <c r="B21" s="58">
        <v>1850.0</v>
      </c>
      <c r="C21" s="58" t="s">
        <v>661</v>
      </c>
      <c r="D21" s="428">
        <v>1.93425760286225E14</v>
      </c>
      <c r="E21" s="428" t="s">
        <v>688</v>
      </c>
      <c r="F21" s="428"/>
      <c r="G21" s="428"/>
    </row>
    <row r="22">
      <c r="A22" s="58" t="s">
        <v>690</v>
      </c>
      <c r="B22" s="58">
        <v>1838.0</v>
      </c>
      <c r="C22" s="58" t="s">
        <v>675</v>
      </c>
      <c r="D22" s="428">
        <v>2.27638640429338E14</v>
      </c>
      <c r="E22" s="428" t="s">
        <v>688</v>
      </c>
      <c r="F22" s="428"/>
      <c r="G22" s="428"/>
    </row>
    <row r="23">
      <c r="A23" s="58" t="s">
        <v>596</v>
      </c>
      <c r="B23" s="58">
        <v>1838.0</v>
      </c>
      <c r="C23" s="58" t="s">
        <v>661</v>
      </c>
      <c r="D23" s="428">
        <v>2.04159212880143E14</v>
      </c>
      <c r="E23" s="428" t="s">
        <v>691</v>
      </c>
      <c r="F23" s="428"/>
      <c r="G23" s="428"/>
    </row>
    <row r="24">
      <c r="A24" s="58" t="s">
        <v>692</v>
      </c>
      <c r="B24" s="58">
        <v>1838.0</v>
      </c>
      <c r="C24" s="58" t="s">
        <v>666</v>
      </c>
      <c r="D24" s="428">
        <v>1.7262969588551E13</v>
      </c>
      <c r="E24" s="428" t="s">
        <v>691</v>
      </c>
      <c r="F24" s="428"/>
      <c r="G24" s="428"/>
    </row>
    <row r="25">
      <c r="A25" s="58" t="s">
        <v>693</v>
      </c>
      <c r="B25" s="58">
        <v>1810.0</v>
      </c>
      <c r="C25" s="58" t="s">
        <v>685</v>
      </c>
      <c r="D25" s="428">
        <v>2.02817531305903E14</v>
      </c>
      <c r="E25" s="428" t="s">
        <v>691</v>
      </c>
      <c r="F25" s="428"/>
      <c r="G25" s="428"/>
    </row>
    <row r="26">
      <c r="A26" s="58" t="s">
        <v>597</v>
      </c>
      <c r="B26" s="58">
        <v>1810.0</v>
      </c>
      <c r="C26" s="58" t="s">
        <v>661</v>
      </c>
      <c r="D26" s="428">
        <v>1.11019283746556E14</v>
      </c>
      <c r="E26" s="428" t="s">
        <v>694</v>
      </c>
      <c r="F26" s="428"/>
      <c r="G26" s="428"/>
    </row>
    <row r="27">
      <c r="A27" s="58" t="s">
        <v>695</v>
      </c>
      <c r="B27" s="58">
        <v>1810.0</v>
      </c>
      <c r="C27" s="58" t="s">
        <v>675</v>
      </c>
      <c r="D27" s="428">
        <v>9.55922865013774E14</v>
      </c>
      <c r="E27" s="428" t="s">
        <v>694</v>
      </c>
      <c r="F27" s="428"/>
      <c r="G27" s="428"/>
    </row>
    <row r="28">
      <c r="A28" s="58" t="s">
        <v>696</v>
      </c>
      <c r="B28" s="58">
        <v>2000.0</v>
      </c>
      <c r="C28" s="58" t="s">
        <v>666</v>
      </c>
      <c r="D28" s="428">
        <v>5.50964187327824E14</v>
      </c>
      <c r="E28" s="428" t="s">
        <v>694</v>
      </c>
      <c r="F28" s="428"/>
      <c r="G28" s="428"/>
    </row>
    <row r="29">
      <c r="A29" s="58" t="s">
        <v>601</v>
      </c>
      <c r="B29" s="58">
        <v>2000.0</v>
      </c>
      <c r="C29" s="58" t="s">
        <v>667</v>
      </c>
      <c r="D29" s="428">
        <v>2.83746556473829E14</v>
      </c>
      <c r="E29" s="428" t="s">
        <v>697</v>
      </c>
      <c r="F29" s="428"/>
      <c r="G29" s="428"/>
    </row>
    <row r="30">
      <c r="A30" s="58" t="s">
        <v>698</v>
      </c>
      <c r="B30" s="58">
        <v>2000.0</v>
      </c>
      <c r="C30" s="58" t="s">
        <v>664</v>
      </c>
      <c r="D30" s="428">
        <v>1.84573002754821E14</v>
      </c>
      <c r="E30" s="428" t="s">
        <v>697</v>
      </c>
      <c r="F30" s="428"/>
      <c r="G30" s="428"/>
    </row>
    <row r="31">
      <c r="A31" s="58" t="s">
        <v>503</v>
      </c>
      <c r="B31" s="58">
        <v>1957.0</v>
      </c>
      <c r="C31" s="58" t="s">
        <v>581</v>
      </c>
      <c r="D31" s="428">
        <v>1.37741046831956E14</v>
      </c>
      <c r="E31" s="428" t="s">
        <v>697</v>
      </c>
      <c r="F31" s="428"/>
      <c r="G31" s="428"/>
    </row>
    <row r="32">
      <c r="A32" s="58" t="s">
        <v>604</v>
      </c>
      <c r="B32" s="58">
        <v>1957.0</v>
      </c>
      <c r="C32" s="58" t="s">
        <v>685</v>
      </c>
      <c r="D32" s="428">
        <v>2.75482093663912E14</v>
      </c>
      <c r="E32" s="428" t="s">
        <v>699</v>
      </c>
      <c r="F32" s="428"/>
      <c r="G32" s="428"/>
    </row>
    <row r="33">
      <c r="A33" s="58" t="s">
        <v>700</v>
      </c>
      <c r="B33" s="58">
        <v>1957.0</v>
      </c>
      <c r="C33" s="58" t="s">
        <v>661</v>
      </c>
      <c r="D33" s="428">
        <v>1.92837465564738E14</v>
      </c>
      <c r="E33" s="428" t="s">
        <v>699</v>
      </c>
      <c r="F33" s="428"/>
      <c r="G33" s="428"/>
      <c r="H33" s="428"/>
      <c r="I33" s="428"/>
    </row>
    <row r="34">
      <c r="A34" s="58" t="s">
        <v>701</v>
      </c>
      <c r="B34" s="58">
        <v>2130.0</v>
      </c>
      <c r="C34" s="58" t="s">
        <v>664</v>
      </c>
      <c r="D34" s="428">
        <v>2.69972451790634E14</v>
      </c>
      <c r="E34" s="428" t="s">
        <v>699</v>
      </c>
      <c r="F34" s="428"/>
      <c r="G34" s="428"/>
      <c r="H34" s="428"/>
      <c r="I34" s="428"/>
    </row>
    <row r="35">
      <c r="A35" s="58" t="s">
        <v>607</v>
      </c>
      <c r="B35" s="58">
        <v>2130.0</v>
      </c>
      <c r="C35" s="58" t="s">
        <v>667</v>
      </c>
      <c r="D35" s="428">
        <v>5.84022038567493E14</v>
      </c>
      <c r="E35" s="428" t="s">
        <v>702</v>
      </c>
      <c r="F35" s="428"/>
      <c r="G35" s="428"/>
      <c r="H35" s="428"/>
      <c r="I35" s="428"/>
    </row>
    <row r="36">
      <c r="A36" s="58" t="s">
        <v>703</v>
      </c>
      <c r="B36" s="58">
        <v>2130.0</v>
      </c>
      <c r="C36" s="58" t="s">
        <v>675</v>
      </c>
      <c r="D36" s="428">
        <v>1.10192837465565E14</v>
      </c>
      <c r="E36" s="428" t="s">
        <v>702</v>
      </c>
      <c r="F36" s="428"/>
      <c r="G36" s="428"/>
      <c r="H36" s="428"/>
      <c r="I36" s="428"/>
    </row>
    <row r="37">
      <c r="A37" s="58" t="s">
        <v>704</v>
      </c>
      <c r="B37" s="58">
        <v>2236.0</v>
      </c>
      <c r="C37" s="58" t="s">
        <v>664</v>
      </c>
      <c r="D37" s="428">
        <v>1.01652892561983E14</v>
      </c>
      <c r="E37" s="428" t="s">
        <v>702</v>
      </c>
      <c r="F37" s="428"/>
      <c r="G37" s="428"/>
      <c r="H37" s="428"/>
      <c r="I37" s="428"/>
    </row>
    <row r="38">
      <c r="A38" s="58" t="s">
        <v>611</v>
      </c>
      <c r="B38" s="58">
        <v>2236.0</v>
      </c>
      <c r="C38" s="58" t="s">
        <v>666</v>
      </c>
      <c r="D38" s="428">
        <v>2.22561768530559E14</v>
      </c>
      <c r="E38" s="428" t="s">
        <v>705</v>
      </c>
      <c r="F38" s="428"/>
      <c r="G38" s="428"/>
      <c r="H38" s="428"/>
      <c r="I38" s="428"/>
    </row>
    <row r="39">
      <c r="A39" s="58" t="s">
        <v>706</v>
      </c>
      <c r="B39" s="58">
        <v>2236.0</v>
      </c>
      <c r="C39" s="58" t="s">
        <v>581</v>
      </c>
      <c r="D39" s="428">
        <v>3.16840052015605E14</v>
      </c>
      <c r="E39" s="428" t="s">
        <v>705</v>
      </c>
      <c r="F39" s="428"/>
      <c r="G39" s="428"/>
      <c r="H39" s="428"/>
      <c r="I39" s="428"/>
    </row>
    <row r="40">
      <c r="A40" s="58" t="s">
        <v>707</v>
      </c>
      <c r="B40" s="58">
        <v>2150.0</v>
      </c>
      <c r="C40" s="58" t="s">
        <v>661</v>
      </c>
      <c r="D40" s="428">
        <v>3.04096228868661E14</v>
      </c>
      <c r="E40" s="428" t="s">
        <v>705</v>
      </c>
      <c r="F40" s="428"/>
      <c r="G40" s="428"/>
      <c r="H40" s="428"/>
      <c r="I40" s="428"/>
    </row>
    <row r="41">
      <c r="A41" s="58" t="s">
        <v>615</v>
      </c>
      <c r="B41" s="58">
        <v>2150.0</v>
      </c>
      <c r="C41" s="58" t="s">
        <v>673</v>
      </c>
      <c r="D41" s="428">
        <v>2.23992197659298E14</v>
      </c>
      <c r="E41" s="428" t="s">
        <v>708</v>
      </c>
      <c r="F41" s="428"/>
      <c r="G41" s="428"/>
      <c r="H41" s="428"/>
      <c r="I41" s="428"/>
    </row>
    <row r="42">
      <c r="A42" s="58" t="s">
        <v>709</v>
      </c>
      <c r="B42" s="58">
        <v>2150.0</v>
      </c>
      <c r="C42" s="58" t="s">
        <v>666</v>
      </c>
      <c r="D42" s="428">
        <v>2.77340702210663E14</v>
      </c>
      <c r="E42" s="428" t="s">
        <v>708</v>
      </c>
      <c r="F42" s="428"/>
      <c r="G42" s="428"/>
      <c r="H42" s="428"/>
      <c r="I42" s="428"/>
    </row>
    <row r="43">
      <c r="A43" s="58" t="s">
        <v>710</v>
      </c>
      <c r="B43" s="58">
        <v>2086.0</v>
      </c>
      <c r="C43" s="58" t="s">
        <v>664</v>
      </c>
      <c r="D43" s="428">
        <v>2.425877763329E12</v>
      </c>
      <c r="E43" s="428" t="s">
        <v>708</v>
      </c>
      <c r="F43" s="428"/>
      <c r="G43" s="428"/>
      <c r="H43" s="428"/>
      <c r="I43" s="428"/>
    </row>
    <row r="44">
      <c r="A44" s="58" t="s">
        <v>619</v>
      </c>
      <c r="B44" s="58">
        <v>2086.0</v>
      </c>
      <c r="C44" s="58" t="s">
        <v>661</v>
      </c>
      <c r="D44" s="428">
        <v>2.93335500650195E14</v>
      </c>
      <c r="E44" s="428" t="s">
        <v>708</v>
      </c>
      <c r="F44" s="428"/>
      <c r="G44" s="428"/>
      <c r="H44" s="428"/>
      <c r="I44" s="428"/>
    </row>
    <row r="45">
      <c r="A45" s="58" t="s">
        <v>711</v>
      </c>
      <c r="B45" s="58">
        <v>2086.0</v>
      </c>
      <c r="C45" s="58" t="s">
        <v>673</v>
      </c>
      <c r="D45" s="428">
        <v>3.10338101430429E14</v>
      </c>
      <c r="E45" s="428" t="s">
        <v>712</v>
      </c>
      <c r="F45" s="428"/>
      <c r="G45" s="428"/>
      <c r="H45" s="428"/>
      <c r="I45" s="428"/>
    </row>
    <row r="46">
      <c r="A46" s="58" t="s">
        <v>713</v>
      </c>
      <c r="B46" s="58">
        <v>1900.0</v>
      </c>
      <c r="C46" s="58" t="s">
        <v>581</v>
      </c>
      <c r="D46" s="428">
        <v>2.59590377113134E14</v>
      </c>
      <c r="E46" s="428" t="s">
        <v>714</v>
      </c>
      <c r="F46" s="428"/>
      <c r="G46" s="428"/>
      <c r="H46" s="428"/>
      <c r="I46" s="428"/>
    </row>
    <row r="47">
      <c r="A47" s="58" t="s">
        <v>623</v>
      </c>
      <c r="B47" s="58">
        <v>1900.0</v>
      </c>
      <c r="C47" s="58" t="s">
        <v>666</v>
      </c>
      <c r="D47" s="428">
        <v>3.36345903771131E14</v>
      </c>
      <c r="E47" s="428" t="s">
        <v>714</v>
      </c>
      <c r="F47" s="428"/>
      <c r="G47" s="428"/>
      <c r="H47" s="428"/>
      <c r="I47" s="428"/>
    </row>
    <row r="48">
      <c r="A48" s="58" t="s">
        <v>715</v>
      </c>
      <c r="B48" s="58">
        <v>1900.0</v>
      </c>
      <c r="C48" s="58" t="s">
        <v>673</v>
      </c>
      <c r="D48" s="428">
        <v>2.75390117035111E14</v>
      </c>
      <c r="E48" s="428" t="s">
        <v>714</v>
      </c>
      <c r="F48" s="428"/>
      <c r="G48" s="428"/>
      <c r="H48" s="428"/>
      <c r="I48" s="428"/>
    </row>
    <row r="49">
      <c r="A49" s="58" t="s">
        <v>716</v>
      </c>
      <c r="B49" s="58">
        <v>1900.0</v>
      </c>
      <c r="C49" s="58" t="s">
        <v>666</v>
      </c>
      <c r="D49" s="428">
        <v>3.32737321196359E14</v>
      </c>
      <c r="E49" s="428" t="s">
        <v>714</v>
      </c>
      <c r="F49" s="428"/>
      <c r="G49" s="428"/>
      <c r="H49" s="428"/>
      <c r="I49" s="428"/>
    </row>
    <row r="58">
      <c r="D58" s="428"/>
    </row>
    <row r="61">
      <c r="D61" s="4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5" max="5" width="36.75"/>
  </cols>
  <sheetData>
    <row r="1">
      <c r="A1" s="58" t="s">
        <v>288</v>
      </c>
      <c r="B1" s="58" t="s">
        <v>280</v>
      </c>
      <c r="C1" s="58" t="s">
        <v>289</v>
      </c>
      <c r="D1" s="58" t="s">
        <v>290</v>
      </c>
      <c r="E1" s="58" t="s">
        <v>279</v>
      </c>
    </row>
    <row r="2">
      <c r="A2" s="105">
        <v>43475.0</v>
      </c>
      <c r="B2" s="65"/>
      <c r="C2" s="65">
        <v>-541868.0</v>
      </c>
      <c r="D2" s="65">
        <v>-384292.0</v>
      </c>
      <c r="E2" s="58" t="s">
        <v>283</v>
      </c>
    </row>
    <row r="3">
      <c r="A3" s="105">
        <v>43501.0</v>
      </c>
      <c r="B3" s="65"/>
      <c r="C3" s="65">
        <v>-394012.0</v>
      </c>
      <c r="D3" s="65">
        <v>-324739.0</v>
      </c>
      <c r="E3" s="58" t="s">
        <v>283</v>
      </c>
    </row>
    <row r="4">
      <c r="A4" s="105">
        <v>43544.0</v>
      </c>
      <c r="B4" s="65"/>
      <c r="C4" s="65">
        <v>-281003.0</v>
      </c>
      <c r="D4" s="65">
        <v>-213048.0</v>
      </c>
      <c r="E4" s="58" t="s">
        <v>283</v>
      </c>
    </row>
    <row r="5">
      <c r="A5" s="105">
        <v>43573.0</v>
      </c>
      <c r="B5" s="65">
        <v>50230.0</v>
      </c>
      <c r="C5" s="65"/>
      <c r="D5" s="65">
        <v>-62419.0</v>
      </c>
      <c r="E5" s="58" t="s">
        <v>283</v>
      </c>
    </row>
    <row r="6">
      <c r="A6" s="105">
        <v>43604.0</v>
      </c>
      <c r="B6" s="65"/>
      <c r="C6" s="65">
        <v>-502390.0</v>
      </c>
      <c r="D6" s="65">
        <v>-478320.0</v>
      </c>
      <c r="E6" s="58" t="s">
        <v>283</v>
      </c>
    </row>
    <row r="7">
      <c r="A7" s="105">
        <v>43621.0</v>
      </c>
      <c r="B7" s="65">
        <v>123045.0</v>
      </c>
      <c r="C7" s="65"/>
      <c r="D7" s="65">
        <v>72492.0</v>
      </c>
      <c r="E7" s="58" t="s">
        <v>283</v>
      </c>
    </row>
    <row r="8">
      <c r="A8" s="105">
        <v>43650.0</v>
      </c>
      <c r="B8" s="65">
        <v>230450.0</v>
      </c>
      <c r="C8" s="65"/>
      <c r="D8" s="65">
        <v>189340.0</v>
      </c>
      <c r="E8" s="58" t="s">
        <v>283</v>
      </c>
    </row>
    <row r="9">
      <c r="A9" s="105">
        <v>43678.0</v>
      </c>
      <c r="B9" s="65">
        <v>320405.0</v>
      </c>
      <c r="C9" s="65"/>
      <c r="D9" s="65">
        <v>284293.0</v>
      </c>
      <c r="E9" s="58" t="s">
        <v>283</v>
      </c>
    </row>
    <row r="10">
      <c r="A10" s="105">
        <v>43724.0</v>
      </c>
      <c r="B10" s="65">
        <v>23050.0</v>
      </c>
      <c r="C10" s="65"/>
      <c r="D10" s="65">
        <v>-12364.0</v>
      </c>
      <c r="E10" s="58" t="s">
        <v>283</v>
      </c>
    </row>
    <row r="11">
      <c r="A11" s="105">
        <v>43748.0</v>
      </c>
      <c r="B11" s="106"/>
      <c r="C11" s="65">
        <v>-394320.0</v>
      </c>
      <c r="D11" s="65">
        <v>-465882.0</v>
      </c>
      <c r="E11" s="58" t="s">
        <v>284</v>
      </c>
    </row>
    <row r="12">
      <c r="A12" s="105">
        <v>43774.0</v>
      </c>
      <c r="B12" s="106"/>
      <c r="C12" s="65">
        <v>-534023.0</v>
      </c>
      <c r="D12" s="65">
        <v>-582721.0</v>
      </c>
      <c r="E12" s="58" t="s">
        <v>283</v>
      </c>
    </row>
    <row r="13">
      <c r="A13" s="105">
        <v>43825.0</v>
      </c>
      <c r="B13" s="106"/>
      <c r="C13" s="65">
        <v>-238439.0</v>
      </c>
      <c r="D13" s="65">
        <v>-375382.0</v>
      </c>
      <c r="E13" s="58" t="s">
        <v>283</v>
      </c>
    </row>
    <row r="14">
      <c r="A14" s="105">
        <v>43827.0</v>
      </c>
      <c r="B14" s="106"/>
      <c r="C14" s="65">
        <v>-548228.0</v>
      </c>
      <c r="D14" s="65">
        <v>-331958.0</v>
      </c>
      <c r="E14" s="58" t="s">
        <v>284</v>
      </c>
    </row>
    <row r="15">
      <c r="A15" s="105">
        <v>43839.0</v>
      </c>
      <c r="B15" s="65"/>
      <c r="C15" s="65">
        <v>-230123.0</v>
      </c>
      <c r="D15" s="65">
        <v>-72492.0</v>
      </c>
      <c r="E15" s="58" t="s">
        <v>283</v>
      </c>
    </row>
    <row r="16">
      <c r="A16" s="105">
        <v>43890.0</v>
      </c>
      <c r="B16" s="65"/>
      <c r="C16" s="65">
        <v>-130923.0</v>
      </c>
      <c r="D16" s="65">
        <v>-12834.0</v>
      </c>
      <c r="E16" s="58" t="s">
        <v>283</v>
      </c>
    </row>
    <row r="17">
      <c r="A17" s="105">
        <v>43921.0</v>
      </c>
      <c r="B17" s="65"/>
      <c r="C17" s="65">
        <v>-50347.0</v>
      </c>
      <c r="D17" s="65">
        <v>-5723.0</v>
      </c>
      <c r="E17" s="58" t="s">
        <v>283</v>
      </c>
    </row>
    <row r="18">
      <c r="A18" s="105">
        <v>43951.0</v>
      </c>
      <c r="B18" s="65">
        <v>30429.0</v>
      </c>
      <c r="C18" s="65"/>
      <c r="D18" s="65">
        <v>72394.0</v>
      </c>
      <c r="E18" s="58" t="s">
        <v>283</v>
      </c>
    </row>
    <row r="19">
      <c r="A19" s="105">
        <v>43982.0</v>
      </c>
      <c r="B19" s="65">
        <v>102384.0</v>
      </c>
      <c r="C19" s="65"/>
      <c r="D19" s="65">
        <v>824734.0</v>
      </c>
      <c r="E19" s="58" t="s">
        <v>283</v>
      </c>
    </row>
    <row r="20">
      <c r="A20" s="105">
        <v>44012.0</v>
      </c>
      <c r="B20" s="65">
        <v>265793.0</v>
      </c>
      <c r="C20" s="65"/>
      <c r="D20" s="65">
        <v>637429.0</v>
      </c>
      <c r="E20" s="58" t="s">
        <v>283</v>
      </c>
    </row>
    <row r="21">
      <c r="A21" s="105">
        <v>44043.0</v>
      </c>
      <c r="B21" s="65">
        <v>387649.0</v>
      </c>
      <c r="C21" s="65"/>
      <c r="D21" s="65">
        <v>592385.0</v>
      </c>
      <c r="E21" s="58" t="s">
        <v>283</v>
      </c>
    </row>
    <row r="22">
      <c r="A22" s="105">
        <v>44074.0</v>
      </c>
      <c r="B22" s="65">
        <v>123740.0</v>
      </c>
      <c r="C22" s="65"/>
      <c r="D22" s="65">
        <v>723482.0</v>
      </c>
      <c r="E22" s="58" t="s">
        <v>283</v>
      </c>
    </row>
    <row r="23">
      <c r="A23" s="105">
        <v>44104.0</v>
      </c>
      <c r="B23" s="65"/>
      <c r="C23" s="65">
        <v>-23848.0</v>
      </c>
      <c r="D23" s="65">
        <v>222232.0</v>
      </c>
      <c r="E23" s="58" t="s">
        <v>283</v>
      </c>
    </row>
    <row r="24">
      <c r="A24" s="105">
        <v>44135.0</v>
      </c>
      <c r="B24" s="65"/>
      <c r="C24" s="65">
        <v>-327454.0</v>
      </c>
      <c r="D24" s="65">
        <v>-354273.0</v>
      </c>
      <c r="E24" s="58" t="s">
        <v>283</v>
      </c>
    </row>
    <row r="25">
      <c r="A25" s="105">
        <v>44165.0</v>
      </c>
      <c r="B25" s="65"/>
      <c r="C25" s="65">
        <v>-437539.0</v>
      </c>
      <c r="D25" s="65">
        <v>-457239.0</v>
      </c>
      <c r="E25" s="58" t="s">
        <v>283</v>
      </c>
    </row>
    <row r="26">
      <c r="A26" s="105">
        <v>44196.0</v>
      </c>
      <c r="B26" s="65"/>
      <c r="C26" s="65">
        <v>-347593.0</v>
      </c>
      <c r="D26" s="65">
        <v>-72314.0</v>
      </c>
      <c r="E26" s="58" t="s">
        <v>285</v>
      </c>
    </row>
    <row r="27">
      <c r="A27" s="105">
        <v>44196.0</v>
      </c>
      <c r="B27" s="65"/>
      <c r="C27" s="65">
        <v>-581647.0</v>
      </c>
      <c r="D27" s="65">
        <v>-123845.0</v>
      </c>
      <c r="E27" s="58" t="s">
        <v>283</v>
      </c>
    </row>
    <row r="28">
      <c r="A28" s="105">
        <v>44196.0</v>
      </c>
      <c r="B28" s="106"/>
      <c r="C28" s="65">
        <v>-431998.0</v>
      </c>
      <c r="D28" s="65">
        <v>-323942.0</v>
      </c>
      <c r="E28" s="58" t="s">
        <v>284</v>
      </c>
    </row>
    <row r="29">
      <c r="A29" s="105">
        <v>44227.0</v>
      </c>
      <c r="B29" s="65"/>
      <c r="C29" s="65">
        <v>-300230.0</v>
      </c>
      <c r="D29" s="65">
        <v>-52832.0</v>
      </c>
      <c r="E29" s="58" t="s">
        <v>283</v>
      </c>
    </row>
    <row r="30">
      <c r="A30" s="105">
        <v>44255.0</v>
      </c>
      <c r="B30" s="65"/>
      <c r="C30" s="65">
        <v>-234875.0</v>
      </c>
      <c r="D30" s="65">
        <v>-123843.0</v>
      </c>
      <c r="E30" s="58" t="s">
        <v>283</v>
      </c>
    </row>
    <row r="31">
      <c r="A31" s="105">
        <v>44286.0</v>
      </c>
      <c r="B31" s="65"/>
      <c r="C31" s="65">
        <v>-292347.0</v>
      </c>
      <c r="D31" s="65">
        <v>-104272.0</v>
      </c>
      <c r="E31" s="58" t="s">
        <v>283</v>
      </c>
    </row>
    <row r="32">
      <c r="A32" s="105">
        <v>44316.0</v>
      </c>
      <c r="B32" s="65"/>
      <c r="C32" s="65">
        <v>-127495.0</v>
      </c>
      <c r="D32" s="65">
        <v>-81249.0</v>
      </c>
      <c r="E32" s="58" t="s">
        <v>283</v>
      </c>
    </row>
    <row r="33">
      <c r="A33" s="105">
        <v>44347.0</v>
      </c>
      <c r="B33" s="65"/>
      <c r="C33" s="65">
        <v>-175824.0</v>
      </c>
      <c r="D33" s="65">
        <v>-102482.0</v>
      </c>
      <c r="E33" s="58" t="s">
        <v>283</v>
      </c>
    </row>
    <row r="34">
      <c r="A34" s="105">
        <v>44377.0</v>
      </c>
      <c r="B34" s="65">
        <v>24274.0</v>
      </c>
      <c r="C34" s="65"/>
      <c r="D34" s="65">
        <v>84238.0</v>
      </c>
      <c r="E34" s="58" t="s">
        <v>283</v>
      </c>
    </row>
    <row r="35">
      <c r="A35" s="105">
        <v>44408.0</v>
      </c>
      <c r="B35" s="65">
        <v>123745.0</v>
      </c>
      <c r="C35" s="65"/>
      <c r="D35" s="65">
        <v>800673.0</v>
      </c>
      <c r="E35" s="58" t="s">
        <v>283</v>
      </c>
    </row>
    <row r="36">
      <c r="A36" s="105">
        <v>44439.0</v>
      </c>
      <c r="B36" s="65">
        <v>213494.0</v>
      </c>
      <c r="C36" s="65"/>
      <c r="D36" s="65">
        <v>246234.0</v>
      </c>
      <c r="E36" s="58" t="s">
        <v>283</v>
      </c>
    </row>
    <row r="37">
      <c r="A37" s="105">
        <v>44469.0</v>
      </c>
      <c r="B37" s="65">
        <v>128532.0</v>
      </c>
      <c r="C37" s="65"/>
      <c r="D37" s="65">
        <v>1353945.0</v>
      </c>
      <c r="E37" s="58" t="s">
        <v>283</v>
      </c>
    </row>
    <row r="38">
      <c r="A38" s="105">
        <v>44500.0</v>
      </c>
      <c r="B38" s="65"/>
      <c r="C38" s="65">
        <v>-265284.0</v>
      </c>
      <c r="D38" s="65">
        <v>-82344.0</v>
      </c>
      <c r="E38" s="58" t="s">
        <v>283</v>
      </c>
    </row>
    <row r="39">
      <c r="A39" s="105">
        <v>44530.0</v>
      </c>
      <c r="B39" s="65"/>
      <c r="C39" s="65">
        <v>-185723.0</v>
      </c>
      <c r="D39" s="65">
        <v>-284213.0</v>
      </c>
      <c r="E39" s="58" t="s">
        <v>285</v>
      </c>
    </row>
    <row r="40">
      <c r="A40" s="105">
        <v>44561.0</v>
      </c>
      <c r="B40" s="65"/>
      <c r="C40" s="65">
        <v>-214895.0</v>
      </c>
      <c r="D40" s="65">
        <v>-124753.0</v>
      </c>
      <c r="E40" s="58" t="s">
        <v>283</v>
      </c>
    </row>
    <row r="41">
      <c r="A41" s="105">
        <v>44561.0</v>
      </c>
      <c r="B41" s="65"/>
      <c r="C41" s="65">
        <v>-238324.0</v>
      </c>
      <c r="D41" s="65">
        <v>-128412.0</v>
      </c>
      <c r="E41" s="58" t="s">
        <v>284</v>
      </c>
    </row>
    <row r="42">
      <c r="A42" s="105">
        <v>44602.0</v>
      </c>
      <c r="B42" s="65">
        <v>23852.0</v>
      </c>
      <c r="C42" s="65"/>
      <c r="D42" s="65">
        <v>35712.0</v>
      </c>
      <c r="E42" s="58" t="s">
        <v>283</v>
      </c>
    </row>
    <row r="43">
      <c r="A43" s="105">
        <v>44622.0</v>
      </c>
      <c r="B43" s="65">
        <v>123845.0</v>
      </c>
      <c r="C43" s="65"/>
      <c r="D43" s="65">
        <v>94725.0</v>
      </c>
      <c r="E43" s="58" t="s">
        <v>283</v>
      </c>
    </row>
    <row r="44">
      <c r="A44" s="105">
        <v>44657.0</v>
      </c>
      <c r="B44" s="65">
        <v>102548.0</v>
      </c>
      <c r="C44" s="65"/>
      <c r="D44" s="65">
        <v>74385.0</v>
      </c>
      <c r="E44" s="58" t="s">
        <v>283</v>
      </c>
    </row>
    <row r="45">
      <c r="A45" s="105">
        <v>44685.0</v>
      </c>
      <c r="B45" s="65">
        <v>29320.0</v>
      </c>
      <c r="C45" s="65"/>
      <c r="D45" s="65">
        <v>15823.0</v>
      </c>
      <c r="E45" s="58" t="s">
        <v>283</v>
      </c>
    </row>
    <row r="46">
      <c r="A46" s="105">
        <v>44713.0</v>
      </c>
      <c r="B46" s="65"/>
      <c r="C46" s="65">
        <v>-72391.0</v>
      </c>
      <c r="D46" s="65">
        <v>-124475.0</v>
      </c>
      <c r="E46" s="58" t="s">
        <v>283</v>
      </c>
    </row>
    <row r="47">
      <c r="A47" s="105">
        <v>44748.0</v>
      </c>
      <c r="B47" s="65">
        <v>23842.0</v>
      </c>
      <c r="C47" s="65"/>
      <c r="D47" s="65">
        <v>48123.0</v>
      </c>
      <c r="E47" s="58" t="s">
        <v>283</v>
      </c>
    </row>
    <row r="48">
      <c r="A48" s="105">
        <v>44782.0</v>
      </c>
      <c r="B48" s="65">
        <v>265823.0</v>
      </c>
      <c r="C48" s="65"/>
      <c r="D48" s="65">
        <v>12572.0</v>
      </c>
      <c r="E48" s="58" t="s">
        <v>283</v>
      </c>
    </row>
    <row r="49">
      <c r="A49" s="105">
        <v>44825.0</v>
      </c>
      <c r="B49" s="65">
        <v>123854.0</v>
      </c>
      <c r="C49" s="65"/>
      <c r="D49" s="65">
        <v>24832.0</v>
      </c>
      <c r="E49" s="58" t="s">
        <v>283</v>
      </c>
    </row>
    <row r="50">
      <c r="A50" s="105">
        <v>44860.0</v>
      </c>
      <c r="B50" s="65">
        <v>275923.0</v>
      </c>
      <c r="C50" s="65"/>
      <c r="D50" s="65">
        <v>212384.0</v>
      </c>
      <c r="E50" s="58" t="s">
        <v>283</v>
      </c>
    </row>
    <row r="51">
      <c r="A51" s="105">
        <v>44887.0</v>
      </c>
      <c r="B51" s="65">
        <v>482328.0</v>
      </c>
      <c r="C51" s="65"/>
      <c r="D51" s="65">
        <v>248253.0</v>
      </c>
      <c r="E51" s="58" t="s">
        <v>283</v>
      </c>
    </row>
    <row r="52">
      <c r="A52" s="105">
        <v>44924.0</v>
      </c>
      <c r="B52" s="65">
        <v>500230.0</v>
      </c>
      <c r="C52" s="65"/>
      <c r="D52" s="65">
        <v>361842.0</v>
      </c>
      <c r="E52" s="58" t="s">
        <v>283</v>
      </c>
    </row>
    <row r="53">
      <c r="A53" s="105">
        <v>44924.0</v>
      </c>
      <c r="B53" s="65">
        <v>12699.0</v>
      </c>
      <c r="C53" s="65"/>
      <c r="D53" s="65">
        <v>64283.0</v>
      </c>
      <c r="E53" s="58" t="s">
        <v>283</v>
      </c>
    </row>
    <row r="54">
      <c r="A54" s="105">
        <v>44924.0</v>
      </c>
      <c r="B54" s="106"/>
      <c r="C54" s="106">
        <v>-39144.0</v>
      </c>
      <c r="D54" s="65">
        <v>-58329.0</v>
      </c>
      <c r="E54" s="58" t="s">
        <v>284</v>
      </c>
    </row>
    <row r="55">
      <c r="A55" s="105">
        <v>44950.0</v>
      </c>
      <c r="B55" s="65"/>
      <c r="C55" s="65">
        <v>-238542.0</v>
      </c>
      <c r="D55" s="65">
        <v>-24729.0</v>
      </c>
      <c r="E55" s="58" t="s">
        <v>286</v>
      </c>
    </row>
    <row r="56">
      <c r="A56" s="105">
        <v>44985.0</v>
      </c>
      <c r="B56" s="65"/>
      <c r="C56" s="65">
        <v>-172391.0</v>
      </c>
      <c r="D56" s="65">
        <v>-12482.0</v>
      </c>
      <c r="E56" s="58" t="s">
        <v>286</v>
      </c>
    </row>
    <row r="57">
      <c r="A57" s="105">
        <v>45015.0</v>
      </c>
      <c r="B57" s="65"/>
      <c r="C57" s="65">
        <v>-254712.0</v>
      </c>
      <c r="D57" s="65">
        <v>-127523.0</v>
      </c>
      <c r="E57" s="58" t="s">
        <v>286</v>
      </c>
    </row>
    <row r="58">
      <c r="A58" s="105">
        <v>45043.0</v>
      </c>
      <c r="B58" s="65"/>
      <c r="C58" s="65">
        <v>-184593.0</v>
      </c>
      <c r="D58" s="65">
        <v>-78429.0</v>
      </c>
      <c r="E58" s="58" t="s">
        <v>286</v>
      </c>
    </row>
    <row r="59">
      <c r="A59" s="105">
        <v>45077.0</v>
      </c>
      <c r="B59" s="65"/>
      <c r="C59" s="65">
        <v>-73850.0</v>
      </c>
      <c r="D59" s="65">
        <v>-21274.0</v>
      </c>
      <c r="E59" s="58" t="s">
        <v>286</v>
      </c>
    </row>
    <row r="60">
      <c r="A60" s="105">
        <v>45107.0</v>
      </c>
      <c r="B60" s="65"/>
      <c r="C60" s="65">
        <v>-72392.0</v>
      </c>
      <c r="D60" s="65">
        <v>-75293.0</v>
      </c>
      <c r="E60" s="58" t="s">
        <v>286</v>
      </c>
    </row>
    <row r="61">
      <c r="A61" s="105">
        <v>45134.0</v>
      </c>
      <c r="B61" s="65"/>
      <c r="C61" s="65">
        <v>-42732.0</v>
      </c>
      <c r="D61" s="65">
        <v>-72346.0</v>
      </c>
      <c r="E61" s="58" t="s">
        <v>286</v>
      </c>
    </row>
    <row r="62">
      <c r="A62" s="105">
        <v>45169.0</v>
      </c>
      <c r="B62" s="65"/>
      <c r="C62" s="65">
        <v>-123623.0</v>
      </c>
      <c r="D62" s="65">
        <v>-29347.0</v>
      </c>
      <c r="E62" s="58" t="s">
        <v>286</v>
      </c>
    </row>
    <row r="63">
      <c r="A63" s="105">
        <v>45198.0</v>
      </c>
      <c r="B63" s="65"/>
      <c r="C63" s="65">
        <v>-162481.0</v>
      </c>
      <c r="D63" s="65">
        <v>-162483.0</v>
      </c>
      <c r="E63" s="58" t="s">
        <v>286</v>
      </c>
    </row>
    <row r="64">
      <c r="A64" s="105">
        <v>45230.0</v>
      </c>
      <c r="B64" s="65"/>
      <c r="C64" s="65">
        <v>-285423.0</v>
      </c>
      <c r="D64" s="65">
        <v>745327.0</v>
      </c>
      <c r="E64" s="58" t="s">
        <v>286</v>
      </c>
    </row>
    <row r="65">
      <c r="A65" s="105">
        <v>45260.0</v>
      </c>
      <c r="B65" s="65"/>
      <c r="C65" s="65">
        <v>-124713.0</v>
      </c>
      <c r="D65" s="65">
        <v>635001.0</v>
      </c>
      <c r="E65" s="58" t="s">
        <v>286</v>
      </c>
    </row>
    <row r="66">
      <c r="A66" s="105">
        <v>45290.0</v>
      </c>
      <c r="B66" s="65"/>
      <c r="C66" s="65">
        <v>-173281.0</v>
      </c>
      <c r="D66" s="65">
        <v>-82394.0</v>
      </c>
      <c r="E66" s="58" t="s">
        <v>287</v>
      </c>
    </row>
    <row r="67">
      <c r="A67" s="105">
        <v>45291.0</v>
      </c>
      <c r="B67" s="65"/>
      <c r="C67" s="65">
        <v>-148210.0</v>
      </c>
      <c r="D67" s="65">
        <v>-59237.0</v>
      </c>
      <c r="E67" s="58" t="s">
        <v>284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9.38"/>
    <col customWidth="1" min="3" max="4" width="27.38"/>
    <col customWidth="1" min="5" max="5" width="40.63"/>
    <col customWidth="1" min="6" max="7" width="27.38"/>
    <col customWidth="1" min="8" max="8" width="24.63"/>
    <col customWidth="1" min="9" max="9" width="11.88"/>
    <col customWidth="1" min="10" max="11" width="25.13"/>
    <col customWidth="1" min="12" max="12" width="12.63"/>
    <col customWidth="1" min="13" max="14" width="25.13"/>
    <col customWidth="1" min="15" max="15" width="21.25"/>
    <col customWidth="1" min="16" max="16" width="19.75"/>
    <col customWidth="1" min="17" max="17" width="19.13"/>
    <col customWidth="1" min="20" max="20" width="19.75"/>
    <col customWidth="1" min="22" max="22" width="20.63"/>
  </cols>
  <sheetData>
    <row r="1">
      <c r="A1" s="67"/>
      <c r="B1" s="68" t="s">
        <v>276</v>
      </c>
      <c r="C1" s="69"/>
      <c r="D1" s="69"/>
      <c r="E1" s="107"/>
      <c r="F1" s="70"/>
      <c r="G1" s="70"/>
      <c r="H1" s="70"/>
      <c r="I1" s="70"/>
      <c r="J1" s="71"/>
      <c r="L1" s="72"/>
      <c r="M1" s="72"/>
      <c r="R1" s="70"/>
      <c r="S1" s="70"/>
      <c r="T1" s="71"/>
    </row>
    <row r="2">
      <c r="A2" s="73"/>
      <c r="B2" s="74"/>
      <c r="E2" s="108"/>
      <c r="F2" s="72"/>
      <c r="G2" s="72"/>
      <c r="H2" s="72"/>
      <c r="I2" s="72"/>
      <c r="J2" s="75"/>
      <c r="L2" s="76"/>
      <c r="M2" s="76"/>
      <c r="N2" s="77"/>
      <c r="R2" s="72"/>
      <c r="S2" s="72"/>
      <c r="T2" s="75" t="s">
        <v>110</v>
      </c>
      <c r="U2" s="75"/>
    </row>
    <row r="3">
      <c r="A3" s="73"/>
      <c r="B3" s="74"/>
      <c r="E3" s="108"/>
      <c r="F3" s="72"/>
      <c r="G3" s="72"/>
      <c r="H3" s="72"/>
      <c r="I3" s="72"/>
      <c r="J3" s="75"/>
    </row>
    <row r="4">
      <c r="A4" s="73"/>
      <c r="B4" s="109"/>
      <c r="C4" s="110"/>
      <c r="D4" s="110"/>
      <c r="E4" s="111" t="s">
        <v>273</v>
      </c>
      <c r="F4" s="81"/>
      <c r="G4" s="81"/>
      <c r="H4" s="81"/>
      <c r="I4" s="81"/>
      <c r="J4" s="82"/>
    </row>
    <row r="5">
      <c r="A5" s="73"/>
      <c r="B5" s="83" t="s">
        <v>277</v>
      </c>
      <c r="C5" s="84" t="s">
        <v>278</v>
      </c>
      <c r="D5" s="84" t="s">
        <v>282</v>
      </c>
      <c r="E5" s="84" t="s">
        <v>291</v>
      </c>
      <c r="F5" s="85"/>
      <c r="G5" s="85"/>
      <c r="H5" s="85"/>
    </row>
    <row r="6">
      <c r="A6" s="86"/>
      <c r="B6" s="87">
        <v>1.0</v>
      </c>
      <c r="C6" s="88">
        <v>43475.0</v>
      </c>
      <c r="D6" s="112">
        <v>-384292.0</v>
      </c>
      <c r="E6" s="113">
        <v>1109000.0</v>
      </c>
      <c r="F6" s="85"/>
      <c r="G6" s="85"/>
      <c r="H6" s="85"/>
    </row>
    <row r="7">
      <c r="A7" s="86"/>
      <c r="B7" s="87">
        <v>2.0</v>
      </c>
      <c r="C7" s="88">
        <v>43501.0</v>
      </c>
      <c r="D7" s="112">
        <f>-324739</f>
        <v>-324739</v>
      </c>
      <c r="E7" s="114"/>
      <c r="F7" s="85"/>
      <c r="G7" s="85"/>
      <c r="H7" s="85"/>
    </row>
    <row r="8">
      <c r="A8" s="86"/>
      <c r="B8" s="87">
        <v>3.0</v>
      </c>
      <c r="C8" s="88">
        <v>43544.0</v>
      </c>
      <c r="D8" s="112">
        <f>-213048</f>
        <v>-213048</v>
      </c>
      <c r="E8" s="115"/>
      <c r="F8" s="85"/>
      <c r="G8" s="85"/>
      <c r="H8" s="85"/>
    </row>
    <row r="9">
      <c r="A9" s="86"/>
      <c r="B9" s="87">
        <v>4.0</v>
      </c>
      <c r="C9" s="93">
        <v>43573.0</v>
      </c>
      <c r="D9" s="112">
        <f>-62419</f>
        <v>-62419</v>
      </c>
      <c r="E9" s="114"/>
      <c r="F9" s="85"/>
      <c r="G9" s="85"/>
      <c r="H9" s="85"/>
    </row>
    <row r="10">
      <c r="A10" s="86"/>
      <c r="B10" s="87">
        <v>5.0</v>
      </c>
      <c r="C10" s="93">
        <v>43604.0</v>
      </c>
      <c r="D10" s="112">
        <f>-478320</f>
        <v>-478320</v>
      </c>
      <c r="E10" s="115"/>
      <c r="F10" s="85"/>
      <c r="G10" s="85"/>
      <c r="H10" s="85"/>
    </row>
    <row r="11">
      <c r="A11" s="86"/>
      <c r="B11" s="87">
        <v>6.0</v>
      </c>
      <c r="C11" s="88">
        <v>43621.0</v>
      </c>
      <c r="D11" s="112">
        <f>72492</f>
        <v>72492</v>
      </c>
      <c r="E11" s="114"/>
      <c r="F11" s="85"/>
      <c r="G11" s="85"/>
      <c r="H11" s="85"/>
    </row>
    <row r="12">
      <c r="A12" s="86"/>
      <c r="B12" s="87">
        <v>7.0</v>
      </c>
      <c r="C12" s="88">
        <v>43650.0</v>
      </c>
      <c r="D12" s="112">
        <f>189340</f>
        <v>189340</v>
      </c>
      <c r="E12" s="115"/>
      <c r="F12" s="85"/>
      <c r="G12" s="85"/>
      <c r="H12" s="85"/>
    </row>
    <row r="13">
      <c r="A13" s="86"/>
      <c r="B13" s="87">
        <v>8.0</v>
      </c>
      <c r="C13" s="88">
        <v>43678.0</v>
      </c>
      <c r="D13" s="112">
        <f>284293</f>
        <v>284293</v>
      </c>
      <c r="E13" s="114"/>
      <c r="F13" s="85"/>
      <c r="G13" s="85"/>
      <c r="H13" s="85"/>
    </row>
    <row r="14">
      <c r="A14" s="86"/>
      <c r="B14" s="87">
        <v>9.0</v>
      </c>
      <c r="C14" s="88">
        <v>43724.0</v>
      </c>
      <c r="D14" s="112">
        <f>-12364</f>
        <v>-12364</v>
      </c>
      <c r="E14" s="115"/>
      <c r="F14" s="85"/>
      <c r="G14" s="85"/>
      <c r="H14" s="85"/>
    </row>
    <row r="15">
      <c r="A15" s="86"/>
      <c r="B15" s="87">
        <v>10.0</v>
      </c>
      <c r="C15" s="88">
        <v>43748.0</v>
      </c>
      <c r="D15" s="112">
        <f>-465882</f>
        <v>-465882</v>
      </c>
      <c r="E15" s="114"/>
      <c r="F15" s="85"/>
      <c r="G15" s="85"/>
      <c r="H15" s="85"/>
    </row>
    <row r="16">
      <c r="A16" s="86"/>
      <c r="B16" s="87">
        <v>11.0</v>
      </c>
      <c r="C16" s="88">
        <v>43774.0</v>
      </c>
      <c r="D16" s="112">
        <f>-582721</f>
        <v>-582721</v>
      </c>
      <c r="E16" s="115"/>
      <c r="F16" s="85"/>
      <c r="G16" s="85">
        <f>-331958</f>
        <v>-331958</v>
      </c>
      <c r="H16" s="85"/>
    </row>
    <row r="17">
      <c r="A17" s="86"/>
      <c r="B17" s="87">
        <v>12.0</v>
      </c>
      <c r="C17" s="88">
        <v>43825.0</v>
      </c>
      <c r="D17" s="112">
        <f>-375382-331958</f>
        <v>-707340</v>
      </c>
      <c r="E17" s="116"/>
      <c r="F17" s="85"/>
      <c r="G17" s="85"/>
      <c r="H17" s="85"/>
    </row>
    <row r="18">
      <c r="A18" s="86"/>
      <c r="B18" s="87">
        <v>11.0</v>
      </c>
      <c r="C18" s="88">
        <v>43839.0</v>
      </c>
      <c r="D18" s="112">
        <v>-72492.0</v>
      </c>
      <c r="E18" s="113">
        <v>1230000.0</v>
      </c>
      <c r="F18" s="85"/>
      <c r="G18" s="85"/>
      <c r="H18" s="85"/>
    </row>
    <row r="19">
      <c r="A19" s="86"/>
      <c r="B19" s="87">
        <v>12.0</v>
      </c>
      <c r="C19" s="88">
        <v>43890.0</v>
      </c>
      <c r="D19" s="112">
        <v>-12834.0</v>
      </c>
      <c r="E19" s="114"/>
      <c r="F19" s="85"/>
      <c r="G19" s="85"/>
      <c r="H19" s="85"/>
    </row>
    <row r="20">
      <c r="A20" s="86"/>
      <c r="B20" s="87">
        <v>13.0</v>
      </c>
      <c r="C20" s="88">
        <v>43921.0</v>
      </c>
      <c r="D20" s="112">
        <v>-5723.0</v>
      </c>
      <c r="E20" s="115"/>
      <c r="F20" s="85"/>
      <c r="G20" s="85"/>
      <c r="H20" s="85"/>
    </row>
    <row r="21">
      <c r="A21" s="86"/>
      <c r="B21" s="87">
        <v>14.0</v>
      </c>
      <c r="C21" s="88">
        <v>43951.0</v>
      </c>
      <c r="D21" s="112">
        <f>72394</f>
        <v>72394</v>
      </c>
      <c r="E21" s="114"/>
      <c r="F21" s="85"/>
      <c r="G21" s="85"/>
      <c r="H21" s="85"/>
    </row>
    <row r="22">
      <c r="A22" s="86"/>
      <c r="B22" s="87">
        <v>15.0</v>
      </c>
      <c r="C22" s="88">
        <v>43982.0</v>
      </c>
      <c r="D22" s="112">
        <f>824734</f>
        <v>824734</v>
      </c>
      <c r="E22" s="115"/>
      <c r="F22" s="85"/>
      <c r="G22" s="85"/>
      <c r="H22" s="85"/>
    </row>
    <row r="23">
      <c r="A23" s="86"/>
      <c r="B23" s="87">
        <v>16.0</v>
      </c>
      <c r="C23" s="88">
        <v>44012.0</v>
      </c>
      <c r="D23" s="112">
        <v>637429.0</v>
      </c>
      <c r="E23" s="114"/>
      <c r="F23" s="85"/>
      <c r="G23" s="85"/>
      <c r="H23" s="85"/>
    </row>
    <row r="24">
      <c r="A24" s="86"/>
      <c r="B24" s="87">
        <v>17.0</v>
      </c>
      <c r="C24" s="88">
        <v>44043.0</v>
      </c>
      <c r="D24" s="112">
        <v>592385.0</v>
      </c>
      <c r="E24" s="115"/>
      <c r="F24" s="85"/>
      <c r="G24" s="85"/>
      <c r="H24" s="85"/>
    </row>
    <row r="25">
      <c r="A25" s="86"/>
      <c r="B25" s="87">
        <v>18.0</v>
      </c>
      <c r="C25" s="88">
        <v>44074.0</v>
      </c>
      <c r="D25" s="112">
        <v>723482.0</v>
      </c>
      <c r="E25" s="114"/>
      <c r="F25" s="85"/>
      <c r="G25" s="85"/>
      <c r="H25" s="85"/>
    </row>
    <row r="26">
      <c r="A26" s="86"/>
      <c r="B26" s="87">
        <v>19.0</v>
      </c>
      <c r="C26" s="88">
        <v>44104.0</v>
      </c>
      <c r="D26" s="112">
        <f>222232</f>
        <v>222232</v>
      </c>
      <c r="E26" s="115"/>
      <c r="F26" s="85"/>
      <c r="G26" s="85"/>
      <c r="H26" s="85"/>
    </row>
    <row r="27">
      <c r="A27" s="86"/>
      <c r="B27" s="87">
        <v>20.0</v>
      </c>
      <c r="C27" s="88">
        <v>44135.0</v>
      </c>
      <c r="D27" s="112">
        <v>-354273.0</v>
      </c>
      <c r="E27" s="114"/>
      <c r="F27" s="85"/>
      <c r="G27" s="117"/>
      <c r="H27" s="85"/>
    </row>
    <row r="28">
      <c r="A28" s="86"/>
      <c r="B28" s="87">
        <v>21.0</v>
      </c>
      <c r="C28" s="88">
        <v>44165.0</v>
      </c>
      <c r="D28" s="112">
        <v>-457239.0</v>
      </c>
      <c r="E28" s="115"/>
      <c r="F28" s="85"/>
      <c r="G28" s="85"/>
      <c r="H28" s="85"/>
    </row>
    <row r="29">
      <c r="A29" s="86"/>
      <c r="B29" s="87">
        <v>22.0</v>
      </c>
      <c r="C29" s="88">
        <v>44196.0</v>
      </c>
      <c r="D29" s="112">
        <f>-72314-323942-52832</f>
        <v>-449088</v>
      </c>
      <c r="E29" s="116"/>
      <c r="F29" s="85"/>
      <c r="G29" s="112"/>
      <c r="H29" s="85"/>
    </row>
    <row r="30">
      <c r="A30" s="86"/>
      <c r="B30" s="87">
        <v>24.0</v>
      </c>
      <c r="C30" s="88">
        <v>44227.0</v>
      </c>
      <c r="D30" s="112">
        <v>-52832.0</v>
      </c>
      <c r="E30" s="113">
        <v>7500000.0</v>
      </c>
      <c r="F30" s="85"/>
      <c r="G30" s="85"/>
      <c r="H30" s="85"/>
    </row>
    <row r="31">
      <c r="B31" s="87">
        <v>25.0</v>
      </c>
      <c r="C31" s="88">
        <v>44255.0</v>
      </c>
      <c r="D31" s="112">
        <v>-123843.0</v>
      </c>
      <c r="E31" s="114"/>
      <c r="F31" s="85"/>
      <c r="G31" s="85"/>
      <c r="H31" s="85"/>
    </row>
    <row r="32">
      <c r="B32" s="87">
        <v>26.0</v>
      </c>
      <c r="C32" s="88">
        <v>44286.0</v>
      </c>
      <c r="D32" s="112">
        <v>-104272.0</v>
      </c>
      <c r="E32" s="115"/>
      <c r="F32" s="85"/>
      <c r="G32" s="85"/>
      <c r="H32" s="85"/>
    </row>
    <row r="33">
      <c r="B33" s="87">
        <v>27.0</v>
      </c>
      <c r="C33" s="88">
        <v>44316.0</v>
      </c>
      <c r="D33" s="112">
        <v>-81249.0</v>
      </c>
      <c r="E33" s="114"/>
      <c r="F33" s="85"/>
      <c r="G33" s="85"/>
      <c r="H33" s="85"/>
    </row>
    <row r="34">
      <c r="B34" s="87">
        <v>28.0</v>
      </c>
      <c r="C34" s="88">
        <v>44347.0</v>
      </c>
      <c r="D34" s="112">
        <v>-102482.0</v>
      </c>
      <c r="E34" s="115"/>
      <c r="F34" s="85"/>
      <c r="G34" s="85"/>
      <c r="H34" s="85"/>
    </row>
    <row r="35">
      <c r="B35" s="87">
        <v>29.0</v>
      </c>
      <c r="C35" s="88">
        <v>44377.0</v>
      </c>
      <c r="D35" s="112">
        <f>84238</f>
        <v>84238</v>
      </c>
      <c r="E35" s="114"/>
      <c r="F35" s="85"/>
      <c r="G35" s="85"/>
      <c r="H35" s="85"/>
    </row>
    <row r="36">
      <c r="B36" s="87">
        <v>30.0</v>
      </c>
      <c r="C36" s="88">
        <v>44408.0</v>
      </c>
      <c r="D36" s="112">
        <f>800673</f>
        <v>800673</v>
      </c>
      <c r="E36" s="115"/>
      <c r="F36" s="85"/>
      <c r="G36" s="85"/>
      <c r="H36" s="85"/>
    </row>
    <row r="37">
      <c r="B37" s="87">
        <v>31.0</v>
      </c>
      <c r="C37" s="88">
        <v>44439.0</v>
      </c>
      <c r="D37" s="112">
        <f>246234</f>
        <v>246234</v>
      </c>
      <c r="E37" s="114"/>
      <c r="F37" s="85"/>
      <c r="G37" s="85"/>
      <c r="H37" s="85"/>
    </row>
    <row r="38">
      <c r="B38" s="87">
        <v>32.0</v>
      </c>
      <c r="C38" s="88">
        <v>44469.0</v>
      </c>
      <c r="D38" s="112">
        <f>1353945</f>
        <v>1353945</v>
      </c>
      <c r="E38" s="115"/>
      <c r="F38" s="85"/>
      <c r="G38" s="85"/>
      <c r="H38" s="85"/>
    </row>
    <row r="39">
      <c r="B39" s="87">
        <v>33.0</v>
      </c>
      <c r="C39" s="88">
        <v>44500.0</v>
      </c>
      <c r="D39" s="112">
        <v>-82344.0</v>
      </c>
      <c r="E39" s="114"/>
      <c r="F39" s="85"/>
      <c r="G39" s="117"/>
      <c r="H39" s="85"/>
    </row>
    <row r="40">
      <c r="B40" s="87">
        <v>34.0</v>
      </c>
      <c r="C40" s="88">
        <v>44530.0</v>
      </c>
      <c r="D40" s="112">
        <v>-284213.0</v>
      </c>
      <c r="E40" s="115"/>
      <c r="F40" s="85"/>
      <c r="G40" s="85"/>
      <c r="H40" s="85"/>
    </row>
    <row r="41">
      <c r="B41" s="87">
        <v>35.0</v>
      </c>
      <c r="C41" s="88">
        <v>44561.0</v>
      </c>
      <c r="D41" s="112">
        <f>-124753-128412</f>
        <v>-253165</v>
      </c>
      <c r="E41" s="116"/>
      <c r="F41" s="85"/>
      <c r="G41" s="85"/>
      <c r="H41" s="85"/>
    </row>
    <row r="42">
      <c r="B42" s="87">
        <v>36.0</v>
      </c>
      <c r="C42" s="104">
        <v>44602.0</v>
      </c>
      <c r="D42" s="112">
        <f>35712</f>
        <v>35712</v>
      </c>
      <c r="E42" s="113">
        <v>1.9E7</v>
      </c>
      <c r="F42" s="85"/>
      <c r="G42" s="85"/>
      <c r="H42" s="85"/>
    </row>
    <row r="43">
      <c r="B43" s="87">
        <v>37.0</v>
      </c>
      <c r="C43" s="104">
        <v>44622.0</v>
      </c>
      <c r="D43" s="112">
        <f>94725</f>
        <v>94725</v>
      </c>
      <c r="E43" s="114"/>
      <c r="F43" s="85"/>
      <c r="G43" s="85"/>
      <c r="H43" s="85"/>
    </row>
    <row r="44">
      <c r="B44" s="87">
        <v>38.0</v>
      </c>
      <c r="C44" s="104">
        <v>44657.0</v>
      </c>
      <c r="D44" s="112">
        <f>74385</f>
        <v>74385</v>
      </c>
      <c r="E44" s="115"/>
      <c r="F44" s="85"/>
      <c r="G44" s="85"/>
      <c r="H44" s="85"/>
    </row>
    <row r="45">
      <c r="B45" s="87">
        <v>39.0</v>
      </c>
      <c r="C45" s="104">
        <v>44685.0</v>
      </c>
      <c r="D45" s="112">
        <f>15823</f>
        <v>15823</v>
      </c>
      <c r="E45" s="114"/>
      <c r="F45" s="85"/>
      <c r="G45" s="85"/>
      <c r="H45" s="85"/>
    </row>
    <row r="46">
      <c r="B46" s="87">
        <v>40.0</v>
      </c>
      <c r="C46" s="104">
        <v>44713.0</v>
      </c>
      <c r="D46" s="112">
        <v>-124475.0</v>
      </c>
      <c r="E46" s="115"/>
      <c r="F46" s="85"/>
      <c r="G46" s="85"/>
      <c r="H46" s="85"/>
    </row>
    <row r="47">
      <c r="B47" s="87">
        <v>41.0</v>
      </c>
      <c r="C47" s="104">
        <v>44748.0</v>
      </c>
      <c r="D47" s="112">
        <f>48123</f>
        <v>48123</v>
      </c>
      <c r="E47" s="114"/>
      <c r="F47" s="85"/>
      <c r="G47" s="85"/>
      <c r="H47" s="85"/>
    </row>
    <row r="48">
      <c r="B48" s="87">
        <v>42.0</v>
      </c>
      <c r="C48" s="104">
        <v>44782.0</v>
      </c>
      <c r="D48" s="112">
        <v>12572.0</v>
      </c>
      <c r="E48" s="115"/>
      <c r="F48" s="85"/>
      <c r="G48" s="85"/>
      <c r="H48" s="85"/>
    </row>
    <row r="49">
      <c r="B49" s="87">
        <v>43.0</v>
      </c>
      <c r="C49" s="104">
        <v>44825.0</v>
      </c>
      <c r="D49" s="112">
        <v>24832.0</v>
      </c>
      <c r="E49" s="114"/>
      <c r="F49" s="85"/>
      <c r="G49" s="85"/>
      <c r="H49" s="85"/>
    </row>
    <row r="50">
      <c r="B50" s="87">
        <v>44.0</v>
      </c>
      <c r="C50" s="104">
        <v>44860.0</v>
      </c>
      <c r="D50" s="112">
        <f>212384</f>
        <v>212384</v>
      </c>
      <c r="E50" s="115"/>
      <c r="F50" s="85"/>
      <c r="G50" s="85"/>
      <c r="H50" s="85"/>
    </row>
    <row r="51">
      <c r="B51" s="87">
        <v>45.0</v>
      </c>
      <c r="C51" s="104">
        <v>44887.0</v>
      </c>
      <c r="D51" s="112">
        <f>248253</f>
        <v>248253</v>
      </c>
      <c r="E51" s="114"/>
      <c r="F51" s="85"/>
      <c r="G51" s="85"/>
      <c r="H51" s="85"/>
    </row>
    <row r="52">
      <c r="B52" s="87">
        <v>46.0</v>
      </c>
      <c r="C52" s="104">
        <v>44924.0</v>
      </c>
      <c r="D52" s="112">
        <f>361842+64283-58329</f>
        <v>367796</v>
      </c>
      <c r="E52" s="118"/>
      <c r="F52" s="112"/>
      <c r="G52" s="112"/>
      <c r="H52" s="85"/>
    </row>
    <row r="53">
      <c r="B53" s="87">
        <v>48.0</v>
      </c>
      <c r="C53" s="88">
        <v>44950.0</v>
      </c>
      <c r="D53" s="112">
        <v>-24729.0</v>
      </c>
      <c r="E53" s="113">
        <v>3.8E7</v>
      </c>
      <c r="F53" s="85"/>
      <c r="G53" s="85"/>
      <c r="H53" s="85"/>
    </row>
    <row r="54">
      <c r="B54" s="87">
        <v>49.0</v>
      </c>
      <c r="C54" s="88">
        <v>44985.0</v>
      </c>
      <c r="D54" s="112">
        <v>-12482.0</v>
      </c>
      <c r="E54" s="115"/>
      <c r="F54" s="85"/>
      <c r="G54" s="85"/>
      <c r="H54" s="85"/>
    </row>
    <row r="55">
      <c r="B55" s="87">
        <v>50.0</v>
      </c>
      <c r="C55" s="88">
        <v>45015.0</v>
      </c>
      <c r="D55" s="112">
        <v>-127523.0</v>
      </c>
      <c r="E55" s="114"/>
      <c r="F55" s="85"/>
      <c r="G55" s="85"/>
      <c r="H55" s="85"/>
    </row>
    <row r="56">
      <c r="B56" s="87">
        <v>51.0</v>
      </c>
      <c r="C56" s="88">
        <v>45043.0</v>
      </c>
      <c r="D56" s="112">
        <v>-78429.0</v>
      </c>
      <c r="E56" s="115"/>
      <c r="F56" s="85"/>
      <c r="G56" s="85"/>
      <c r="H56" s="85"/>
    </row>
    <row r="57">
      <c r="B57" s="87">
        <v>52.0</v>
      </c>
      <c r="C57" s="88">
        <v>45077.0</v>
      </c>
      <c r="D57" s="112">
        <v>-21274.0</v>
      </c>
      <c r="E57" s="114"/>
      <c r="F57" s="85"/>
      <c r="G57" s="85"/>
      <c r="H57" s="85"/>
    </row>
    <row r="58">
      <c r="B58" s="87">
        <v>53.0</v>
      </c>
      <c r="C58" s="88">
        <v>45107.0</v>
      </c>
      <c r="D58" s="112">
        <v>-75293.0</v>
      </c>
      <c r="E58" s="115"/>
      <c r="F58" s="85"/>
      <c r="G58" s="85"/>
      <c r="H58" s="85"/>
    </row>
    <row r="59">
      <c r="B59" s="87">
        <v>54.0</v>
      </c>
      <c r="C59" s="88">
        <v>45134.0</v>
      </c>
      <c r="D59" s="112">
        <v>-72346.0</v>
      </c>
      <c r="E59" s="114"/>
      <c r="F59" s="85"/>
      <c r="G59" s="117">
        <v>-59237.0</v>
      </c>
      <c r="H59" s="85"/>
    </row>
    <row r="60">
      <c r="B60" s="87">
        <v>55.0</v>
      </c>
      <c r="C60" s="88">
        <v>45169.0</v>
      </c>
      <c r="D60" s="112">
        <v>-29347.0</v>
      </c>
      <c r="E60" s="115"/>
      <c r="F60" s="85"/>
      <c r="G60" s="85"/>
      <c r="H60" s="85"/>
    </row>
    <row r="61">
      <c r="B61" s="87">
        <v>56.0</v>
      </c>
      <c r="C61" s="88">
        <v>45198.0</v>
      </c>
      <c r="D61" s="112">
        <v>-162483.0</v>
      </c>
      <c r="E61" s="114"/>
      <c r="F61" s="85"/>
      <c r="G61" s="85"/>
      <c r="H61" s="85"/>
    </row>
    <row r="62">
      <c r="B62" s="87">
        <v>57.0</v>
      </c>
      <c r="C62" s="88">
        <v>45230.0</v>
      </c>
      <c r="D62" s="112">
        <f>745327</f>
        <v>745327</v>
      </c>
      <c r="E62" s="115"/>
      <c r="F62" s="85"/>
      <c r="G62" s="85"/>
      <c r="H62" s="85"/>
    </row>
    <row r="63">
      <c r="B63" s="87">
        <v>58.0</v>
      </c>
      <c r="C63" s="88">
        <v>45260.0</v>
      </c>
      <c r="D63" s="112">
        <f>635001</f>
        <v>635001</v>
      </c>
      <c r="E63" s="114"/>
      <c r="F63" s="85"/>
      <c r="G63" s="85"/>
      <c r="H63" s="85"/>
    </row>
    <row r="64">
      <c r="B64" s="87">
        <v>59.0</v>
      </c>
      <c r="C64" s="88">
        <v>45290.0</v>
      </c>
      <c r="D64" s="112">
        <f>-82394-59237</f>
        <v>-141631</v>
      </c>
      <c r="E64" s="118"/>
      <c r="F64" s="85"/>
      <c r="G64" s="85"/>
      <c r="H64" s="85"/>
    </row>
    <row r="65">
      <c r="F65" s="85"/>
      <c r="G65" s="85"/>
      <c r="H65" s="85"/>
    </row>
    <row r="66">
      <c r="F66" s="85"/>
      <c r="G66" s="85"/>
      <c r="H66" s="85"/>
    </row>
    <row r="67">
      <c r="F67" s="85"/>
      <c r="G67" s="85"/>
      <c r="H67" s="85"/>
    </row>
    <row r="68">
      <c r="F68" s="85"/>
      <c r="G68" s="85"/>
      <c r="H68" s="85"/>
    </row>
    <row r="69">
      <c r="F69" s="85"/>
      <c r="G69" s="85"/>
      <c r="H69" s="85"/>
    </row>
    <row r="70">
      <c r="F70" s="85"/>
      <c r="G70" s="85"/>
      <c r="H70" s="85"/>
    </row>
  </sheetData>
  <mergeCells count="8">
    <mergeCell ref="B1:E3"/>
    <mergeCell ref="E6:E17"/>
    <mergeCell ref="E18:E29"/>
    <mergeCell ref="E30:E41"/>
    <mergeCell ref="E42:E52"/>
    <mergeCell ref="E53:E64"/>
    <mergeCell ref="B67:C67"/>
    <mergeCell ref="B71:C71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26.75"/>
  </cols>
  <sheetData>
    <row r="1">
      <c r="A1" s="58" t="s">
        <v>288</v>
      </c>
      <c r="B1" s="58" t="s">
        <v>282</v>
      </c>
      <c r="C1" s="58" t="s">
        <v>291</v>
      </c>
    </row>
    <row r="2">
      <c r="A2" s="105">
        <v>43475.0</v>
      </c>
      <c r="B2" s="65">
        <v>-384292.0</v>
      </c>
      <c r="C2" s="65">
        <v>1109000.0</v>
      </c>
      <c r="D2" s="65"/>
      <c r="E2" s="65"/>
    </row>
    <row r="3">
      <c r="A3" s="105">
        <v>43501.0</v>
      </c>
      <c r="B3" s="65">
        <v>-324739.0</v>
      </c>
      <c r="C3" s="65">
        <v>1109000.0</v>
      </c>
      <c r="D3" s="65"/>
      <c r="E3" s="65"/>
    </row>
    <row r="4">
      <c r="A4" s="105">
        <v>43544.0</v>
      </c>
      <c r="B4" s="65">
        <v>-213048.0</v>
      </c>
      <c r="C4" s="65">
        <v>1109000.0</v>
      </c>
      <c r="D4" s="65"/>
      <c r="E4" s="65"/>
    </row>
    <row r="5">
      <c r="A5" s="105">
        <v>43573.0</v>
      </c>
      <c r="B5" s="65">
        <v>-62419.0</v>
      </c>
      <c r="C5" s="65">
        <v>1109000.0</v>
      </c>
      <c r="D5" s="65"/>
      <c r="E5" s="65"/>
    </row>
    <row r="6">
      <c r="A6" s="105">
        <v>43604.0</v>
      </c>
      <c r="B6" s="65">
        <v>-478320.0</v>
      </c>
      <c r="C6" s="65">
        <v>1109000.0</v>
      </c>
      <c r="D6" s="65"/>
      <c r="E6" s="65"/>
    </row>
    <row r="7">
      <c r="A7" s="105">
        <v>43621.0</v>
      </c>
      <c r="B7" s="65">
        <v>72492.0</v>
      </c>
      <c r="C7" s="65">
        <v>1109000.0</v>
      </c>
      <c r="D7" s="65"/>
      <c r="E7" s="65"/>
    </row>
    <row r="8">
      <c r="A8" s="105">
        <v>43650.0</v>
      </c>
      <c r="B8" s="65">
        <v>189340.0</v>
      </c>
      <c r="C8" s="65">
        <v>1109000.0</v>
      </c>
      <c r="D8" s="65"/>
      <c r="E8" s="65"/>
    </row>
    <row r="9">
      <c r="A9" s="105">
        <v>43678.0</v>
      </c>
      <c r="B9" s="65">
        <v>284293.0</v>
      </c>
      <c r="C9" s="65">
        <v>1109000.0</v>
      </c>
      <c r="D9" s="65"/>
      <c r="E9" s="65"/>
    </row>
    <row r="10">
      <c r="A10" s="105">
        <v>43724.0</v>
      </c>
      <c r="B10" s="65">
        <v>-12364.0</v>
      </c>
      <c r="C10" s="65">
        <v>1109000.0</v>
      </c>
      <c r="D10" s="65"/>
      <c r="E10" s="65"/>
    </row>
    <row r="11">
      <c r="A11" s="105">
        <v>43748.0</v>
      </c>
      <c r="B11" s="65">
        <v>-465882.0</v>
      </c>
      <c r="C11" s="65">
        <v>1109000.0</v>
      </c>
      <c r="D11" s="65"/>
      <c r="E11" s="65"/>
    </row>
    <row r="12">
      <c r="A12" s="105">
        <v>43774.0</v>
      </c>
      <c r="B12" s="65">
        <v>-582721.0</v>
      </c>
      <c r="C12" s="65">
        <v>1109000.0</v>
      </c>
      <c r="D12" s="65"/>
      <c r="E12" s="65"/>
    </row>
    <row r="13">
      <c r="A13" s="105">
        <v>43825.0</v>
      </c>
      <c r="B13" s="65">
        <v>-707340.0</v>
      </c>
      <c r="C13" s="65">
        <v>1109000.0</v>
      </c>
      <c r="D13" s="65"/>
      <c r="E13" s="65"/>
    </row>
    <row r="14">
      <c r="A14" s="105">
        <v>43839.0</v>
      </c>
      <c r="B14" s="65">
        <v>-72492.0</v>
      </c>
      <c r="C14" s="65">
        <v>1230000.0</v>
      </c>
      <c r="D14" s="65"/>
      <c r="E14" s="65"/>
    </row>
    <row r="15">
      <c r="A15" s="105">
        <v>43890.0</v>
      </c>
      <c r="B15" s="65">
        <v>-12834.0</v>
      </c>
      <c r="C15" s="65">
        <v>1230000.0</v>
      </c>
      <c r="D15" s="65"/>
      <c r="E15" s="65"/>
    </row>
    <row r="16">
      <c r="A16" s="105">
        <v>43921.0</v>
      </c>
      <c r="B16" s="65">
        <v>-5723.0</v>
      </c>
      <c r="C16" s="65">
        <v>1230000.0</v>
      </c>
      <c r="D16" s="65"/>
      <c r="E16" s="65"/>
    </row>
    <row r="17">
      <c r="A17" s="105">
        <v>43951.0</v>
      </c>
      <c r="B17" s="65">
        <v>72394.0</v>
      </c>
      <c r="C17" s="65">
        <v>1230000.0</v>
      </c>
      <c r="D17" s="65"/>
      <c r="E17" s="65"/>
    </row>
    <row r="18">
      <c r="A18" s="105">
        <v>43982.0</v>
      </c>
      <c r="B18" s="65">
        <v>824734.0</v>
      </c>
      <c r="C18" s="65">
        <v>1230000.0</v>
      </c>
      <c r="D18" s="65"/>
      <c r="E18" s="65"/>
    </row>
    <row r="19">
      <c r="A19" s="105">
        <v>44012.0</v>
      </c>
      <c r="B19" s="65">
        <v>637429.0</v>
      </c>
      <c r="C19" s="65">
        <v>1230000.0</v>
      </c>
      <c r="D19" s="65"/>
      <c r="E19" s="65"/>
    </row>
    <row r="20">
      <c r="A20" s="105">
        <v>44043.0</v>
      </c>
      <c r="B20" s="65">
        <v>592385.0</v>
      </c>
      <c r="C20" s="65">
        <v>1230000.0</v>
      </c>
      <c r="D20" s="65"/>
      <c r="E20" s="65"/>
    </row>
    <row r="21">
      <c r="A21" s="105">
        <v>44074.0</v>
      </c>
      <c r="B21" s="65">
        <v>723482.0</v>
      </c>
      <c r="C21" s="65">
        <v>1230000.0</v>
      </c>
      <c r="D21" s="65"/>
      <c r="E21" s="65"/>
    </row>
    <row r="22">
      <c r="A22" s="105">
        <v>44104.0</v>
      </c>
      <c r="B22" s="65">
        <v>222232.0</v>
      </c>
      <c r="C22" s="65">
        <v>1230000.0</v>
      </c>
      <c r="D22" s="65"/>
      <c r="E22" s="65"/>
    </row>
    <row r="23">
      <c r="A23" s="105">
        <v>44135.0</v>
      </c>
      <c r="B23" s="65">
        <v>-354273.0</v>
      </c>
      <c r="C23" s="65">
        <v>1230000.0</v>
      </c>
      <c r="D23" s="65"/>
      <c r="E23" s="65"/>
    </row>
    <row r="24">
      <c r="A24" s="105">
        <v>44165.0</v>
      </c>
      <c r="B24" s="65">
        <v>-457239.0</v>
      </c>
      <c r="C24" s="65">
        <v>1230000.0</v>
      </c>
      <c r="D24" s="65"/>
      <c r="E24" s="65"/>
    </row>
    <row r="25">
      <c r="A25" s="105">
        <v>44196.0</v>
      </c>
      <c r="B25" s="65">
        <v>-449088.0</v>
      </c>
      <c r="C25" s="65">
        <v>1230000.0</v>
      </c>
      <c r="D25" s="65"/>
      <c r="E25" s="65"/>
    </row>
    <row r="26">
      <c r="A26" s="105">
        <v>44227.0</v>
      </c>
      <c r="B26" s="65">
        <v>-52832.0</v>
      </c>
      <c r="C26" s="65">
        <v>7500000.0</v>
      </c>
      <c r="D26" s="65"/>
      <c r="E26" s="65"/>
    </row>
    <row r="27">
      <c r="A27" s="105">
        <v>44255.0</v>
      </c>
      <c r="B27" s="65">
        <v>-123843.0</v>
      </c>
      <c r="C27" s="65">
        <v>7500000.0</v>
      </c>
      <c r="D27" s="65"/>
      <c r="E27" s="65"/>
    </row>
    <row r="28">
      <c r="A28" s="105">
        <v>44286.0</v>
      </c>
      <c r="B28" s="65">
        <v>-104272.0</v>
      </c>
      <c r="C28" s="65">
        <v>7500000.0</v>
      </c>
      <c r="D28" s="65"/>
      <c r="E28" s="65"/>
    </row>
    <row r="29">
      <c r="A29" s="105">
        <v>44316.0</v>
      </c>
      <c r="B29" s="65">
        <v>-81249.0</v>
      </c>
      <c r="C29" s="65">
        <v>7500000.0</v>
      </c>
      <c r="D29" s="65"/>
      <c r="E29" s="65"/>
    </row>
    <row r="30">
      <c r="A30" s="105">
        <v>44347.0</v>
      </c>
      <c r="B30" s="65">
        <v>-102482.0</v>
      </c>
      <c r="C30" s="65">
        <v>7500000.0</v>
      </c>
      <c r="D30" s="65"/>
      <c r="E30" s="65"/>
    </row>
    <row r="31">
      <c r="A31" s="105">
        <v>44377.0</v>
      </c>
      <c r="B31" s="65">
        <v>84238.0</v>
      </c>
      <c r="C31" s="65">
        <v>7500000.0</v>
      </c>
      <c r="D31" s="65"/>
      <c r="E31" s="65"/>
    </row>
    <row r="32">
      <c r="A32" s="105">
        <v>44408.0</v>
      </c>
      <c r="B32" s="65">
        <v>800673.0</v>
      </c>
      <c r="C32" s="65">
        <v>7500000.0</v>
      </c>
      <c r="D32" s="65"/>
      <c r="E32" s="65"/>
    </row>
    <row r="33">
      <c r="A33" s="105">
        <v>44439.0</v>
      </c>
      <c r="B33" s="65">
        <v>246234.0</v>
      </c>
      <c r="C33" s="65">
        <v>7500000.0</v>
      </c>
      <c r="D33" s="65"/>
      <c r="E33" s="65"/>
    </row>
    <row r="34">
      <c r="A34" s="105">
        <v>44469.0</v>
      </c>
      <c r="B34" s="65">
        <v>1353945.0</v>
      </c>
      <c r="C34" s="65">
        <v>7500000.0</v>
      </c>
      <c r="D34" s="65"/>
      <c r="E34" s="65"/>
    </row>
    <row r="35">
      <c r="A35" s="105">
        <v>44500.0</v>
      </c>
      <c r="B35" s="65">
        <v>-82344.0</v>
      </c>
      <c r="C35" s="65">
        <v>7500000.0</v>
      </c>
      <c r="D35" s="65"/>
      <c r="E35" s="65"/>
    </row>
    <row r="36">
      <c r="A36" s="105">
        <v>44530.0</v>
      </c>
      <c r="B36" s="65">
        <v>-284213.0</v>
      </c>
      <c r="C36" s="65">
        <v>7500000.0</v>
      </c>
      <c r="D36" s="65"/>
      <c r="E36" s="65"/>
    </row>
    <row r="37">
      <c r="A37" s="105">
        <v>44561.0</v>
      </c>
      <c r="B37" s="65">
        <v>-253165.0</v>
      </c>
      <c r="C37" s="65">
        <v>7500000.0</v>
      </c>
      <c r="D37" s="65"/>
      <c r="E37" s="65"/>
    </row>
    <row r="38">
      <c r="A38" s="105">
        <v>44602.0</v>
      </c>
      <c r="B38" s="65">
        <v>35712.0</v>
      </c>
      <c r="C38" s="65">
        <v>1.9E7</v>
      </c>
      <c r="D38" s="65"/>
      <c r="E38" s="65"/>
    </row>
    <row r="39">
      <c r="A39" s="105">
        <v>44622.0</v>
      </c>
      <c r="B39" s="65">
        <v>94725.0</v>
      </c>
      <c r="C39" s="65">
        <v>1.9E7</v>
      </c>
      <c r="D39" s="65"/>
      <c r="E39" s="65"/>
    </row>
    <row r="40">
      <c r="A40" s="105">
        <v>44657.0</v>
      </c>
      <c r="B40" s="65">
        <v>74385.0</v>
      </c>
      <c r="C40" s="65">
        <v>1.9E7</v>
      </c>
      <c r="D40" s="65"/>
      <c r="E40" s="65"/>
    </row>
    <row r="41">
      <c r="A41" s="105">
        <v>44685.0</v>
      </c>
      <c r="B41" s="65">
        <v>15823.0</v>
      </c>
      <c r="C41" s="65">
        <v>1.9E7</v>
      </c>
      <c r="D41" s="65"/>
      <c r="E41" s="65"/>
    </row>
    <row r="42">
      <c r="A42" s="105">
        <v>44713.0</v>
      </c>
      <c r="B42" s="65">
        <v>-124475.0</v>
      </c>
      <c r="C42" s="65">
        <v>1.9E7</v>
      </c>
      <c r="D42" s="65"/>
      <c r="E42" s="65"/>
    </row>
    <row r="43">
      <c r="A43" s="105">
        <v>44748.0</v>
      </c>
      <c r="B43" s="65">
        <v>48123.0</v>
      </c>
      <c r="C43" s="65">
        <v>1.9E7</v>
      </c>
      <c r="D43" s="65"/>
      <c r="E43" s="65"/>
    </row>
    <row r="44">
      <c r="A44" s="105">
        <v>44782.0</v>
      </c>
      <c r="B44" s="65">
        <v>12572.0</v>
      </c>
      <c r="C44" s="65">
        <v>1.9E7</v>
      </c>
      <c r="D44" s="65"/>
      <c r="E44" s="65"/>
    </row>
    <row r="45">
      <c r="A45" s="105">
        <v>44825.0</v>
      </c>
      <c r="B45" s="65">
        <v>24832.0</v>
      </c>
      <c r="C45" s="65">
        <v>1.9E7</v>
      </c>
      <c r="D45" s="65"/>
      <c r="E45" s="65"/>
    </row>
    <row r="46">
      <c r="A46" s="105">
        <v>44860.0</v>
      </c>
      <c r="B46" s="65">
        <v>212384.0</v>
      </c>
      <c r="C46" s="65">
        <v>1.9E7</v>
      </c>
      <c r="D46" s="65"/>
      <c r="E46" s="65"/>
    </row>
    <row r="47">
      <c r="A47" s="105">
        <v>44887.0</v>
      </c>
      <c r="B47" s="65">
        <v>248253.0</v>
      </c>
      <c r="C47" s="65">
        <v>1.9E7</v>
      </c>
      <c r="D47" s="65"/>
      <c r="E47" s="65"/>
    </row>
    <row r="48">
      <c r="A48" s="105">
        <v>44924.0</v>
      </c>
      <c r="B48" s="65">
        <v>367796.0</v>
      </c>
      <c r="C48" s="65">
        <v>1.9E7</v>
      </c>
      <c r="D48" s="65"/>
      <c r="E48" s="65"/>
    </row>
    <row r="49">
      <c r="A49" s="105">
        <v>44950.0</v>
      </c>
      <c r="B49" s="65">
        <v>-24729.0</v>
      </c>
      <c r="C49" s="65">
        <v>3.8E7</v>
      </c>
      <c r="D49" s="65"/>
      <c r="E49" s="65"/>
    </row>
    <row r="50">
      <c r="A50" s="105">
        <v>44985.0</v>
      </c>
      <c r="B50" s="65">
        <v>-12482.0</v>
      </c>
      <c r="C50" s="65">
        <v>3.8E7</v>
      </c>
      <c r="D50" s="65"/>
      <c r="E50" s="65"/>
    </row>
    <row r="51">
      <c r="A51" s="105">
        <v>45015.0</v>
      </c>
      <c r="B51" s="65">
        <v>-127523.0</v>
      </c>
      <c r="C51" s="65">
        <v>3.8E7</v>
      </c>
      <c r="D51" s="65"/>
      <c r="E51" s="65"/>
    </row>
    <row r="52">
      <c r="A52" s="105">
        <v>45043.0</v>
      </c>
      <c r="B52" s="65">
        <v>-78429.0</v>
      </c>
      <c r="C52" s="65">
        <v>3.8E7</v>
      </c>
      <c r="D52" s="65"/>
      <c r="E52" s="65"/>
    </row>
    <row r="53">
      <c r="A53" s="105">
        <v>45077.0</v>
      </c>
      <c r="B53" s="65">
        <v>-21274.0</v>
      </c>
      <c r="C53" s="65">
        <v>3.8E7</v>
      </c>
      <c r="D53" s="65"/>
      <c r="E53" s="65"/>
    </row>
    <row r="54">
      <c r="A54" s="105">
        <v>45107.0</v>
      </c>
      <c r="B54" s="65">
        <v>-75293.0</v>
      </c>
      <c r="C54" s="65">
        <v>3.8E7</v>
      </c>
      <c r="D54" s="65"/>
      <c r="E54" s="65"/>
    </row>
    <row r="55">
      <c r="A55" s="105">
        <v>45134.0</v>
      </c>
      <c r="B55" s="65">
        <v>-72346.0</v>
      </c>
      <c r="C55" s="65">
        <v>3.8E7</v>
      </c>
      <c r="D55" s="65"/>
      <c r="E55" s="65"/>
    </row>
    <row r="56">
      <c r="A56" s="105">
        <v>45169.0</v>
      </c>
      <c r="B56" s="65">
        <v>-29347.0</v>
      </c>
      <c r="C56" s="65">
        <v>3.8E7</v>
      </c>
      <c r="D56" s="65"/>
      <c r="E56" s="65"/>
    </row>
    <row r="57">
      <c r="A57" s="105">
        <v>45198.0</v>
      </c>
      <c r="B57" s="65">
        <v>-162483.0</v>
      </c>
      <c r="C57" s="65">
        <v>3.8E7</v>
      </c>
      <c r="D57" s="65"/>
      <c r="E57" s="65"/>
    </row>
    <row r="58">
      <c r="A58" s="105">
        <v>45230.0</v>
      </c>
      <c r="B58" s="65">
        <v>745327.0</v>
      </c>
      <c r="C58" s="65">
        <v>3.8E7</v>
      </c>
      <c r="D58" s="65"/>
      <c r="E58" s="65"/>
    </row>
    <row r="59">
      <c r="A59" s="105">
        <v>45260.0</v>
      </c>
      <c r="B59" s="65">
        <v>635001.0</v>
      </c>
      <c r="C59" s="65">
        <v>3.8E7</v>
      </c>
      <c r="D59" s="65"/>
      <c r="E59" s="65"/>
    </row>
    <row r="60">
      <c r="A60" s="105">
        <v>45290.0</v>
      </c>
      <c r="B60" s="65">
        <v>-141631.0</v>
      </c>
      <c r="C60" s="65">
        <v>3.8E7</v>
      </c>
      <c r="D60" s="65"/>
      <c r="E60" s="65"/>
    </row>
    <row r="61">
      <c r="A61" s="119"/>
      <c r="B61" s="65"/>
      <c r="C61" s="65"/>
      <c r="D61" s="65"/>
      <c r="E61" s="65"/>
    </row>
    <row r="62">
      <c r="A62" s="119"/>
      <c r="B62" s="65"/>
      <c r="C62" s="65"/>
      <c r="D62" s="65"/>
      <c r="E62" s="65"/>
    </row>
    <row r="63">
      <c r="A63" s="119"/>
      <c r="B63" s="65"/>
      <c r="C63" s="65"/>
      <c r="D63" s="65"/>
      <c r="E63" s="65"/>
    </row>
    <row r="64">
      <c r="A64" s="119"/>
      <c r="B64" s="65"/>
      <c r="C64" s="65"/>
      <c r="D64" s="65"/>
      <c r="E64" s="65"/>
    </row>
    <row r="65">
      <c r="A65" s="119"/>
      <c r="B65" s="65"/>
      <c r="C65" s="65"/>
      <c r="D65" s="65"/>
      <c r="E65" s="65"/>
    </row>
    <row r="66">
      <c r="B66" s="65"/>
      <c r="C66" s="65"/>
      <c r="D66" s="65"/>
      <c r="E66" s="6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9.38"/>
    <col customWidth="1" min="3" max="7" width="27.38"/>
    <col customWidth="1" min="8" max="8" width="24.63"/>
    <col customWidth="1" min="9" max="9" width="11.88"/>
    <col customWidth="1" min="10" max="11" width="25.13"/>
    <col customWidth="1" min="12" max="12" width="12.63"/>
    <col customWidth="1" min="13" max="14" width="25.13"/>
    <col customWidth="1" min="15" max="15" width="21.25"/>
    <col customWidth="1" min="16" max="16" width="19.75"/>
    <col customWidth="1" min="17" max="17" width="19.13"/>
    <col customWidth="1" min="20" max="20" width="19.75"/>
    <col customWidth="1" min="22" max="22" width="20.63"/>
  </cols>
  <sheetData>
    <row r="1">
      <c r="A1" s="67"/>
      <c r="B1" s="68" t="s">
        <v>276</v>
      </c>
      <c r="C1" s="120"/>
      <c r="D1" s="120"/>
      <c r="E1" s="120"/>
      <c r="F1" s="120"/>
      <c r="G1" s="72"/>
      <c r="H1" s="70"/>
      <c r="I1" s="70"/>
      <c r="J1" s="71"/>
      <c r="L1" s="72"/>
      <c r="M1" s="72"/>
      <c r="R1" s="70"/>
      <c r="S1" s="70"/>
      <c r="T1" s="71"/>
    </row>
    <row r="2">
      <c r="A2" s="73"/>
      <c r="B2" s="78"/>
      <c r="C2" s="79"/>
      <c r="D2" s="79"/>
      <c r="E2" s="79"/>
      <c r="F2" s="79"/>
      <c r="G2" s="72"/>
      <c r="H2" s="72"/>
      <c r="I2" s="72"/>
      <c r="J2" s="75"/>
      <c r="L2" s="76"/>
      <c r="M2" s="76"/>
      <c r="N2" s="77"/>
      <c r="R2" s="72"/>
      <c r="S2" s="72"/>
      <c r="T2" s="75" t="s">
        <v>110</v>
      </c>
      <c r="U2" s="75"/>
    </row>
    <row r="3">
      <c r="A3" s="73"/>
      <c r="B3" s="78"/>
      <c r="C3" s="79"/>
      <c r="D3" s="79"/>
      <c r="E3" s="79"/>
      <c r="F3" s="79"/>
      <c r="G3" s="72"/>
      <c r="H3" s="72"/>
      <c r="I3" s="72"/>
      <c r="J3" s="75"/>
    </row>
    <row r="4">
      <c r="A4" s="73"/>
      <c r="B4" s="109"/>
      <c r="C4" s="110"/>
      <c r="D4" s="110"/>
      <c r="E4" s="110"/>
      <c r="F4" s="121" t="s">
        <v>273</v>
      </c>
      <c r="G4" s="81"/>
      <c r="H4" s="81"/>
      <c r="I4" s="85"/>
      <c r="J4" s="85"/>
    </row>
    <row r="5">
      <c r="A5" s="73"/>
      <c r="B5" s="83" t="s">
        <v>277</v>
      </c>
      <c r="C5" s="84" t="s">
        <v>278</v>
      </c>
      <c r="D5" s="84" t="s">
        <v>279</v>
      </c>
      <c r="E5" s="84" t="s">
        <v>280</v>
      </c>
      <c r="F5" s="84" t="s">
        <v>281</v>
      </c>
      <c r="G5" s="85"/>
      <c r="H5" s="85"/>
      <c r="I5" s="85"/>
    </row>
    <row r="6">
      <c r="A6" s="86"/>
      <c r="B6" s="87">
        <v>1.0</v>
      </c>
      <c r="C6" s="88">
        <v>43475.0</v>
      </c>
      <c r="D6" s="89" t="s">
        <v>283</v>
      </c>
      <c r="E6" s="90"/>
      <c r="F6" s="90">
        <f>-541868</f>
        <v>-541868</v>
      </c>
      <c r="G6" s="85"/>
      <c r="H6" s="85"/>
      <c r="I6" s="85"/>
    </row>
    <row r="7">
      <c r="A7" s="86"/>
      <c r="B7" s="87">
        <v>2.0</v>
      </c>
      <c r="C7" s="88">
        <v>43501.0</v>
      </c>
      <c r="D7" s="89" t="s">
        <v>283</v>
      </c>
      <c r="E7" s="90"/>
      <c r="F7" s="92">
        <v>-394012.0</v>
      </c>
      <c r="G7" s="85"/>
      <c r="H7" s="85"/>
      <c r="I7" s="85"/>
    </row>
    <row r="8">
      <c r="A8" s="86"/>
      <c r="B8" s="87">
        <v>3.0</v>
      </c>
      <c r="C8" s="88">
        <v>43544.0</v>
      </c>
      <c r="D8" s="89" t="s">
        <v>283</v>
      </c>
      <c r="E8" s="90"/>
      <c r="F8" s="92">
        <v>-281003.0</v>
      </c>
      <c r="G8" s="85"/>
      <c r="H8" s="85"/>
      <c r="I8" s="85"/>
    </row>
    <row r="9">
      <c r="A9" s="86"/>
      <c r="B9" s="87">
        <v>4.0</v>
      </c>
      <c r="C9" s="93">
        <v>43573.0</v>
      </c>
      <c r="D9" s="89" t="s">
        <v>283</v>
      </c>
      <c r="E9" s="90">
        <v>50230.0</v>
      </c>
      <c r="F9" s="92"/>
      <c r="G9" s="85"/>
      <c r="H9" s="85"/>
      <c r="I9" s="85"/>
    </row>
    <row r="10">
      <c r="A10" s="86"/>
      <c r="B10" s="87">
        <v>5.0</v>
      </c>
      <c r="C10" s="93">
        <v>43604.0</v>
      </c>
      <c r="D10" s="89" t="s">
        <v>283</v>
      </c>
      <c r="E10" s="90"/>
      <c r="F10" s="92">
        <v>-502390.0</v>
      </c>
      <c r="G10" s="85"/>
      <c r="H10" s="85"/>
      <c r="I10" s="85"/>
    </row>
    <row r="11">
      <c r="A11" s="86"/>
      <c r="B11" s="87">
        <v>6.0</v>
      </c>
      <c r="C11" s="88">
        <v>43621.0</v>
      </c>
      <c r="D11" s="89" t="s">
        <v>283</v>
      </c>
      <c r="E11" s="90">
        <v>123045.0</v>
      </c>
      <c r="F11" s="92"/>
      <c r="G11" s="85"/>
      <c r="H11" s="85"/>
      <c r="I11" s="85"/>
    </row>
    <row r="12">
      <c r="A12" s="86"/>
      <c r="B12" s="87">
        <v>7.0</v>
      </c>
      <c r="C12" s="88">
        <v>43650.0</v>
      </c>
      <c r="D12" s="89" t="s">
        <v>283</v>
      </c>
      <c r="E12" s="90">
        <v>230450.0</v>
      </c>
      <c r="F12" s="92"/>
      <c r="G12" s="85"/>
      <c r="H12" s="85"/>
      <c r="I12" s="85"/>
    </row>
    <row r="13">
      <c r="A13" s="86"/>
      <c r="B13" s="87">
        <v>8.0</v>
      </c>
      <c r="C13" s="88">
        <v>43678.0</v>
      </c>
      <c r="D13" s="89" t="s">
        <v>283</v>
      </c>
      <c r="E13" s="90">
        <v>320405.0</v>
      </c>
      <c r="F13" s="92"/>
      <c r="G13" s="85"/>
      <c r="H13" s="85"/>
      <c r="I13" s="85"/>
    </row>
    <row r="14">
      <c r="A14" s="86"/>
      <c r="B14" s="87">
        <v>9.0</v>
      </c>
      <c r="C14" s="88">
        <v>43724.0</v>
      </c>
      <c r="D14" s="89" t="s">
        <v>283</v>
      </c>
      <c r="E14" s="90">
        <v>23050.0</v>
      </c>
      <c r="F14" s="92"/>
      <c r="G14" s="85"/>
      <c r="H14" s="85"/>
      <c r="I14" s="85"/>
    </row>
    <row r="15">
      <c r="A15" s="86"/>
      <c r="B15" s="87">
        <v>10.0</v>
      </c>
      <c r="C15" s="88">
        <v>43748.0</v>
      </c>
      <c r="D15" s="87" t="s">
        <v>284</v>
      </c>
      <c r="E15" s="94"/>
      <c r="F15" s="95">
        <v>-394320.0</v>
      </c>
      <c r="G15" s="85"/>
      <c r="H15" s="85"/>
      <c r="I15" s="85"/>
    </row>
    <row r="16">
      <c r="A16" s="86"/>
      <c r="B16" s="87">
        <v>11.0</v>
      </c>
      <c r="C16" s="88">
        <v>43774.0</v>
      </c>
      <c r="D16" s="89" t="s">
        <v>283</v>
      </c>
      <c r="E16" s="94"/>
      <c r="F16" s="92">
        <v>-534023.0</v>
      </c>
      <c r="G16" s="85"/>
      <c r="H16" s="85"/>
      <c r="I16" s="85"/>
    </row>
    <row r="17">
      <c r="A17" s="86"/>
      <c r="B17" s="96">
        <v>12.0</v>
      </c>
      <c r="C17" s="97">
        <v>43825.0</v>
      </c>
      <c r="D17" s="96" t="s">
        <v>283</v>
      </c>
      <c r="E17" s="98"/>
      <c r="F17" s="99">
        <f>-238439-548228</f>
        <v>-786667</v>
      </c>
      <c r="G17" s="85"/>
      <c r="H17" s="85"/>
      <c r="I17" s="85"/>
    </row>
    <row r="18">
      <c r="A18" s="86"/>
      <c r="B18" s="87">
        <v>11.0</v>
      </c>
      <c r="C18" s="88">
        <v>43839.0</v>
      </c>
      <c r="D18" s="89" t="s">
        <v>283</v>
      </c>
      <c r="E18" s="102"/>
      <c r="F18" s="92">
        <v>-230123.0</v>
      </c>
      <c r="G18" s="85"/>
      <c r="H18" s="85"/>
      <c r="I18" s="85"/>
    </row>
    <row r="19">
      <c r="A19" s="86"/>
      <c r="B19" s="87">
        <v>12.0</v>
      </c>
      <c r="C19" s="88">
        <v>43890.0</v>
      </c>
      <c r="D19" s="89" t="s">
        <v>283</v>
      </c>
      <c r="E19" s="102"/>
      <c r="F19" s="92">
        <v>-130923.0</v>
      </c>
      <c r="G19" s="85"/>
      <c r="H19" s="85"/>
      <c r="I19" s="85"/>
    </row>
    <row r="20">
      <c r="A20" s="86"/>
      <c r="B20" s="87">
        <v>13.0</v>
      </c>
      <c r="C20" s="88">
        <v>43921.0</v>
      </c>
      <c r="D20" s="89" t="s">
        <v>283</v>
      </c>
      <c r="E20" s="102"/>
      <c r="F20" s="92">
        <v>-50347.0</v>
      </c>
      <c r="G20" s="85"/>
      <c r="H20" s="85"/>
      <c r="I20" s="85"/>
    </row>
    <row r="21">
      <c r="A21" s="86"/>
      <c r="B21" s="87">
        <v>14.0</v>
      </c>
      <c r="C21" s="88">
        <v>43951.0</v>
      </c>
      <c r="D21" s="89" t="s">
        <v>283</v>
      </c>
      <c r="E21" s="102">
        <v>30429.0</v>
      </c>
      <c r="F21" s="92"/>
      <c r="G21" s="85"/>
      <c r="H21" s="85"/>
      <c r="I21" s="85"/>
    </row>
    <row r="22">
      <c r="A22" s="86"/>
      <c r="B22" s="87">
        <v>15.0</v>
      </c>
      <c r="C22" s="88">
        <v>43982.0</v>
      </c>
      <c r="D22" s="89" t="s">
        <v>283</v>
      </c>
      <c r="E22" s="102">
        <v>102384.0</v>
      </c>
      <c r="F22" s="92"/>
      <c r="G22" s="85"/>
      <c r="H22" s="85"/>
      <c r="I22" s="85"/>
    </row>
    <row r="23">
      <c r="A23" s="86"/>
      <c r="B23" s="87">
        <v>16.0</v>
      </c>
      <c r="C23" s="88">
        <v>44012.0</v>
      </c>
      <c r="D23" s="89" t="s">
        <v>283</v>
      </c>
      <c r="E23" s="102">
        <v>265793.0</v>
      </c>
      <c r="F23" s="92"/>
      <c r="G23" s="85"/>
      <c r="H23" s="85"/>
      <c r="I23" s="85"/>
    </row>
    <row r="24">
      <c r="A24" s="86"/>
      <c r="B24" s="87">
        <v>17.0</v>
      </c>
      <c r="C24" s="88">
        <v>44043.0</v>
      </c>
      <c r="D24" s="89" t="s">
        <v>283</v>
      </c>
      <c r="E24" s="102">
        <v>387649.0</v>
      </c>
      <c r="F24" s="92"/>
      <c r="G24" s="85"/>
      <c r="H24" s="85"/>
      <c r="I24" s="85"/>
    </row>
    <row r="25">
      <c r="A25" s="86"/>
      <c r="B25" s="87">
        <v>18.0</v>
      </c>
      <c r="C25" s="88">
        <v>44074.0</v>
      </c>
      <c r="D25" s="89" t="s">
        <v>283</v>
      </c>
      <c r="E25" s="102">
        <v>123740.0</v>
      </c>
      <c r="F25" s="92"/>
      <c r="G25" s="85"/>
      <c r="H25" s="85"/>
      <c r="I25" s="85"/>
    </row>
    <row r="26">
      <c r="A26" s="86"/>
      <c r="B26" s="87">
        <v>19.0</v>
      </c>
      <c r="C26" s="88">
        <v>44104.0</v>
      </c>
      <c r="D26" s="89" t="s">
        <v>283</v>
      </c>
      <c r="E26" s="102"/>
      <c r="F26" s="92">
        <v>-23848.0</v>
      </c>
      <c r="G26" s="85"/>
      <c r="H26" s="85"/>
      <c r="I26" s="85"/>
    </row>
    <row r="27">
      <c r="A27" s="86"/>
      <c r="B27" s="87">
        <v>20.0</v>
      </c>
      <c r="C27" s="88">
        <v>44135.0</v>
      </c>
      <c r="D27" s="89" t="s">
        <v>283</v>
      </c>
      <c r="E27" s="102"/>
      <c r="F27" s="92">
        <v>-327454.0</v>
      </c>
      <c r="G27" s="85"/>
      <c r="H27" s="85"/>
      <c r="I27" s="85"/>
    </row>
    <row r="28">
      <c r="A28" s="86"/>
      <c r="B28" s="87">
        <v>21.0</v>
      </c>
      <c r="C28" s="88">
        <v>44165.0</v>
      </c>
      <c r="D28" s="89" t="s">
        <v>283</v>
      </c>
      <c r="E28" s="102"/>
      <c r="F28" s="92">
        <v>-437539.0</v>
      </c>
      <c r="G28" s="85"/>
      <c r="H28" s="85"/>
      <c r="I28" s="85"/>
    </row>
    <row r="29">
      <c r="A29" s="86"/>
      <c r="B29" s="96">
        <v>22.0</v>
      </c>
      <c r="C29" s="97">
        <v>44196.0</v>
      </c>
      <c r="D29" s="96" t="s">
        <v>285</v>
      </c>
      <c r="E29" s="103"/>
      <c r="F29" s="99">
        <f>-347593-581647-431998</f>
        <v>-1361238</v>
      </c>
      <c r="G29" s="85"/>
      <c r="H29" s="85"/>
      <c r="I29" s="85"/>
    </row>
    <row r="30">
      <c r="A30" s="86"/>
      <c r="B30" s="87">
        <v>24.0</v>
      </c>
      <c r="C30" s="88">
        <v>44227.0</v>
      </c>
      <c r="D30" s="89" t="s">
        <v>283</v>
      </c>
      <c r="E30" s="102"/>
      <c r="F30" s="92">
        <v>-300230.0</v>
      </c>
      <c r="G30" s="85"/>
      <c r="H30" s="85"/>
      <c r="I30" s="85"/>
    </row>
    <row r="31">
      <c r="B31" s="87">
        <v>25.0</v>
      </c>
      <c r="C31" s="88">
        <v>44255.0</v>
      </c>
      <c r="D31" s="89" t="s">
        <v>283</v>
      </c>
      <c r="E31" s="102"/>
      <c r="F31" s="92">
        <v>-234875.0</v>
      </c>
      <c r="G31" s="85"/>
      <c r="H31" s="85"/>
      <c r="I31" s="85"/>
    </row>
    <row r="32">
      <c r="B32" s="87">
        <v>26.0</v>
      </c>
      <c r="C32" s="88">
        <v>44286.0</v>
      </c>
      <c r="D32" s="89" t="s">
        <v>283</v>
      </c>
      <c r="E32" s="102"/>
      <c r="F32" s="92">
        <v>-292347.0</v>
      </c>
      <c r="G32" s="85"/>
      <c r="H32" s="85"/>
      <c r="I32" s="85"/>
    </row>
    <row r="33">
      <c r="B33" s="87">
        <v>27.0</v>
      </c>
      <c r="C33" s="88">
        <v>44316.0</v>
      </c>
      <c r="D33" s="89" t="s">
        <v>283</v>
      </c>
      <c r="E33" s="102"/>
      <c r="F33" s="92">
        <v>-127495.0</v>
      </c>
      <c r="G33" s="85"/>
      <c r="H33" s="85"/>
      <c r="I33" s="85"/>
    </row>
    <row r="34">
      <c r="B34" s="87">
        <v>28.0</v>
      </c>
      <c r="C34" s="88">
        <v>44347.0</v>
      </c>
      <c r="D34" s="89" t="s">
        <v>283</v>
      </c>
      <c r="E34" s="102"/>
      <c r="F34" s="92">
        <v>-175824.0</v>
      </c>
      <c r="G34" s="85"/>
      <c r="H34" s="85"/>
      <c r="I34" s="85"/>
    </row>
    <row r="35">
      <c r="B35" s="87">
        <v>29.0</v>
      </c>
      <c r="C35" s="88">
        <v>44377.0</v>
      </c>
      <c r="D35" s="89" t="s">
        <v>283</v>
      </c>
      <c r="E35" s="102">
        <v>24274.0</v>
      </c>
      <c r="F35" s="92"/>
      <c r="G35" s="85"/>
      <c r="H35" s="85"/>
      <c r="I35" s="85"/>
    </row>
    <row r="36">
      <c r="B36" s="87">
        <v>30.0</v>
      </c>
      <c r="C36" s="88">
        <v>44408.0</v>
      </c>
      <c r="D36" s="89" t="s">
        <v>283</v>
      </c>
      <c r="E36" s="102">
        <v>123745.0</v>
      </c>
      <c r="F36" s="92"/>
      <c r="G36" s="85"/>
      <c r="H36" s="85"/>
      <c r="I36" s="85"/>
    </row>
    <row r="37">
      <c r="B37" s="87">
        <v>31.0</v>
      </c>
      <c r="C37" s="88">
        <v>44439.0</v>
      </c>
      <c r="D37" s="89" t="s">
        <v>283</v>
      </c>
      <c r="E37" s="102">
        <v>213494.0</v>
      </c>
      <c r="F37" s="92"/>
      <c r="G37" s="85"/>
      <c r="H37" s="85"/>
      <c r="I37" s="85"/>
    </row>
    <row r="38">
      <c r="B38" s="87">
        <v>32.0</v>
      </c>
      <c r="C38" s="88">
        <v>44469.0</v>
      </c>
      <c r="D38" s="89" t="s">
        <v>283</v>
      </c>
      <c r="E38" s="102">
        <v>128532.0</v>
      </c>
      <c r="F38" s="92"/>
      <c r="G38" s="85"/>
      <c r="H38" s="85"/>
      <c r="I38" s="85"/>
    </row>
    <row r="39">
      <c r="B39" s="87">
        <v>33.0</v>
      </c>
      <c r="C39" s="88">
        <v>44500.0</v>
      </c>
      <c r="D39" s="89" t="s">
        <v>283</v>
      </c>
      <c r="E39" s="102"/>
      <c r="F39" s="92">
        <v>-265284.0</v>
      </c>
      <c r="G39" s="85"/>
      <c r="H39" s="85"/>
      <c r="I39" s="85"/>
    </row>
    <row r="40">
      <c r="B40" s="87">
        <v>34.0</v>
      </c>
      <c r="C40" s="88">
        <v>44530.0</v>
      </c>
      <c r="D40" s="89" t="s">
        <v>285</v>
      </c>
      <c r="E40" s="102"/>
      <c r="F40" s="92">
        <v>-185723.0</v>
      </c>
      <c r="G40" s="85"/>
      <c r="H40" s="85"/>
      <c r="I40" s="85"/>
    </row>
    <row r="41">
      <c r="B41" s="96">
        <v>35.0</v>
      </c>
      <c r="C41" s="97">
        <v>44561.0</v>
      </c>
      <c r="D41" s="96" t="s">
        <v>283</v>
      </c>
      <c r="E41" s="103"/>
      <c r="F41" s="99">
        <f>-214895-238324</f>
        <v>-453219</v>
      </c>
      <c r="G41" s="85"/>
      <c r="H41" s="85"/>
      <c r="I41" s="85"/>
    </row>
    <row r="42">
      <c r="B42" s="87">
        <v>36.0</v>
      </c>
      <c r="C42" s="104">
        <v>44602.0</v>
      </c>
      <c r="D42" s="89" t="s">
        <v>283</v>
      </c>
      <c r="E42" s="102">
        <v>23852.0</v>
      </c>
      <c r="F42" s="92"/>
      <c r="G42" s="85"/>
      <c r="H42" s="85"/>
      <c r="I42" s="85"/>
    </row>
    <row r="43">
      <c r="B43" s="87">
        <v>37.0</v>
      </c>
      <c r="C43" s="104">
        <v>44622.0</v>
      </c>
      <c r="D43" s="89" t="s">
        <v>283</v>
      </c>
      <c r="E43" s="102">
        <v>123845.0</v>
      </c>
      <c r="F43" s="92"/>
      <c r="G43" s="85"/>
      <c r="H43" s="85"/>
      <c r="I43" s="85"/>
    </row>
    <row r="44">
      <c r="B44" s="87">
        <v>38.0</v>
      </c>
      <c r="C44" s="104">
        <v>44657.0</v>
      </c>
      <c r="D44" s="89" t="s">
        <v>283</v>
      </c>
      <c r="E44" s="102">
        <v>102548.0</v>
      </c>
      <c r="F44" s="92"/>
      <c r="G44" s="85"/>
      <c r="H44" s="85"/>
      <c r="I44" s="85"/>
    </row>
    <row r="45">
      <c r="B45" s="87">
        <v>39.0</v>
      </c>
      <c r="C45" s="104">
        <v>44685.0</v>
      </c>
      <c r="D45" s="89" t="s">
        <v>283</v>
      </c>
      <c r="E45" s="102">
        <v>29320.0</v>
      </c>
      <c r="F45" s="92"/>
      <c r="G45" s="85"/>
      <c r="H45" s="85"/>
      <c r="I45" s="85"/>
    </row>
    <row r="46">
      <c r="B46" s="87">
        <v>40.0</v>
      </c>
      <c r="C46" s="104">
        <v>44713.0</v>
      </c>
      <c r="D46" s="89" t="s">
        <v>283</v>
      </c>
      <c r="E46" s="102"/>
      <c r="F46" s="92">
        <v>-72391.0</v>
      </c>
      <c r="G46" s="85"/>
      <c r="H46" s="85"/>
      <c r="I46" s="85"/>
    </row>
    <row r="47">
      <c r="B47" s="87">
        <v>41.0</v>
      </c>
      <c r="C47" s="104">
        <v>44748.0</v>
      </c>
      <c r="D47" s="89" t="s">
        <v>284</v>
      </c>
      <c r="E47" s="102">
        <f>23842-39144</f>
        <v>-15302</v>
      </c>
      <c r="F47" s="92"/>
      <c r="G47" s="85"/>
      <c r="H47" s="85"/>
      <c r="I47" s="85"/>
    </row>
    <row r="48">
      <c r="B48" s="87">
        <v>42.0</v>
      </c>
      <c r="C48" s="104">
        <v>44782.0</v>
      </c>
      <c r="D48" s="89" t="s">
        <v>283</v>
      </c>
      <c r="E48" s="102">
        <v>265823.0</v>
      </c>
      <c r="F48" s="92"/>
      <c r="G48" s="85"/>
      <c r="H48" s="85"/>
      <c r="I48" s="85"/>
    </row>
    <row r="49">
      <c r="B49" s="87">
        <v>43.0</v>
      </c>
      <c r="C49" s="104">
        <v>44825.0</v>
      </c>
      <c r="D49" s="89" t="s">
        <v>283</v>
      </c>
      <c r="E49" s="102">
        <v>123854.0</v>
      </c>
      <c r="F49" s="92"/>
      <c r="G49" s="85"/>
      <c r="H49" s="85"/>
      <c r="I49" s="85"/>
    </row>
    <row r="50">
      <c r="B50" s="87">
        <v>44.0</v>
      </c>
      <c r="C50" s="104">
        <v>44860.0</v>
      </c>
      <c r="D50" s="89" t="s">
        <v>283</v>
      </c>
      <c r="E50" s="102">
        <v>275923.0</v>
      </c>
      <c r="F50" s="92"/>
      <c r="G50" s="85"/>
      <c r="H50" s="85"/>
      <c r="I50" s="85"/>
    </row>
    <row r="51">
      <c r="B51" s="87">
        <v>45.0</v>
      </c>
      <c r="C51" s="104">
        <v>44887.0</v>
      </c>
      <c r="D51" s="89" t="s">
        <v>283</v>
      </c>
      <c r="E51" s="102">
        <v>482328.0</v>
      </c>
      <c r="F51" s="92"/>
      <c r="G51" s="85"/>
      <c r="H51" s="85"/>
      <c r="I51" s="85"/>
    </row>
    <row r="52">
      <c r="B52" s="96">
        <v>46.0</v>
      </c>
      <c r="C52" s="97">
        <v>44924.0</v>
      </c>
      <c r="D52" s="96" t="s">
        <v>283</v>
      </c>
      <c r="E52" s="103">
        <f>500230+12699</f>
        <v>512929</v>
      </c>
      <c r="F52" s="99"/>
      <c r="G52" s="85"/>
      <c r="H52" s="85"/>
      <c r="I52" s="85"/>
    </row>
    <row r="53">
      <c r="B53" s="87">
        <v>48.0</v>
      </c>
      <c r="C53" s="88">
        <v>44950.0</v>
      </c>
      <c r="D53" s="89" t="s">
        <v>286</v>
      </c>
      <c r="E53" s="102"/>
      <c r="F53" s="92">
        <v>-238542.0</v>
      </c>
      <c r="G53" s="85"/>
      <c r="H53" s="85"/>
      <c r="I53" s="85"/>
    </row>
    <row r="54">
      <c r="B54" s="87">
        <v>49.0</v>
      </c>
      <c r="C54" s="88">
        <v>44985.0</v>
      </c>
      <c r="D54" s="89" t="s">
        <v>286</v>
      </c>
      <c r="E54" s="102"/>
      <c r="F54" s="92">
        <v>-172391.0</v>
      </c>
      <c r="G54" s="85"/>
      <c r="H54" s="85"/>
      <c r="I54" s="85"/>
    </row>
    <row r="55">
      <c r="B55" s="87">
        <v>50.0</v>
      </c>
      <c r="C55" s="88">
        <v>45015.0</v>
      </c>
      <c r="D55" s="89" t="s">
        <v>286</v>
      </c>
      <c r="E55" s="102"/>
      <c r="F55" s="92">
        <v>-254712.0</v>
      </c>
      <c r="G55" s="85"/>
      <c r="H55" s="85"/>
      <c r="I55" s="85"/>
    </row>
    <row r="56">
      <c r="B56" s="87">
        <v>51.0</v>
      </c>
      <c r="C56" s="88">
        <v>45043.0</v>
      </c>
      <c r="D56" s="89" t="s">
        <v>286</v>
      </c>
      <c r="E56" s="102"/>
      <c r="F56" s="92">
        <v>-184593.0</v>
      </c>
      <c r="G56" s="85"/>
      <c r="H56" s="85"/>
      <c r="I56" s="85"/>
    </row>
    <row r="57">
      <c r="B57" s="87">
        <v>52.0</v>
      </c>
      <c r="C57" s="88">
        <v>45077.0</v>
      </c>
      <c r="D57" s="89" t="s">
        <v>286</v>
      </c>
      <c r="E57" s="102"/>
      <c r="F57" s="92">
        <v>-73850.0</v>
      </c>
      <c r="G57" s="85"/>
      <c r="H57" s="85"/>
      <c r="I57" s="85"/>
    </row>
    <row r="58">
      <c r="B58" s="87">
        <v>53.0</v>
      </c>
      <c r="C58" s="88">
        <v>45107.0</v>
      </c>
      <c r="D58" s="89" t="s">
        <v>286</v>
      </c>
      <c r="E58" s="102"/>
      <c r="F58" s="92">
        <v>-72392.0</v>
      </c>
      <c r="G58" s="85"/>
      <c r="H58" s="85"/>
      <c r="I58" s="85"/>
    </row>
    <row r="59">
      <c r="B59" s="87">
        <v>54.0</v>
      </c>
      <c r="C59" s="88">
        <v>45134.0</v>
      </c>
      <c r="D59" s="89" t="s">
        <v>286</v>
      </c>
      <c r="E59" s="102"/>
      <c r="F59" s="92">
        <v>-42732.0</v>
      </c>
      <c r="G59" s="85"/>
      <c r="H59" s="85"/>
      <c r="I59" s="85"/>
    </row>
    <row r="60">
      <c r="B60" s="87">
        <v>55.0</v>
      </c>
      <c r="C60" s="88">
        <v>45169.0</v>
      </c>
      <c r="D60" s="89" t="s">
        <v>286</v>
      </c>
      <c r="E60" s="102"/>
      <c r="F60" s="92">
        <v>-123623.0</v>
      </c>
      <c r="G60" s="85"/>
      <c r="H60" s="85"/>
      <c r="I60" s="85"/>
    </row>
    <row r="61">
      <c r="B61" s="87">
        <v>56.0</v>
      </c>
      <c r="C61" s="88">
        <v>45198.0</v>
      </c>
      <c r="D61" s="89" t="s">
        <v>286</v>
      </c>
      <c r="E61" s="102"/>
      <c r="F61" s="92">
        <v>-162481.0</v>
      </c>
      <c r="G61" s="85"/>
      <c r="H61" s="85"/>
      <c r="I61" s="85"/>
    </row>
    <row r="62">
      <c r="B62" s="87">
        <v>57.0</v>
      </c>
      <c r="C62" s="88">
        <v>45230.0</v>
      </c>
      <c r="D62" s="89" t="s">
        <v>286</v>
      </c>
      <c r="E62" s="102"/>
      <c r="F62" s="92">
        <v>-285423.0</v>
      </c>
      <c r="G62" s="85"/>
      <c r="H62" s="85"/>
      <c r="I62" s="85"/>
    </row>
    <row r="63">
      <c r="B63" s="87">
        <v>58.0</v>
      </c>
      <c r="C63" s="88">
        <v>45260.0</v>
      </c>
      <c r="D63" s="89" t="s">
        <v>286</v>
      </c>
      <c r="E63" s="102"/>
      <c r="F63" s="92">
        <v>-124713.0</v>
      </c>
      <c r="G63" s="85"/>
      <c r="H63" s="85"/>
      <c r="I63" s="85"/>
    </row>
    <row r="64">
      <c r="B64" s="96">
        <v>59.0</v>
      </c>
      <c r="C64" s="97">
        <v>45290.0</v>
      </c>
      <c r="D64" s="96" t="s">
        <v>287</v>
      </c>
      <c r="E64" s="99"/>
      <c r="F64" s="103">
        <f>-173281-148210</f>
        <v>-321491</v>
      </c>
      <c r="G64" s="85"/>
      <c r="H64" s="122"/>
    </row>
    <row r="65">
      <c r="G65" s="85"/>
    </row>
    <row r="66">
      <c r="F66" s="85"/>
      <c r="G66" s="85"/>
    </row>
    <row r="67">
      <c r="G67" s="85"/>
    </row>
    <row r="68">
      <c r="G68" s="85"/>
    </row>
    <row r="69">
      <c r="G69" s="85"/>
    </row>
    <row r="70">
      <c r="G70" s="85"/>
    </row>
    <row r="71">
      <c r="G71" s="85"/>
    </row>
    <row r="72">
      <c r="G72" s="85"/>
    </row>
    <row r="73">
      <c r="G73" s="85"/>
    </row>
    <row r="74">
      <c r="G74" s="85"/>
    </row>
    <row r="75">
      <c r="G75" s="85"/>
    </row>
    <row r="76">
      <c r="G76" s="85"/>
    </row>
    <row r="77">
      <c r="G77" s="85"/>
    </row>
    <row r="78">
      <c r="G78" s="85"/>
    </row>
    <row r="79">
      <c r="G79" s="85"/>
    </row>
    <row r="80">
      <c r="G80" s="85"/>
    </row>
    <row r="81">
      <c r="G81" s="85"/>
    </row>
    <row r="82">
      <c r="G82" s="85"/>
    </row>
    <row r="83">
      <c r="G83" s="85"/>
    </row>
    <row r="84">
      <c r="G84" s="85"/>
    </row>
    <row r="85">
      <c r="G85" s="85"/>
    </row>
    <row r="86">
      <c r="G86" s="85"/>
    </row>
    <row r="87">
      <c r="G87" s="85"/>
    </row>
    <row r="88">
      <c r="G88" s="85"/>
    </row>
    <row r="89">
      <c r="G89" s="85"/>
    </row>
    <row r="90">
      <c r="G90" s="85"/>
    </row>
    <row r="91">
      <c r="G91" s="85"/>
    </row>
    <row r="92">
      <c r="G92" s="85"/>
    </row>
    <row r="93">
      <c r="G93" s="85"/>
    </row>
    <row r="94">
      <c r="G94" s="85"/>
    </row>
    <row r="95">
      <c r="G95" s="85"/>
    </row>
    <row r="96">
      <c r="G96" s="85"/>
    </row>
    <row r="97">
      <c r="G97" s="85"/>
    </row>
    <row r="98">
      <c r="G98" s="85"/>
    </row>
    <row r="99">
      <c r="G99" s="85"/>
    </row>
    <row r="100">
      <c r="G100" s="85"/>
    </row>
    <row r="101">
      <c r="G101" s="85"/>
    </row>
    <row r="102">
      <c r="G102" s="85"/>
    </row>
    <row r="103">
      <c r="G103" s="85"/>
    </row>
    <row r="104">
      <c r="G104" s="85"/>
    </row>
    <row r="105">
      <c r="G105" s="85"/>
    </row>
    <row r="106">
      <c r="G106" s="85"/>
    </row>
    <row r="107">
      <c r="G107" s="85"/>
    </row>
    <row r="108">
      <c r="G108" s="85"/>
    </row>
    <row r="109">
      <c r="G109" s="85"/>
    </row>
    <row r="110">
      <c r="G110" s="85"/>
    </row>
    <row r="111">
      <c r="G111" s="85"/>
    </row>
    <row r="112">
      <c r="G112" s="85"/>
    </row>
    <row r="113">
      <c r="G113" s="85"/>
    </row>
    <row r="114">
      <c r="G114" s="85"/>
    </row>
    <row r="115">
      <c r="G115" s="85"/>
    </row>
    <row r="116">
      <c r="G116" s="85"/>
    </row>
    <row r="117">
      <c r="G117" s="85"/>
    </row>
    <row r="118">
      <c r="G118" s="85"/>
    </row>
    <row r="119">
      <c r="G119" s="85"/>
    </row>
    <row r="120">
      <c r="G120" s="85"/>
    </row>
    <row r="121">
      <c r="G121" s="85"/>
    </row>
    <row r="122">
      <c r="G122" s="85"/>
    </row>
    <row r="123">
      <c r="G123" s="85"/>
    </row>
    <row r="124">
      <c r="G124" s="85"/>
    </row>
    <row r="125">
      <c r="G125" s="85"/>
    </row>
    <row r="126">
      <c r="G126" s="85"/>
    </row>
    <row r="127">
      <c r="G127" s="85"/>
    </row>
    <row r="128">
      <c r="G128" s="85"/>
    </row>
    <row r="129">
      <c r="G129" s="85"/>
    </row>
    <row r="130">
      <c r="G130" s="85"/>
    </row>
    <row r="131">
      <c r="G131" s="85"/>
    </row>
    <row r="132">
      <c r="G132" s="85"/>
    </row>
    <row r="133">
      <c r="G133" s="85"/>
    </row>
    <row r="134">
      <c r="G134" s="85"/>
    </row>
    <row r="135">
      <c r="G135" s="85"/>
    </row>
    <row r="136">
      <c r="G136" s="85"/>
    </row>
    <row r="137">
      <c r="G137" s="85"/>
    </row>
    <row r="138">
      <c r="G138" s="85"/>
    </row>
    <row r="139">
      <c r="G139" s="85"/>
    </row>
    <row r="140">
      <c r="G140" s="85"/>
    </row>
    <row r="141">
      <c r="G141" s="85"/>
    </row>
    <row r="142">
      <c r="G142" s="85"/>
    </row>
    <row r="143">
      <c r="G143" s="85"/>
    </row>
    <row r="144">
      <c r="G144" s="85"/>
    </row>
    <row r="145">
      <c r="G145" s="85"/>
    </row>
    <row r="146">
      <c r="G146" s="85"/>
    </row>
    <row r="147">
      <c r="G147" s="85"/>
    </row>
    <row r="148">
      <c r="G148" s="85"/>
    </row>
    <row r="149">
      <c r="G149" s="85"/>
    </row>
    <row r="150">
      <c r="G150" s="85"/>
    </row>
    <row r="151">
      <c r="G151" s="85"/>
    </row>
    <row r="152">
      <c r="G152" s="85"/>
    </row>
    <row r="153">
      <c r="G153" s="85"/>
    </row>
    <row r="154">
      <c r="G154" s="85"/>
    </row>
    <row r="155">
      <c r="G155" s="85"/>
    </row>
    <row r="156">
      <c r="G156" s="85"/>
    </row>
    <row r="157">
      <c r="G157" s="85"/>
    </row>
    <row r="158">
      <c r="G158" s="85"/>
    </row>
    <row r="159">
      <c r="G159" s="85"/>
    </row>
    <row r="160">
      <c r="G160" s="85"/>
    </row>
    <row r="161">
      <c r="G161" s="85"/>
    </row>
    <row r="162">
      <c r="G162" s="85"/>
    </row>
    <row r="163">
      <c r="G163" s="85"/>
    </row>
    <row r="164">
      <c r="G164" s="85"/>
    </row>
    <row r="165">
      <c r="G165" s="85"/>
    </row>
    <row r="166">
      <c r="G166" s="85"/>
    </row>
    <row r="167">
      <c r="G167" s="85"/>
    </row>
    <row r="168">
      <c r="G168" s="85"/>
    </row>
    <row r="169">
      <c r="G169" s="85"/>
    </row>
    <row r="170">
      <c r="G170" s="85"/>
    </row>
    <row r="171">
      <c r="G171" s="85"/>
    </row>
    <row r="172">
      <c r="G172" s="85"/>
    </row>
    <row r="173">
      <c r="G173" s="85"/>
    </row>
    <row r="174">
      <c r="G174" s="85"/>
    </row>
    <row r="175">
      <c r="G175" s="85"/>
    </row>
    <row r="176">
      <c r="G176" s="85"/>
    </row>
    <row r="177">
      <c r="G177" s="85"/>
    </row>
    <row r="178">
      <c r="G178" s="85"/>
    </row>
    <row r="179">
      <c r="G179" s="85"/>
    </row>
    <row r="180">
      <c r="G180" s="85"/>
    </row>
    <row r="181">
      <c r="G181" s="85"/>
    </row>
    <row r="182">
      <c r="G182" s="85"/>
    </row>
    <row r="183">
      <c r="G183" s="85"/>
    </row>
    <row r="184">
      <c r="G184" s="85"/>
    </row>
    <row r="185">
      <c r="G185" s="85"/>
    </row>
    <row r="186">
      <c r="G186" s="85"/>
    </row>
    <row r="187">
      <c r="G187" s="85"/>
    </row>
    <row r="188">
      <c r="G188" s="85"/>
    </row>
    <row r="189">
      <c r="G189" s="85"/>
    </row>
    <row r="190">
      <c r="G190" s="85"/>
    </row>
    <row r="191">
      <c r="G191" s="85"/>
    </row>
    <row r="192">
      <c r="G192" s="85"/>
    </row>
    <row r="193">
      <c r="G193" s="85"/>
    </row>
    <row r="194">
      <c r="G194" s="85"/>
    </row>
    <row r="195">
      <c r="G195" s="85"/>
    </row>
    <row r="196">
      <c r="G196" s="85"/>
    </row>
    <row r="197">
      <c r="G197" s="85"/>
    </row>
    <row r="198">
      <c r="G198" s="85"/>
    </row>
    <row r="199">
      <c r="G199" s="85"/>
    </row>
    <row r="200">
      <c r="G200" s="85"/>
    </row>
    <row r="201">
      <c r="G201" s="85"/>
    </row>
    <row r="202">
      <c r="G202" s="85"/>
    </row>
    <row r="203">
      <c r="G203" s="85"/>
    </row>
    <row r="204">
      <c r="G204" s="85"/>
    </row>
    <row r="205">
      <c r="G205" s="85"/>
    </row>
    <row r="206">
      <c r="G206" s="85"/>
    </row>
    <row r="207">
      <c r="G207" s="85"/>
    </row>
    <row r="208">
      <c r="G208" s="85"/>
    </row>
    <row r="209">
      <c r="G209" s="85"/>
    </row>
    <row r="210">
      <c r="G210" s="85"/>
    </row>
    <row r="211">
      <c r="G211" s="85"/>
    </row>
    <row r="212">
      <c r="G212" s="85"/>
    </row>
    <row r="213">
      <c r="G213" s="85"/>
    </row>
    <row r="214">
      <c r="G214" s="85"/>
    </row>
    <row r="215">
      <c r="G215" s="85"/>
    </row>
    <row r="216">
      <c r="G216" s="85"/>
    </row>
    <row r="217">
      <c r="G217" s="85"/>
    </row>
    <row r="218">
      <c r="G218" s="85"/>
    </row>
    <row r="219">
      <c r="G219" s="85"/>
    </row>
    <row r="220">
      <c r="G220" s="85"/>
    </row>
    <row r="221">
      <c r="G221" s="85"/>
    </row>
    <row r="222">
      <c r="G222" s="85"/>
    </row>
    <row r="223">
      <c r="G223" s="85"/>
    </row>
    <row r="224">
      <c r="G224" s="85"/>
    </row>
    <row r="225">
      <c r="G225" s="85"/>
    </row>
    <row r="226">
      <c r="G226" s="85"/>
    </row>
    <row r="227">
      <c r="G227" s="85"/>
    </row>
    <row r="228">
      <c r="G228" s="85"/>
    </row>
    <row r="229">
      <c r="G229" s="85"/>
    </row>
    <row r="230">
      <c r="G230" s="85"/>
    </row>
    <row r="231">
      <c r="G231" s="85"/>
    </row>
    <row r="232">
      <c r="G232" s="85"/>
    </row>
    <row r="233">
      <c r="G233" s="85"/>
    </row>
    <row r="234">
      <c r="G234" s="85"/>
    </row>
    <row r="235">
      <c r="G235" s="85"/>
    </row>
    <row r="236">
      <c r="G236" s="85"/>
    </row>
    <row r="237">
      <c r="G237" s="85"/>
    </row>
    <row r="238">
      <c r="G238" s="85"/>
    </row>
    <row r="239">
      <c r="G239" s="85"/>
    </row>
    <row r="240">
      <c r="G240" s="85"/>
    </row>
    <row r="241">
      <c r="G241" s="85"/>
    </row>
    <row r="242">
      <c r="G242" s="85"/>
    </row>
    <row r="243">
      <c r="G243" s="85"/>
    </row>
    <row r="244">
      <c r="G244" s="85"/>
    </row>
    <row r="245">
      <c r="G245" s="85"/>
    </row>
    <row r="246">
      <c r="G246" s="85"/>
    </row>
    <row r="247">
      <c r="G247" s="85"/>
    </row>
    <row r="248">
      <c r="G248" s="85"/>
    </row>
    <row r="249">
      <c r="G249" s="85"/>
    </row>
    <row r="250">
      <c r="G250" s="85"/>
    </row>
    <row r="251">
      <c r="G251" s="85"/>
    </row>
    <row r="252">
      <c r="G252" s="85"/>
    </row>
    <row r="253">
      <c r="G253" s="85"/>
    </row>
    <row r="254">
      <c r="G254" s="85"/>
    </row>
    <row r="255">
      <c r="G255" s="85"/>
    </row>
    <row r="256">
      <c r="G256" s="85"/>
    </row>
    <row r="257">
      <c r="G257" s="85"/>
    </row>
    <row r="258">
      <c r="G258" s="85"/>
    </row>
    <row r="259">
      <c r="G259" s="85"/>
    </row>
    <row r="260">
      <c r="G260" s="85"/>
    </row>
    <row r="261">
      <c r="G261" s="85"/>
    </row>
    <row r="262">
      <c r="G262" s="85"/>
    </row>
    <row r="263">
      <c r="G263" s="85"/>
    </row>
    <row r="264">
      <c r="G264" s="85"/>
    </row>
    <row r="265">
      <c r="G265" s="85"/>
    </row>
    <row r="266">
      <c r="G266" s="85"/>
    </row>
    <row r="267">
      <c r="G267" s="85"/>
    </row>
    <row r="268">
      <c r="G268" s="85"/>
    </row>
    <row r="269">
      <c r="G269" s="85"/>
    </row>
    <row r="270">
      <c r="G270" s="85"/>
    </row>
    <row r="271">
      <c r="G271" s="85"/>
    </row>
    <row r="272">
      <c r="G272" s="85"/>
    </row>
    <row r="273">
      <c r="G273" s="85"/>
    </row>
    <row r="274">
      <c r="G274" s="85"/>
    </row>
    <row r="275">
      <c r="G275" s="85"/>
    </row>
    <row r="276">
      <c r="G276" s="85"/>
    </row>
    <row r="277">
      <c r="G277" s="85"/>
    </row>
    <row r="278">
      <c r="G278" s="85"/>
    </row>
    <row r="279">
      <c r="G279" s="85"/>
    </row>
    <row r="280">
      <c r="G280" s="85"/>
    </row>
    <row r="281">
      <c r="G281" s="85"/>
    </row>
    <row r="282">
      <c r="G282" s="85"/>
    </row>
    <row r="283">
      <c r="G283" s="85"/>
    </row>
    <row r="284">
      <c r="G284" s="85"/>
    </row>
    <row r="285">
      <c r="G285" s="85"/>
    </row>
    <row r="286">
      <c r="G286" s="85"/>
    </row>
    <row r="287">
      <c r="G287" s="85"/>
    </row>
    <row r="288">
      <c r="G288" s="85"/>
    </row>
    <row r="289">
      <c r="G289" s="85"/>
    </row>
    <row r="290">
      <c r="G290" s="85"/>
    </row>
    <row r="291">
      <c r="G291" s="85"/>
    </row>
    <row r="292">
      <c r="G292" s="85"/>
    </row>
    <row r="293">
      <c r="G293" s="85"/>
    </row>
    <row r="294">
      <c r="G294" s="85"/>
    </row>
    <row r="295">
      <c r="G295" s="85"/>
    </row>
    <row r="296">
      <c r="G296" s="85"/>
    </row>
    <row r="297">
      <c r="G297" s="85"/>
    </row>
    <row r="298">
      <c r="G298" s="85"/>
    </row>
    <row r="299">
      <c r="G299" s="85"/>
    </row>
    <row r="300">
      <c r="G300" s="85"/>
    </row>
    <row r="301">
      <c r="G301" s="85"/>
    </row>
    <row r="302">
      <c r="G302" s="85"/>
    </row>
    <row r="303">
      <c r="G303" s="85"/>
    </row>
    <row r="304">
      <c r="G304" s="85"/>
    </row>
    <row r="305">
      <c r="G305" s="85"/>
    </row>
    <row r="306">
      <c r="G306" s="85"/>
    </row>
    <row r="307">
      <c r="G307" s="85"/>
    </row>
    <row r="308">
      <c r="G308" s="85"/>
    </row>
    <row r="309">
      <c r="G309" s="85"/>
    </row>
    <row r="310">
      <c r="G310" s="85"/>
    </row>
    <row r="311">
      <c r="G311" s="85"/>
    </row>
    <row r="312">
      <c r="G312" s="85"/>
    </row>
    <row r="313">
      <c r="G313" s="85"/>
    </row>
    <row r="314">
      <c r="G314" s="85"/>
    </row>
    <row r="315">
      <c r="G315" s="85"/>
    </row>
    <row r="316">
      <c r="G316" s="85"/>
    </row>
    <row r="317">
      <c r="G317" s="85"/>
    </row>
    <row r="318">
      <c r="G318" s="85"/>
    </row>
    <row r="319">
      <c r="G319" s="85"/>
    </row>
    <row r="320">
      <c r="G320" s="85"/>
    </row>
    <row r="321">
      <c r="G321" s="85"/>
    </row>
    <row r="322">
      <c r="G322" s="85"/>
    </row>
    <row r="323">
      <c r="G323" s="85"/>
    </row>
    <row r="324">
      <c r="G324" s="85"/>
    </row>
    <row r="325">
      <c r="G325" s="85"/>
    </row>
    <row r="326">
      <c r="G326" s="85"/>
    </row>
    <row r="327">
      <c r="G327" s="85"/>
    </row>
    <row r="328">
      <c r="G328" s="85"/>
    </row>
    <row r="329">
      <c r="G329" s="85"/>
    </row>
    <row r="330">
      <c r="G330" s="85"/>
    </row>
    <row r="331">
      <c r="G331" s="85"/>
    </row>
    <row r="332">
      <c r="G332" s="85"/>
    </row>
    <row r="333">
      <c r="G333" s="85"/>
    </row>
    <row r="334">
      <c r="G334" s="85"/>
    </row>
    <row r="335">
      <c r="G335" s="85"/>
    </row>
    <row r="336">
      <c r="G336" s="85"/>
    </row>
    <row r="337">
      <c r="G337" s="85"/>
    </row>
    <row r="338">
      <c r="G338" s="85"/>
    </row>
    <row r="339">
      <c r="G339" s="85"/>
    </row>
    <row r="340">
      <c r="G340" s="85"/>
    </row>
    <row r="341">
      <c r="G341" s="85"/>
    </row>
    <row r="342">
      <c r="G342" s="85"/>
    </row>
    <row r="343">
      <c r="G343" s="85"/>
    </row>
    <row r="344">
      <c r="G344" s="85"/>
    </row>
    <row r="345">
      <c r="G345" s="85"/>
    </row>
    <row r="346">
      <c r="G346" s="85"/>
    </row>
    <row r="347">
      <c r="G347" s="85"/>
    </row>
    <row r="348">
      <c r="G348" s="85"/>
    </row>
    <row r="349">
      <c r="G349" s="85"/>
    </row>
    <row r="350">
      <c r="G350" s="85"/>
    </row>
    <row r="351">
      <c r="G351" s="85"/>
    </row>
    <row r="352">
      <c r="G352" s="85"/>
    </row>
    <row r="353">
      <c r="G353" s="85"/>
    </row>
    <row r="354">
      <c r="G354" s="85"/>
    </row>
    <row r="355">
      <c r="G355" s="85"/>
    </row>
    <row r="356">
      <c r="G356" s="85"/>
    </row>
    <row r="357">
      <c r="G357" s="85"/>
    </row>
    <row r="358">
      <c r="G358" s="85"/>
    </row>
    <row r="359">
      <c r="G359" s="85"/>
    </row>
    <row r="360">
      <c r="G360" s="85"/>
    </row>
    <row r="361">
      <c r="G361" s="85"/>
    </row>
    <row r="362">
      <c r="G362" s="85"/>
    </row>
    <row r="363">
      <c r="G363" s="85"/>
    </row>
    <row r="364">
      <c r="G364" s="85"/>
    </row>
    <row r="365">
      <c r="G365" s="85"/>
    </row>
    <row r="366">
      <c r="G366" s="85"/>
    </row>
    <row r="367">
      <c r="G367" s="85"/>
    </row>
    <row r="368">
      <c r="G368" s="85"/>
    </row>
    <row r="369">
      <c r="G369" s="85"/>
    </row>
    <row r="370">
      <c r="G370" s="85"/>
    </row>
    <row r="371">
      <c r="G371" s="85"/>
    </row>
    <row r="372">
      <c r="G372" s="85"/>
    </row>
    <row r="373">
      <c r="G373" s="85"/>
    </row>
    <row r="374">
      <c r="G374" s="85"/>
    </row>
    <row r="375">
      <c r="G375" s="85"/>
    </row>
    <row r="376">
      <c r="G376" s="85"/>
    </row>
    <row r="377">
      <c r="G377" s="85"/>
    </row>
    <row r="378">
      <c r="G378" s="85"/>
    </row>
    <row r="379">
      <c r="G379" s="85"/>
    </row>
    <row r="380">
      <c r="G380" s="85"/>
    </row>
    <row r="381">
      <c r="G381" s="85"/>
    </row>
    <row r="382">
      <c r="G382" s="85"/>
    </row>
    <row r="383">
      <c r="G383" s="85"/>
    </row>
    <row r="384">
      <c r="G384" s="85"/>
    </row>
    <row r="385">
      <c r="G385" s="85"/>
    </row>
    <row r="386">
      <c r="G386" s="85"/>
    </row>
    <row r="387">
      <c r="G387" s="85"/>
    </row>
    <row r="388">
      <c r="G388" s="85"/>
    </row>
    <row r="389">
      <c r="G389" s="85"/>
    </row>
    <row r="390">
      <c r="G390" s="85"/>
    </row>
    <row r="391">
      <c r="G391" s="85"/>
    </row>
    <row r="392">
      <c r="G392" s="85"/>
    </row>
    <row r="393">
      <c r="G393" s="85"/>
    </row>
    <row r="394">
      <c r="G394" s="85"/>
    </row>
    <row r="395">
      <c r="G395" s="85"/>
    </row>
    <row r="396">
      <c r="G396" s="85"/>
    </row>
    <row r="397">
      <c r="G397" s="85"/>
    </row>
    <row r="398">
      <c r="G398" s="85"/>
    </row>
    <row r="399">
      <c r="G399" s="85"/>
    </row>
    <row r="400">
      <c r="G400" s="85"/>
    </row>
    <row r="401">
      <c r="G401" s="85"/>
    </row>
    <row r="402">
      <c r="G402" s="85"/>
    </row>
    <row r="403">
      <c r="G403" s="85"/>
    </row>
    <row r="404">
      <c r="G404" s="85"/>
    </row>
    <row r="405">
      <c r="G405" s="85"/>
    </row>
    <row r="406">
      <c r="G406" s="85"/>
    </row>
    <row r="407">
      <c r="G407" s="85"/>
    </row>
    <row r="408">
      <c r="G408" s="85"/>
    </row>
    <row r="409">
      <c r="G409" s="85"/>
    </row>
    <row r="410">
      <c r="G410" s="85"/>
    </row>
    <row r="411">
      <c r="G411" s="85"/>
    </row>
    <row r="412">
      <c r="G412" s="85"/>
    </row>
    <row r="413">
      <c r="G413" s="85"/>
    </row>
    <row r="414">
      <c r="G414" s="85"/>
    </row>
    <row r="415">
      <c r="G415" s="85"/>
    </row>
    <row r="416">
      <c r="G416" s="85"/>
    </row>
    <row r="417">
      <c r="G417" s="85"/>
    </row>
    <row r="418">
      <c r="G418" s="85"/>
    </row>
    <row r="419">
      <c r="G419" s="85"/>
    </row>
    <row r="420">
      <c r="G420" s="85"/>
    </row>
    <row r="421">
      <c r="G421" s="85"/>
    </row>
    <row r="422">
      <c r="G422" s="85"/>
    </row>
    <row r="423">
      <c r="G423" s="85"/>
    </row>
    <row r="424">
      <c r="G424" s="85"/>
    </row>
    <row r="425">
      <c r="G425" s="85"/>
    </row>
    <row r="426">
      <c r="G426" s="85"/>
    </row>
    <row r="427">
      <c r="G427" s="85"/>
    </row>
    <row r="428">
      <c r="G428" s="85"/>
    </row>
    <row r="429">
      <c r="G429" s="85"/>
    </row>
    <row r="430">
      <c r="G430" s="85"/>
    </row>
    <row r="431">
      <c r="G431" s="85"/>
    </row>
    <row r="432">
      <c r="G432" s="85"/>
    </row>
    <row r="433">
      <c r="G433" s="85"/>
    </row>
    <row r="434">
      <c r="G434" s="85"/>
    </row>
    <row r="435">
      <c r="G435" s="85"/>
    </row>
    <row r="436">
      <c r="G436" s="85"/>
    </row>
    <row r="437">
      <c r="G437" s="85"/>
    </row>
    <row r="438">
      <c r="G438" s="85"/>
    </row>
    <row r="439">
      <c r="G439" s="85"/>
    </row>
    <row r="440">
      <c r="G440" s="85"/>
    </row>
    <row r="441">
      <c r="G441" s="85"/>
    </row>
    <row r="442">
      <c r="G442" s="85"/>
    </row>
    <row r="443">
      <c r="G443" s="85"/>
    </row>
    <row r="444">
      <c r="G444" s="85"/>
    </row>
    <row r="445">
      <c r="G445" s="85"/>
    </row>
    <row r="446">
      <c r="G446" s="85"/>
    </row>
    <row r="447">
      <c r="G447" s="85"/>
    </row>
    <row r="448">
      <c r="G448" s="85"/>
    </row>
    <row r="449">
      <c r="G449" s="85"/>
    </row>
    <row r="450">
      <c r="G450" s="85"/>
    </row>
    <row r="451">
      <c r="G451" s="85"/>
    </row>
    <row r="452">
      <c r="G452" s="85"/>
    </row>
    <row r="453">
      <c r="G453" s="85"/>
    </row>
    <row r="454">
      <c r="G454" s="85"/>
    </row>
    <row r="455">
      <c r="G455" s="85"/>
    </row>
    <row r="456">
      <c r="G456" s="85"/>
    </row>
    <row r="457">
      <c r="G457" s="85"/>
    </row>
    <row r="458">
      <c r="G458" s="85"/>
    </row>
    <row r="459">
      <c r="G459" s="85"/>
    </row>
    <row r="460">
      <c r="G460" s="85"/>
    </row>
    <row r="461">
      <c r="G461" s="85"/>
    </row>
    <row r="462">
      <c r="G462" s="85"/>
    </row>
    <row r="463">
      <c r="G463" s="85"/>
    </row>
    <row r="464">
      <c r="G464" s="85"/>
    </row>
    <row r="465">
      <c r="G465" s="85"/>
    </row>
    <row r="466">
      <c r="G466" s="85"/>
    </row>
    <row r="467">
      <c r="G467" s="85"/>
    </row>
    <row r="468">
      <c r="G468" s="85"/>
    </row>
    <row r="469">
      <c r="G469" s="85"/>
    </row>
    <row r="470">
      <c r="G470" s="85"/>
    </row>
    <row r="471">
      <c r="G471" s="85"/>
    </row>
    <row r="472">
      <c r="G472" s="85"/>
    </row>
    <row r="473">
      <c r="G473" s="85"/>
    </row>
    <row r="474">
      <c r="G474" s="85"/>
    </row>
    <row r="475">
      <c r="G475" s="85"/>
    </row>
    <row r="476">
      <c r="G476" s="85"/>
    </row>
    <row r="477">
      <c r="G477" s="85"/>
    </row>
    <row r="478">
      <c r="G478" s="85"/>
    </row>
    <row r="479">
      <c r="G479" s="85"/>
    </row>
    <row r="480">
      <c r="G480" s="85"/>
    </row>
    <row r="481">
      <c r="G481" s="85"/>
    </row>
    <row r="482">
      <c r="G482" s="85"/>
    </row>
    <row r="483">
      <c r="G483" s="85"/>
    </row>
    <row r="484">
      <c r="G484" s="85"/>
    </row>
    <row r="485">
      <c r="G485" s="85"/>
    </row>
    <row r="486">
      <c r="G486" s="85"/>
    </row>
    <row r="487">
      <c r="G487" s="85"/>
    </row>
    <row r="488">
      <c r="G488" s="85"/>
    </row>
    <row r="489">
      <c r="G489" s="85"/>
    </row>
    <row r="490">
      <c r="G490" s="85"/>
    </row>
    <row r="491">
      <c r="G491" s="85"/>
    </row>
    <row r="492">
      <c r="G492" s="85"/>
    </row>
    <row r="493">
      <c r="G493" s="85"/>
    </row>
    <row r="494">
      <c r="G494" s="85"/>
    </row>
    <row r="495">
      <c r="G495" s="85"/>
    </row>
    <row r="496">
      <c r="G496" s="85"/>
    </row>
    <row r="497">
      <c r="G497" s="85"/>
    </row>
    <row r="498">
      <c r="G498" s="85"/>
    </row>
    <row r="499">
      <c r="G499" s="85"/>
    </row>
    <row r="500">
      <c r="G500" s="85"/>
    </row>
    <row r="501">
      <c r="G501" s="85"/>
    </row>
    <row r="502">
      <c r="G502" s="85"/>
    </row>
    <row r="503">
      <c r="G503" s="85"/>
    </row>
    <row r="504">
      <c r="G504" s="85"/>
    </row>
    <row r="505">
      <c r="G505" s="85"/>
    </row>
    <row r="506">
      <c r="G506" s="85"/>
    </row>
    <row r="507">
      <c r="G507" s="85"/>
    </row>
    <row r="508">
      <c r="G508" s="85"/>
    </row>
    <row r="509">
      <c r="G509" s="85"/>
    </row>
    <row r="510">
      <c r="G510" s="85"/>
    </row>
    <row r="511">
      <c r="G511" s="85"/>
    </row>
    <row r="512">
      <c r="G512" s="85"/>
    </row>
    <row r="513">
      <c r="G513" s="85"/>
    </row>
    <row r="514">
      <c r="G514" s="85"/>
    </row>
    <row r="515">
      <c r="G515" s="85"/>
    </row>
    <row r="516">
      <c r="G516" s="85"/>
    </row>
    <row r="517">
      <c r="G517" s="85"/>
    </row>
    <row r="518">
      <c r="G518" s="85"/>
    </row>
    <row r="519">
      <c r="G519" s="85"/>
    </row>
    <row r="520">
      <c r="G520" s="85"/>
    </row>
    <row r="521">
      <c r="G521" s="85"/>
    </row>
    <row r="522">
      <c r="G522" s="85"/>
    </row>
    <row r="523">
      <c r="G523" s="85"/>
    </row>
    <row r="524">
      <c r="G524" s="85"/>
    </row>
    <row r="525">
      <c r="G525" s="85"/>
    </row>
    <row r="526">
      <c r="G526" s="85"/>
    </row>
    <row r="527">
      <c r="G527" s="85"/>
    </row>
    <row r="528">
      <c r="G528" s="85"/>
    </row>
    <row r="529">
      <c r="G529" s="85"/>
    </row>
    <row r="530">
      <c r="G530" s="85"/>
    </row>
    <row r="531">
      <c r="G531" s="85"/>
    </row>
    <row r="532">
      <c r="G532" s="85"/>
    </row>
    <row r="533">
      <c r="G533" s="85"/>
    </row>
    <row r="534">
      <c r="G534" s="85"/>
    </row>
    <row r="535">
      <c r="G535" s="85"/>
    </row>
    <row r="536">
      <c r="G536" s="85"/>
    </row>
    <row r="537">
      <c r="G537" s="85"/>
    </row>
    <row r="538">
      <c r="G538" s="85"/>
    </row>
    <row r="539">
      <c r="G539" s="85"/>
    </row>
    <row r="540">
      <c r="G540" s="85"/>
    </row>
    <row r="541">
      <c r="G541" s="85"/>
    </row>
    <row r="542">
      <c r="G542" s="85"/>
    </row>
    <row r="543">
      <c r="G543" s="85"/>
    </row>
    <row r="544">
      <c r="G544" s="85"/>
    </row>
    <row r="545">
      <c r="G545" s="85"/>
    </row>
    <row r="546">
      <c r="G546" s="85"/>
    </row>
    <row r="547">
      <c r="G547" s="85"/>
    </row>
    <row r="548">
      <c r="G548" s="85"/>
    </row>
    <row r="549">
      <c r="G549" s="85"/>
    </row>
    <row r="550">
      <c r="G550" s="85"/>
    </row>
    <row r="551">
      <c r="G551" s="85"/>
    </row>
    <row r="552">
      <c r="G552" s="85"/>
    </row>
    <row r="553">
      <c r="G553" s="85"/>
    </row>
    <row r="554">
      <c r="G554" s="85"/>
    </row>
    <row r="555">
      <c r="G555" s="85"/>
    </row>
    <row r="556">
      <c r="G556" s="85"/>
    </row>
    <row r="557">
      <c r="G557" s="85"/>
    </row>
    <row r="558">
      <c r="G558" s="85"/>
    </row>
    <row r="559">
      <c r="G559" s="85"/>
    </row>
    <row r="560">
      <c r="G560" s="85"/>
    </row>
    <row r="561">
      <c r="G561" s="85"/>
    </row>
    <row r="562">
      <c r="G562" s="85"/>
    </row>
    <row r="563">
      <c r="G563" s="85"/>
    </row>
    <row r="564">
      <c r="G564" s="85"/>
    </row>
    <row r="565">
      <c r="G565" s="85"/>
    </row>
    <row r="566">
      <c r="G566" s="85"/>
    </row>
    <row r="567">
      <c r="G567" s="85"/>
    </row>
    <row r="568">
      <c r="G568" s="85"/>
    </row>
    <row r="569">
      <c r="G569" s="85"/>
    </row>
    <row r="570">
      <c r="G570" s="85"/>
    </row>
    <row r="571">
      <c r="G571" s="85"/>
    </row>
    <row r="572">
      <c r="G572" s="85"/>
    </row>
    <row r="573">
      <c r="G573" s="85"/>
    </row>
    <row r="574">
      <c r="G574" s="85"/>
    </row>
    <row r="575">
      <c r="G575" s="85"/>
    </row>
    <row r="576">
      <c r="G576" s="85"/>
    </row>
    <row r="577">
      <c r="G577" s="85"/>
    </row>
    <row r="578">
      <c r="G578" s="85"/>
    </row>
    <row r="579">
      <c r="G579" s="85"/>
    </row>
    <row r="580">
      <c r="G580" s="85"/>
    </row>
    <row r="581">
      <c r="G581" s="85"/>
    </row>
    <row r="582">
      <c r="G582" s="85"/>
    </row>
    <row r="583">
      <c r="G583" s="85"/>
    </row>
    <row r="584">
      <c r="G584" s="85"/>
    </row>
    <row r="585">
      <c r="G585" s="85"/>
    </row>
    <row r="586">
      <c r="G586" s="85"/>
    </row>
    <row r="587">
      <c r="G587" s="85"/>
    </row>
    <row r="588">
      <c r="G588" s="85"/>
    </row>
    <row r="589">
      <c r="G589" s="85"/>
    </row>
    <row r="590">
      <c r="G590" s="85"/>
    </row>
    <row r="591">
      <c r="G591" s="85"/>
    </row>
    <row r="592">
      <c r="G592" s="85"/>
    </row>
    <row r="593">
      <c r="G593" s="85"/>
    </row>
    <row r="594">
      <c r="G594" s="85"/>
    </row>
    <row r="595">
      <c r="G595" s="85"/>
    </row>
    <row r="596">
      <c r="G596" s="85"/>
    </row>
    <row r="597">
      <c r="G597" s="85"/>
    </row>
    <row r="598">
      <c r="G598" s="85"/>
    </row>
    <row r="599">
      <c r="G599" s="85"/>
    </row>
    <row r="600">
      <c r="G600" s="85"/>
    </row>
    <row r="601">
      <c r="G601" s="85"/>
    </row>
    <row r="602">
      <c r="G602" s="85"/>
    </row>
    <row r="603">
      <c r="G603" s="85"/>
    </row>
    <row r="604">
      <c r="G604" s="85"/>
    </row>
    <row r="605">
      <c r="G605" s="85"/>
    </row>
    <row r="606">
      <c r="G606" s="85"/>
    </row>
    <row r="607">
      <c r="G607" s="85"/>
    </row>
    <row r="608">
      <c r="G608" s="85"/>
    </row>
    <row r="609">
      <c r="G609" s="85"/>
    </row>
    <row r="610">
      <c r="G610" s="85"/>
    </row>
    <row r="611">
      <c r="G611" s="85"/>
    </row>
    <row r="612">
      <c r="G612" s="85"/>
    </row>
    <row r="613">
      <c r="G613" s="85"/>
    </row>
    <row r="614">
      <c r="G614" s="85"/>
    </row>
    <row r="615">
      <c r="G615" s="85"/>
    </row>
    <row r="616">
      <c r="G616" s="85"/>
    </row>
    <row r="617">
      <c r="G617" s="85"/>
    </row>
    <row r="618">
      <c r="G618" s="85"/>
    </row>
    <row r="619">
      <c r="G619" s="85"/>
    </row>
    <row r="620">
      <c r="G620" s="85"/>
    </row>
    <row r="621">
      <c r="G621" s="85"/>
    </row>
    <row r="622">
      <c r="G622" s="85"/>
    </row>
    <row r="623">
      <c r="G623" s="85"/>
    </row>
    <row r="624">
      <c r="G624" s="85"/>
    </row>
    <row r="625">
      <c r="G625" s="85"/>
    </row>
    <row r="626">
      <c r="G626" s="85"/>
    </row>
    <row r="627">
      <c r="G627" s="85"/>
    </row>
    <row r="628">
      <c r="G628" s="85"/>
    </row>
    <row r="629">
      <c r="G629" s="85"/>
    </row>
    <row r="630">
      <c r="G630" s="85"/>
    </row>
    <row r="631">
      <c r="G631" s="85"/>
    </row>
    <row r="632">
      <c r="G632" s="85"/>
    </row>
    <row r="633">
      <c r="G633" s="85"/>
    </row>
    <row r="634">
      <c r="G634" s="85"/>
    </row>
    <row r="635">
      <c r="G635" s="85"/>
    </row>
    <row r="636">
      <c r="G636" s="85"/>
    </row>
    <row r="637">
      <c r="G637" s="85"/>
    </row>
    <row r="638">
      <c r="G638" s="85"/>
    </row>
    <row r="639">
      <c r="G639" s="85"/>
    </row>
    <row r="640">
      <c r="G640" s="85"/>
    </row>
    <row r="641">
      <c r="G641" s="85"/>
    </row>
    <row r="642">
      <c r="G642" s="85"/>
    </row>
    <row r="643">
      <c r="G643" s="85"/>
    </row>
    <row r="644">
      <c r="G644" s="85"/>
    </row>
    <row r="645">
      <c r="G645" s="85"/>
    </row>
    <row r="646">
      <c r="G646" s="85"/>
    </row>
    <row r="647">
      <c r="G647" s="85"/>
    </row>
    <row r="648">
      <c r="G648" s="85"/>
    </row>
    <row r="649">
      <c r="G649" s="85"/>
    </row>
    <row r="650">
      <c r="G650" s="85"/>
    </row>
    <row r="651">
      <c r="G651" s="85"/>
    </row>
    <row r="652">
      <c r="G652" s="85"/>
    </row>
    <row r="653">
      <c r="G653" s="85"/>
    </row>
    <row r="654">
      <c r="G654" s="85"/>
    </row>
    <row r="655">
      <c r="G655" s="85"/>
    </row>
    <row r="656">
      <c r="G656" s="85"/>
    </row>
    <row r="657">
      <c r="G657" s="85"/>
    </row>
    <row r="658">
      <c r="G658" s="85"/>
    </row>
    <row r="659">
      <c r="G659" s="85"/>
    </row>
    <row r="660">
      <c r="G660" s="85"/>
    </row>
    <row r="661">
      <c r="G661" s="85"/>
    </row>
    <row r="662">
      <c r="G662" s="85"/>
    </row>
    <row r="663">
      <c r="G663" s="85"/>
    </row>
    <row r="664">
      <c r="G664" s="85"/>
    </row>
    <row r="665">
      <c r="G665" s="85"/>
    </row>
    <row r="666">
      <c r="G666" s="85"/>
    </row>
    <row r="667">
      <c r="G667" s="85"/>
    </row>
    <row r="668">
      <c r="G668" s="85"/>
    </row>
    <row r="669">
      <c r="G669" s="85"/>
    </row>
    <row r="670">
      <c r="G670" s="85"/>
    </row>
    <row r="671">
      <c r="G671" s="85"/>
    </row>
    <row r="672">
      <c r="G672" s="85"/>
    </row>
    <row r="673">
      <c r="G673" s="85"/>
    </row>
    <row r="674">
      <c r="G674" s="85"/>
    </row>
    <row r="675">
      <c r="G675" s="85"/>
    </row>
    <row r="676">
      <c r="G676" s="85"/>
    </row>
    <row r="677">
      <c r="G677" s="85"/>
    </row>
    <row r="678">
      <c r="G678" s="85"/>
    </row>
    <row r="679">
      <c r="G679" s="85"/>
    </row>
    <row r="680">
      <c r="G680" s="85"/>
    </row>
    <row r="681">
      <c r="G681" s="85"/>
    </row>
    <row r="682">
      <c r="G682" s="85"/>
    </row>
    <row r="683">
      <c r="G683" s="85"/>
    </row>
    <row r="684">
      <c r="G684" s="85"/>
    </row>
    <row r="685">
      <c r="G685" s="85"/>
    </row>
    <row r="686">
      <c r="G686" s="85"/>
    </row>
    <row r="687">
      <c r="G687" s="85"/>
    </row>
    <row r="688">
      <c r="G688" s="85"/>
    </row>
    <row r="689">
      <c r="G689" s="85"/>
    </row>
    <row r="690">
      <c r="G690" s="85"/>
    </row>
    <row r="691">
      <c r="G691" s="85"/>
    </row>
    <row r="692">
      <c r="G692" s="85"/>
    </row>
    <row r="693">
      <c r="G693" s="85"/>
    </row>
    <row r="694">
      <c r="G694" s="85"/>
    </row>
    <row r="695">
      <c r="G695" s="85"/>
    </row>
    <row r="696">
      <c r="G696" s="85"/>
    </row>
    <row r="697">
      <c r="G697" s="85"/>
    </row>
    <row r="698">
      <c r="G698" s="85"/>
    </row>
    <row r="699">
      <c r="G699" s="85"/>
    </row>
    <row r="700">
      <c r="G700" s="85"/>
    </row>
    <row r="701">
      <c r="G701" s="85"/>
    </row>
    <row r="702">
      <c r="G702" s="85"/>
    </row>
    <row r="703">
      <c r="G703" s="85"/>
    </row>
    <row r="704">
      <c r="G704" s="85"/>
    </row>
    <row r="705">
      <c r="G705" s="85"/>
    </row>
    <row r="706">
      <c r="G706" s="85"/>
    </row>
    <row r="707">
      <c r="G707" s="85"/>
    </row>
    <row r="708">
      <c r="G708" s="85"/>
    </row>
    <row r="709">
      <c r="G709" s="85"/>
    </row>
    <row r="710">
      <c r="G710" s="85"/>
    </row>
    <row r="711">
      <c r="G711" s="85"/>
    </row>
    <row r="712">
      <c r="G712" s="85"/>
    </row>
    <row r="713">
      <c r="G713" s="85"/>
    </row>
    <row r="714">
      <c r="G714" s="85"/>
    </row>
    <row r="715">
      <c r="G715" s="85"/>
    </row>
    <row r="716">
      <c r="G716" s="85"/>
    </row>
    <row r="717">
      <c r="G717" s="85"/>
    </row>
    <row r="718">
      <c r="G718" s="85"/>
    </row>
    <row r="719">
      <c r="G719" s="85"/>
    </row>
    <row r="720">
      <c r="G720" s="85"/>
    </row>
    <row r="721">
      <c r="G721" s="85"/>
    </row>
    <row r="722">
      <c r="G722" s="85"/>
    </row>
    <row r="723">
      <c r="G723" s="85"/>
    </row>
    <row r="724">
      <c r="G724" s="85"/>
    </row>
    <row r="725">
      <c r="G725" s="85"/>
    </row>
    <row r="726">
      <c r="G726" s="85"/>
    </row>
    <row r="727">
      <c r="G727" s="85"/>
    </row>
    <row r="728">
      <c r="G728" s="85"/>
    </row>
    <row r="729">
      <c r="G729" s="85"/>
    </row>
    <row r="730">
      <c r="G730" s="85"/>
    </row>
    <row r="731">
      <c r="G731" s="85"/>
    </row>
    <row r="732">
      <c r="G732" s="85"/>
    </row>
    <row r="733">
      <c r="G733" s="85"/>
    </row>
    <row r="734">
      <c r="G734" s="85"/>
    </row>
    <row r="735">
      <c r="G735" s="85"/>
    </row>
    <row r="736">
      <c r="G736" s="85"/>
    </row>
    <row r="737">
      <c r="G737" s="85"/>
    </row>
    <row r="738">
      <c r="G738" s="85"/>
    </row>
    <row r="739">
      <c r="G739" s="85"/>
    </row>
    <row r="740">
      <c r="G740" s="85"/>
    </row>
    <row r="741">
      <c r="G741" s="85"/>
    </row>
    <row r="742">
      <c r="G742" s="85"/>
    </row>
    <row r="743">
      <c r="G743" s="85"/>
    </row>
    <row r="744">
      <c r="G744" s="85"/>
    </row>
    <row r="745">
      <c r="G745" s="85"/>
    </row>
    <row r="746">
      <c r="G746" s="85"/>
    </row>
    <row r="747">
      <c r="G747" s="85"/>
    </row>
    <row r="748">
      <c r="G748" s="85"/>
    </row>
    <row r="749">
      <c r="G749" s="85"/>
    </row>
    <row r="750">
      <c r="G750" s="85"/>
    </row>
    <row r="751">
      <c r="G751" s="85"/>
    </row>
    <row r="752">
      <c r="G752" s="85"/>
    </row>
    <row r="753">
      <c r="G753" s="85"/>
    </row>
    <row r="754">
      <c r="G754" s="85"/>
    </row>
    <row r="755">
      <c r="G755" s="85"/>
    </row>
    <row r="756">
      <c r="G756" s="85"/>
    </row>
    <row r="757">
      <c r="G757" s="85"/>
    </row>
    <row r="758">
      <c r="G758" s="85"/>
    </row>
    <row r="759">
      <c r="G759" s="85"/>
    </row>
    <row r="760">
      <c r="G760" s="85"/>
    </row>
    <row r="761">
      <c r="G761" s="85"/>
    </row>
    <row r="762">
      <c r="G762" s="85"/>
    </row>
    <row r="763">
      <c r="G763" s="85"/>
    </row>
    <row r="764">
      <c r="G764" s="85"/>
    </row>
    <row r="765">
      <c r="G765" s="85"/>
    </row>
    <row r="766">
      <c r="G766" s="85"/>
    </row>
    <row r="767">
      <c r="G767" s="85"/>
    </row>
    <row r="768">
      <c r="G768" s="85"/>
    </row>
    <row r="769">
      <c r="G769" s="85"/>
    </row>
    <row r="770">
      <c r="G770" s="85"/>
    </row>
    <row r="771">
      <c r="G771" s="85"/>
    </row>
    <row r="772">
      <c r="G772" s="85"/>
    </row>
    <row r="773">
      <c r="G773" s="85"/>
    </row>
    <row r="774">
      <c r="G774" s="85"/>
    </row>
    <row r="775">
      <c r="G775" s="85"/>
    </row>
    <row r="776">
      <c r="G776" s="85"/>
    </row>
    <row r="777">
      <c r="G777" s="85"/>
    </row>
    <row r="778">
      <c r="G778" s="85"/>
    </row>
    <row r="779">
      <c r="G779" s="85"/>
    </row>
    <row r="780">
      <c r="G780" s="85"/>
    </row>
    <row r="781">
      <c r="G781" s="85"/>
    </row>
    <row r="782">
      <c r="G782" s="85"/>
    </row>
    <row r="783">
      <c r="G783" s="85"/>
    </row>
    <row r="784">
      <c r="G784" s="85"/>
    </row>
    <row r="785">
      <c r="G785" s="85"/>
    </row>
    <row r="786">
      <c r="G786" s="85"/>
    </row>
    <row r="787">
      <c r="G787" s="85"/>
    </row>
    <row r="788">
      <c r="G788" s="85"/>
    </row>
    <row r="789">
      <c r="G789" s="85"/>
    </row>
    <row r="790">
      <c r="G790" s="85"/>
    </row>
    <row r="791">
      <c r="G791" s="85"/>
    </row>
    <row r="792">
      <c r="G792" s="85"/>
    </row>
    <row r="793">
      <c r="G793" s="85"/>
    </row>
    <row r="794">
      <c r="G794" s="85"/>
    </row>
    <row r="795">
      <c r="G795" s="85"/>
    </row>
    <row r="796">
      <c r="G796" s="85"/>
    </row>
    <row r="797">
      <c r="G797" s="85"/>
    </row>
    <row r="798">
      <c r="G798" s="85"/>
    </row>
    <row r="799">
      <c r="G799" s="85"/>
    </row>
    <row r="800">
      <c r="G800" s="85"/>
    </row>
    <row r="801">
      <c r="G801" s="85"/>
    </row>
    <row r="802">
      <c r="G802" s="85"/>
    </row>
    <row r="803">
      <c r="G803" s="85"/>
    </row>
    <row r="804">
      <c r="G804" s="85"/>
    </row>
    <row r="805">
      <c r="G805" s="85"/>
    </row>
    <row r="806">
      <c r="G806" s="85"/>
    </row>
    <row r="807">
      <c r="G807" s="85"/>
    </row>
    <row r="808">
      <c r="G808" s="85"/>
    </row>
    <row r="809">
      <c r="G809" s="85"/>
    </row>
    <row r="810">
      <c r="G810" s="85"/>
    </row>
    <row r="811">
      <c r="G811" s="85"/>
    </row>
    <row r="812">
      <c r="G812" s="85"/>
    </row>
    <row r="813">
      <c r="G813" s="85"/>
    </row>
    <row r="814">
      <c r="G814" s="85"/>
    </row>
    <row r="815">
      <c r="G815" s="85"/>
    </row>
    <row r="816">
      <c r="G816" s="85"/>
    </row>
    <row r="817">
      <c r="G817" s="85"/>
    </row>
    <row r="818">
      <c r="G818" s="85"/>
    </row>
    <row r="819">
      <c r="G819" s="85"/>
    </row>
    <row r="820">
      <c r="G820" s="85"/>
    </row>
    <row r="821">
      <c r="G821" s="85"/>
    </row>
    <row r="822">
      <c r="G822" s="85"/>
    </row>
    <row r="823">
      <c r="G823" s="85"/>
    </row>
    <row r="824">
      <c r="G824" s="85"/>
    </row>
    <row r="825">
      <c r="G825" s="85"/>
    </row>
    <row r="826">
      <c r="G826" s="85"/>
    </row>
    <row r="827">
      <c r="G827" s="85"/>
    </row>
    <row r="828">
      <c r="G828" s="85"/>
    </row>
    <row r="829">
      <c r="G829" s="85"/>
    </row>
    <row r="830">
      <c r="G830" s="85"/>
    </row>
    <row r="831">
      <c r="G831" s="85"/>
    </row>
    <row r="832">
      <c r="G832" s="85"/>
    </row>
    <row r="833">
      <c r="G833" s="85"/>
    </row>
    <row r="834">
      <c r="G834" s="85"/>
    </row>
    <row r="835">
      <c r="G835" s="85"/>
    </row>
    <row r="836">
      <c r="G836" s="85"/>
    </row>
    <row r="837">
      <c r="G837" s="85"/>
    </row>
    <row r="838">
      <c r="G838" s="85"/>
    </row>
    <row r="839">
      <c r="G839" s="85"/>
    </row>
    <row r="840">
      <c r="G840" s="85"/>
    </row>
    <row r="841">
      <c r="G841" s="85"/>
    </row>
    <row r="842">
      <c r="G842" s="85"/>
    </row>
    <row r="843">
      <c r="G843" s="85"/>
    </row>
    <row r="844">
      <c r="G844" s="85"/>
    </row>
    <row r="845">
      <c r="G845" s="85"/>
    </row>
    <row r="846">
      <c r="G846" s="85"/>
    </row>
    <row r="847">
      <c r="G847" s="85"/>
    </row>
    <row r="848">
      <c r="G848" s="85"/>
    </row>
    <row r="849">
      <c r="G849" s="85"/>
    </row>
    <row r="850">
      <c r="G850" s="85"/>
    </row>
    <row r="851">
      <c r="G851" s="85"/>
    </row>
    <row r="852">
      <c r="G852" s="85"/>
    </row>
    <row r="853">
      <c r="G853" s="85"/>
    </row>
    <row r="854">
      <c r="G854" s="85"/>
    </row>
    <row r="855">
      <c r="G855" s="85"/>
    </row>
    <row r="856">
      <c r="G856" s="85"/>
    </row>
    <row r="857">
      <c r="G857" s="85"/>
    </row>
    <row r="858">
      <c r="G858" s="85"/>
    </row>
    <row r="859">
      <c r="G859" s="85"/>
    </row>
    <row r="860">
      <c r="G860" s="85"/>
    </row>
    <row r="861">
      <c r="G861" s="85"/>
    </row>
    <row r="862">
      <c r="G862" s="85"/>
    </row>
    <row r="863">
      <c r="G863" s="85"/>
    </row>
    <row r="864">
      <c r="G864" s="85"/>
    </row>
    <row r="865">
      <c r="G865" s="85"/>
    </row>
    <row r="866">
      <c r="G866" s="85"/>
    </row>
    <row r="867">
      <c r="G867" s="85"/>
    </row>
    <row r="868">
      <c r="G868" s="85"/>
    </row>
    <row r="869">
      <c r="G869" s="85"/>
    </row>
    <row r="870">
      <c r="G870" s="85"/>
    </row>
    <row r="871">
      <c r="G871" s="85"/>
    </row>
    <row r="872">
      <c r="G872" s="85"/>
    </row>
    <row r="873">
      <c r="G873" s="85"/>
    </row>
    <row r="874">
      <c r="G874" s="85"/>
    </row>
    <row r="875">
      <c r="G875" s="85"/>
    </row>
    <row r="876">
      <c r="G876" s="85"/>
    </row>
    <row r="877">
      <c r="G877" s="85"/>
    </row>
    <row r="878">
      <c r="G878" s="85"/>
    </row>
    <row r="879">
      <c r="G879" s="85"/>
    </row>
    <row r="880">
      <c r="G880" s="85"/>
    </row>
    <row r="881">
      <c r="G881" s="85"/>
    </row>
    <row r="882">
      <c r="G882" s="85"/>
    </row>
    <row r="883">
      <c r="G883" s="85"/>
    </row>
    <row r="884">
      <c r="G884" s="85"/>
    </row>
    <row r="885">
      <c r="G885" s="85"/>
    </row>
    <row r="886">
      <c r="G886" s="85"/>
    </row>
    <row r="887">
      <c r="G887" s="85"/>
    </row>
    <row r="888">
      <c r="G888" s="85"/>
    </row>
    <row r="889">
      <c r="G889" s="85"/>
    </row>
    <row r="890">
      <c r="G890" s="85"/>
    </row>
    <row r="891">
      <c r="G891" s="85"/>
    </row>
    <row r="892">
      <c r="G892" s="85"/>
    </row>
    <row r="893">
      <c r="G893" s="85"/>
    </row>
    <row r="894">
      <c r="G894" s="85"/>
    </row>
    <row r="895">
      <c r="G895" s="85"/>
    </row>
    <row r="896">
      <c r="G896" s="85"/>
    </row>
    <row r="897">
      <c r="G897" s="85"/>
    </row>
    <row r="898">
      <c r="G898" s="85"/>
    </row>
    <row r="899">
      <c r="G899" s="85"/>
    </row>
    <row r="900">
      <c r="G900" s="85"/>
    </row>
    <row r="901">
      <c r="G901" s="85"/>
    </row>
    <row r="902">
      <c r="G902" s="85"/>
    </row>
    <row r="903">
      <c r="G903" s="85"/>
    </row>
    <row r="904">
      <c r="G904" s="85"/>
    </row>
    <row r="905">
      <c r="G905" s="85"/>
    </row>
    <row r="906">
      <c r="G906" s="85"/>
    </row>
    <row r="907">
      <c r="G907" s="85"/>
    </row>
    <row r="908">
      <c r="G908" s="85"/>
    </row>
    <row r="909">
      <c r="G909" s="85"/>
    </row>
    <row r="910">
      <c r="G910" s="85"/>
    </row>
    <row r="911">
      <c r="G911" s="85"/>
    </row>
    <row r="912">
      <c r="G912" s="85"/>
    </row>
    <row r="913">
      <c r="G913" s="85"/>
    </row>
    <row r="914">
      <c r="G914" s="85"/>
    </row>
    <row r="915">
      <c r="G915" s="85"/>
    </row>
    <row r="916">
      <c r="G916" s="85"/>
    </row>
    <row r="917">
      <c r="G917" s="85"/>
    </row>
    <row r="918">
      <c r="G918" s="85"/>
    </row>
    <row r="919">
      <c r="G919" s="85"/>
    </row>
    <row r="920">
      <c r="G920" s="85"/>
    </row>
    <row r="921">
      <c r="G921" s="85"/>
    </row>
    <row r="922">
      <c r="G922" s="85"/>
    </row>
    <row r="923">
      <c r="G923" s="85"/>
    </row>
    <row r="924">
      <c r="G924" s="85"/>
    </row>
    <row r="925">
      <c r="G925" s="85"/>
    </row>
    <row r="926">
      <c r="G926" s="85"/>
    </row>
    <row r="927">
      <c r="G927" s="85"/>
    </row>
    <row r="928">
      <c r="G928" s="85"/>
    </row>
    <row r="929">
      <c r="G929" s="85"/>
    </row>
    <row r="930">
      <c r="G930" s="85"/>
    </row>
    <row r="931">
      <c r="G931" s="85"/>
    </row>
    <row r="932">
      <c r="G932" s="85"/>
    </row>
    <row r="933">
      <c r="G933" s="85"/>
    </row>
    <row r="934">
      <c r="G934" s="85"/>
    </row>
    <row r="935">
      <c r="G935" s="85"/>
    </row>
    <row r="936">
      <c r="G936" s="85"/>
    </row>
    <row r="937">
      <c r="G937" s="85"/>
    </row>
    <row r="938">
      <c r="G938" s="85"/>
    </row>
    <row r="939">
      <c r="G939" s="85"/>
    </row>
    <row r="940">
      <c r="G940" s="85"/>
    </row>
    <row r="941">
      <c r="G941" s="85"/>
    </row>
    <row r="942">
      <c r="G942" s="85"/>
    </row>
    <row r="943">
      <c r="G943" s="85"/>
    </row>
    <row r="944">
      <c r="G944" s="85"/>
    </row>
    <row r="945">
      <c r="G945" s="85"/>
    </row>
    <row r="946">
      <c r="G946" s="85"/>
    </row>
    <row r="947">
      <c r="G947" s="85"/>
    </row>
    <row r="948">
      <c r="G948" s="85"/>
    </row>
    <row r="949">
      <c r="G949" s="85"/>
    </row>
    <row r="950">
      <c r="G950" s="85"/>
    </row>
    <row r="951">
      <c r="G951" s="85"/>
    </row>
    <row r="952">
      <c r="G952" s="85"/>
    </row>
    <row r="953">
      <c r="G953" s="85"/>
    </row>
    <row r="954">
      <c r="G954" s="85"/>
    </row>
    <row r="955">
      <c r="G955" s="85"/>
    </row>
    <row r="956">
      <c r="G956" s="85"/>
    </row>
    <row r="957">
      <c r="G957" s="85"/>
    </row>
    <row r="958">
      <c r="G958" s="85"/>
    </row>
    <row r="959">
      <c r="G959" s="85"/>
    </row>
    <row r="960">
      <c r="G960" s="85"/>
    </row>
    <row r="961">
      <c r="G961" s="85"/>
    </row>
    <row r="962">
      <c r="G962" s="85"/>
    </row>
    <row r="963">
      <c r="G963" s="85"/>
    </row>
    <row r="964">
      <c r="G964" s="85"/>
    </row>
    <row r="965">
      <c r="G965" s="85"/>
    </row>
    <row r="966">
      <c r="G966" s="85"/>
    </row>
    <row r="967">
      <c r="G967" s="85"/>
    </row>
    <row r="968">
      <c r="G968" s="85"/>
    </row>
    <row r="969">
      <c r="G969" s="85"/>
    </row>
    <row r="970">
      <c r="G970" s="85"/>
    </row>
    <row r="971">
      <c r="G971" s="85"/>
    </row>
    <row r="972">
      <c r="G972" s="85"/>
    </row>
    <row r="973">
      <c r="G973" s="85"/>
    </row>
    <row r="974">
      <c r="G974" s="85"/>
    </row>
    <row r="975">
      <c r="G975" s="85"/>
    </row>
    <row r="976">
      <c r="G976" s="85"/>
    </row>
    <row r="977">
      <c r="G977" s="85"/>
    </row>
    <row r="978">
      <c r="G978" s="85"/>
    </row>
    <row r="979">
      <c r="G979" s="85"/>
    </row>
  </sheetData>
  <mergeCells count="2">
    <mergeCell ref="B67:C67"/>
    <mergeCell ref="B71:C71"/>
  </mergeCells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9.13"/>
    <col customWidth="1" min="3" max="3" width="11.13"/>
    <col customWidth="1" min="4" max="4" width="36.75"/>
  </cols>
  <sheetData>
    <row r="1">
      <c r="A1" s="58" t="s">
        <v>288</v>
      </c>
      <c r="B1" s="58" t="s">
        <v>280</v>
      </c>
      <c r="C1" s="58" t="s">
        <v>289</v>
      </c>
      <c r="D1" s="58" t="s">
        <v>279</v>
      </c>
    </row>
    <row r="2">
      <c r="A2" s="119">
        <v>43475.0</v>
      </c>
      <c r="B2" s="65"/>
      <c r="C2" s="65">
        <v>-541868.0</v>
      </c>
      <c r="D2" s="58" t="s">
        <v>283</v>
      </c>
    </row>
    <row r="3">
      <c r="A3" s="119">
        <v>43501.0</v>
      </c>
      <c r="B3" s="65"/>
      <c r="C3" s="65">
        <v>-394012.0</v>
      </c>
      <c r="D3" s="58" t="s">
        <v>283</v>
      </c>
    </row>
    <row r="4">
      <c r="A4" s="119">
        <v>43544.0</v>
      </c>
      <c r="B4" s="65"/>
      <c r="C4" s="65">
        <v>-281003.0</v>
      </c>
      <c r="D4" s="58" t="s">
        <v>283</v>
      </c>
    </row>
    <row r="5">
      <c r="A5" s="119">
        <v>43573.0</v>
      </c>
      <c r="B5" s="65">
        <v>50230.0</v>
      </c>
      <c r="C5" s="65"/>
      <c r="D5" s="58" t="s">
        <v>283</v>
      </c>
    </row>
    <row r="6">
      <c r="A6" s="119">
        <v>43604.0</v>
      </c>
      <c r="B6" s="65"/>
      <c r="C6" s="65">
        <v>-502390.0</v>
      </c>
      <c r="D6" s="58" t="s">
        <v>283</v>
      </c>
    </row>
    <row r="7">
      <c r="A7" s="119">
        <v>43621.0</v>
      </c>
      <c r="B7" s="65">
        <v>123045.0</v>
      </c>
      <c r="C7" s="65"/>
      <c r="D7" s="58" t="s">
        <v>283</v>
      </c>
    </row>
    <row r="8">
      <c r="A8" s="119">
        <v>43650.0</v>
      </c>
      <c r="B8" s="65">
        <v>230450.0</v>
      </c>
      <c r="C8" s="65"/>
      <c r="D8" s="58" t="s">
        <v>283</v>
      </c>
    </row>
    <row r="9">
      <c r="A9" s="119">
        <v>43678.0</v>
      </c>
      <c r="B9" s="65">
        <v>320405.0</v>
      </c>
      <c r="C9" s="65"/>
      <c r="D9" s="58" t="s">
        <v>283</v>
      </c>
    </row>
    <row r="10">
      <c r="A10" s="119">
        <v>43724.0</v>
      </c>
      <c r="B10" s="65">
        <v>23050.0</v>
      </c>
      <c r="C10" s="65"/>
      <c r="D10" s="58" t="s">
        <v>283</v>
      </c>
    </row>
    <row r="11">
      <c r="A11" s="119">
        <v>43748.0</v>
      </c>
      <c r="B11" s="106"/>
      <c r="C11" s="65">
        <v>-394320.0</v>
      </c>
      <c r="D11" s="58" t="s">
        <v>284</v>
      </c>
    </row>
    <row r="12">
      <c r="A12" s="119">
        <v>43774.0</v>
      </c>
      <c r="B12" s="106"/>
      <c r="C12" s="65">
        <v>-534023.0</v>
      </c>
      <c r="D12" s="58" t="s">
        <v>283</v>
      </c>
    </row>
    <row r="13">
      <c r="A13" s="119">
        <v>43825.0</v>
      </c>
      <c r="B13" s="106"/>
      <c r="C13" s="65">
        <v>-786667.0</v>
      </c>
      <c r="D13" s="58" t="s">
        <v>283</v>
      </c>
    </row>
    <row r="14">
      <c r="A14" s="119">
        <v>43839.0</v>
      </c>
      <c r="B14" s="65"/>
      <c r="C14" s="65">
        <v>-230123.0</v>
      </c>
      <c r="D14" s="58" t="s">
        <v>283</v>
      </c>
    </row>
    <row r="15">
      <c r="A15" s="119">
        <v>43890.0</v>
      </c>
      <c r="B15" s="65"/>
      <c r="C15" s="65">
        <v>-130923.0</v>
      </c>
      <c r="D15" s="58" t="s">
        <v>283</v>
      </c>
    </row>
    <row r="16">
      <c r="A16" s="119">
        <v>43921.0</v>
      </c>
      <c r="B16" s="65"/>
      <c r="C16" s="65">
        <v>-50347.0</v>
      </c>
      <c r="D16" s="58" t="s">
        <v>283</v>
      </c>
    </row>
    <row r="17">
      <c r="A17" s="119">
        <v>43951.0</v>
      </c>
      <c r="B17" s="65">
        <v>30429.0</v>
      </c>
      <c r="C17" s="65"/>
      <c r="D17" s="58" t="s">
        <v>283</v>
      </c>
    </row>
    <row r="18">
      <c r="A18" s="119">
        <v>43982.0</v>
      </c>
      <c r="B18" s="65">
        <v>102384.0</v>
      </c>
      <c r="C18" s="65"/>
      <c r="D18" s="58" t="s">
        <v>283</v>
      </c>
    </row>
    <row r="19">
      <c r="A19" s="119">
        <v>44012.0</v>
      </c>
      <c r="B19" s="65">
        <v>265793.0</v>
      </c>
      <c r="C19" s="65"/>
      <c r="D19" s="58" t="s">
        <v>283</v>
      </c>
    </row>
    <row r="20">
      <c r="A20" s="119">
        <v>44043.0</v>
      </c>
      <c r="B20" s="65">
        <v>387649.0</v>
      </c>
      <c r="C20" s="65"/>
      <c r="D20" s="58" t="s">
        <v>283</v>
      </c>
    </row>
    <row r="21">
      <c r="A21" s="119">
        <v>44074.0</v>
      </c>
      <c r="B21" s="65">
        <v>123740.0</v>
      </c>
      <c r="C21" s="65"/>
      <c r="D21" s="58" t="s">
        <v>283</v>
      </c>
    </row>
    <row r="22">
      <c r="A22" s="119">
        <v>44104.0</v>
      </c>
      <c r="B22" s="65"/>
      <c r="C22" s="65">
        <v>-23848.0</v>
      </c>
      <c r="D22" s="58" t="s">
        <v>283</v>
      </c>
    </row>
    <row r="23">
      <c r="A23" s="119">
        <v>44135.0</v>
      </c>
      <c r="B23" s="65"/>
      <c r="C23" s="65">
        <v>-327454.0</v>
      </c>
      <c r="D23" s="58" t="s">
        <v>283</v>
      </c>
    </row>
    <row r="24">
      <c r="A24" s="119">
        <v>44165.0</v>
      </c>
      <c r="B24" s="65"/>
      <c r="C24" s="65">
        <v>-437539.0</v>
      </c>
      <c r="D24" s="58" t="s">
        <v>283</v>
      </c>
    </row>
    <row r="25">
      <c r="A25" s="119">
        <v>44196.0</v>
      </c>
      <c r="B25" s="65"/>
      <c r="C25" s="65">
        <v>-1361238.0</v>
      </c>
      <c r="D25" s="58" t="s">
        <v>285</v>
      </c>
    </row>
    <row r="26">
      <c r="A26" s="119">
        <v>44227.0</v>
      </c>
      <c r="B26" s="65"/>
      <c r="C26" s="65">
        <v>-300230.0</v>
      </c>
      <c r="D26" s="58" t="s">
        <v>283</v>
      </c>
    </row>
    <row r="27">
      <c r="A27" s="119">
        <v>44255.0</v>
      </c>
      <c r="B27" s="65"/>
      <c r="C27" s="65">
        <v>-234875.0</v>
      </c>
      <c r="D27" s="58" t="s">
        <v>283</v>
      </c>
    </row>
    <row r="28">
      <c r="A28" s="119">
        <v>44286.0</v>
      </c>
      <c r="B28" s="65"/>
      <c r="C28" s="65">
        <v>-292347.0</v>
      </c>
      <c r="D28" s="58" t="s">
        <v>283</v>
      </c>
    </row>
    <row r="29">
      <c r="A29" s="119">
        <v>44316.0</v>
      </c>
      <c r="B29" s="65"/>
      <c r="C29" s="65">
        <v>-127495.0</v>
      </c>
      <c r="D29" s="58" t="s">
        <v>283</v>
      </c>
    </row>
    <row r="30">
      <c r="A30" s="119">
        <v>44347.0</v>
      </c>
      <c r="B30" s="65"/>
      <c r="C30" s="65">
        <v>-175824.0</v>
      </c>
      <c r="D30" s="58" t="s">
        <v>283</v>
      </c>
    </row>
    <row r="31">
      <c r="A31" s="119">
        <v>44377.0</v>
      </c>
      <c r="B31" s="65">
        <v>24274.0</v>
      </c>
      <c r="C31" s="65"/>
      <c r="D31" s="58" t="s">
        <v>283</v>
      </c>
    </row>
    <row r="32">
      <c r="A32" s="119">
        <v>44408.0</v>
      </c>
      <c r="B32" s="65">
        <v>123745.0</v>
      </c>
      <c r="C32" s="65"/>
      <c r="D32" s="58" t="s">
        <v>283</v>
      </c>
    </row>
    <row r="33">
      <c r="A33" s="119">
        <v>44439.0</v>
      </c>
      <c r="B33" s="65">
        <v>213494.0</v>
      </c>
      <c r="C33" s="65"/>
      <c r="D33" s="58" t="s">
        <v>283</v>
      </c>
    </row>
    <row r="34">
      <c r="A34" s="119">
        <v>44469.0</v>
      </c>
      <c r="B34" s="65">
        <v>128532.0</v>
      </c>
      <c r="C34" s="65"/>
      <c r="D34" s="58" t="s">
        <v>283</v>
      </c>
    </row>
    <row r="35">
      <c r="A35" s="119">
        <v>44500.0</v>
      </c>
      <c r="B35" s="65"/>
      <c r="C35" s="65">
        <v>-265284.0</v>
      </c>
      <c r="D35" s="58" t="s">
        <v>283</v>
      </c>
    </row>
    <row r="36">
      <c r="A36" s="119">
        <v>44530.0</v>
      </c>
      <c r="B36" s="65"/>
      <c r="C36" s="65">
        <v>-185723.0</v>
      </c>
      <c r="D36" s="58" t="s">
        <v>285</v>
      </c>
    </row>
    <row r="37">
      <c r="A37" s="119">
        <v>44561.0</v>
      </c>
      <c r="B37" s="65"/>
      <c r="C37" s="65">
        <v>-453219.0</v>
      </c>
      <c r="D37" s="58" t="s">
        <v>283</v>
      </c>
    </row>
    <row r="38">
      <c r="A38" s="119">
        <v>44602.0</v>
      </c>
      <c r="B38" s="65">
        <v>23852.0</v>
      </c>
      <c r="C38" s="65"/>
      <c r="D38" s="58" t="s">
        <v>283</v>
      </c>
    </row>
    <row r="39">
      <c r="A39" s="119">
        <v>44622.0</v>
      </c>
      <c r="B39" s="65">
        <v>123845.0</v>
      </c>
      <c r="C39" s="65"/>
      <c r="D39" s="58" t="s">
        <v>283</v>
      </c>
    </row>
    <row r="40">
      <c r="A40" s="119">
        <v>44657.0</v>
      </c>
      <c r="B40" s="65">
        <v>102548.0</v>
      </c>
      <c r="C40" s="65"/>
      <c r="D40" s="58" t="s">
        <v>283</v>
      </c>
    </row>
    <row r="41">
      <c r="A41" s="119">
        <v>44685.0</v>
      </c>
      <c r="B41" s="65">
        <v>29320.0</v>
      </c>
      <c r="C41" s="65"/>
      <c r="D41" s="58" t="s">
        <v>283</v>
      </c>
    </row>
    <row r="42">
      <c r="A42" s="119">
        <v>44713.0</v>
      </c>
      <c r="B42" s="65"/>
      <c r="C42" s="65">
        <v>-72391.0</v>
      </c>
      <c r="D42" s="58" t="s">
        <v>283</v>
      </c>
    </row>
    <row r="43">
      <c r="A43" s="119">
        <v>44748.0</v>
      </c>
      <c r="B43" s="65">
        <v>-15302.0</v>
      </c>
      <c r="C43" s="65"/>
      <c r="D43" s="58" t="s">
        <v>284</v>
      </c>
    </row>
    <row r="44">
      <c r="A44" s="119">
        <v>44782.0</v>
      </c>
      <c r="B44" s="65">
        <v>265823.0</v>
      </c>
      <c r="C44" s="65"/>
      <c r="D44" s="58" t="s">
        <v>283</v>
      </c>
    </row>
    <row r="45">
      <c r="A45" s="119">
        <v>44825.0</v>
      </c>
      <c r="B45" s="65">
        <v>123854.0</v>
      </c>
      <c r="C45" s="65"/>
      <c r="D45" s="58" t="s">
        <v>283</v>
      </c>
    </row>
    <row r="46">
      <c r="A46" s="119">
        <v>44860.0</v>
      </c>
      <c r="B46" s="65">
        <v>275923.0</v>
      </c>
      <c r="C46" s="65"/>
      <c r="D46" s="58" t="s">
        <v>283</v>
      </c>
    </row>
    <row r="47">
      <c r="A47" s="119">
        <v>44887.0</v>
      </c>
      <c r="B47" s="65">
        <v>482328.0</v>
      </c>
      <c r="C47" s="65"/>
      <c r="D47" s="58" t="s">
        <v>283</v>
      </c>
    </row>
    <row r="48">
      <c r="A48" s="119">
        <v>44924.0</v>
      </c>
      <c r="B48" s="65">
        <v>512929.0</v>
      </c>
      <c r="C48" s="65"/>
      <c r="D48" s="58" t="s">
        <v>283</v>
      </c>
    </row>
    <row r="49">
      <c r="A49" s="119">
        <v>44950.0</v>
      </c>
      <c r="B49" s="65"/>
      <c r="C49" s="65">
        <v>-238542.0</v>
      </c>
      <c r="D49" s="58" t="s">
        <v>286</v>
      </c>
    </row>
    <row r="50">
      <c r="A50" s="119">
        <v>44985.0</v>
      </c>
      <c r="B50" s="65"/>
      <c r="C50" s="65">
        <v>-172391.0</v>
      </c>
      <c r="D50" s="58" t="s">
        <v>286</v>
      </c>
    </row>
    <row r="51">
      <c r="A51" s="119">
        <v>45015.0</v>
      </c>
      <c r="B51" s="65"/>
      <c r="C51" s="65">
        <v>-254712.0</v>
      </c>
      <c r="D51" s="58" t="s">
        <v>286</v>
      </c>
    </row>
    <row r="52">
      <c r="A52" s="119">
        <v>45043.0</v>
      </c>
      <c r="B52" s="65"/>
      <c r="C52" s="65">
        <v>-184593.0</v>
      </c>
      <c r="D52" s="58" t="s">
        <v>286</v>
      </c>
    </row>
    <row r="53">
      <c r="A53" s="119">
        <v>45077.0</v>
      </c>
      <c r="B53" s="65"/>
      <c r="C53" s="65">
        <v>-73850.0</v>
      </c>
      <c r="D53" s="58" t="s">
        <v>286</v>
      </c>
    </row>
    <row r="54">
      <c r="A54" s="119">
        <v>45107.0</v>
      </c>
      <c r="B54" s="65"/>
      <c r="C54" s="65">
        <v>-72392.0</v>
      </c>
      <c r="D54" s="58" t="s">
        <v>286</v>
      </c>
    </row>
    <row r="55">
      <c r="A55" s="119">
        <v>45134.0</v>
      </c>
      <c r="B55" s="65"/>
      <c r="C55" s="65">
        <v>-42732.0</v>
      </c>
      <c r="D55" s="58" t="s">
        <v>286</v>
      </c>
    </row>
    <row r="56">
      <c r="A56" s="119">
        <v>45169.0</v>
      </c>
      <c r="B56" s="65"/>
      <c r="C56" s="65">
        <v>-123623.0</v>
      </c>
      <c r="D56" s="58" t="s">
        <v>286</v>
      </c>
    </row>
    <row r="57">
      <c r="A57" s="119">
        <v>45198.0</v>
      </c>
      <c r="B57" s="65"/>
      <c r="C57" s="65">
        <v>-162481.0</v>
      </c>
      <c r="D57" s="58" t="s">
        <v>286</v>
      </c>
    </row>
    <row r="58">
      <c r="A58" s="119">
        <v>45230.0</v>
      </c>
      <c r="B58" s="65"/>
      <c r="C58" s="65">
        <v>-285423.0</v>
      </c>
      <c r="D58" s="58" t="s">
        <v>286</v>
      </c>
    </row>
    <row r="59">
      <c r="A59" s="119">
        <v>45260.0</v>
      </c>
      <c r="B59" s="65"/>
      <c r="C59" s="65">
        <v>-124713.0</v>
      </c>
      <c r="D59" s="58" t="s">
        <v>286</v>
      </c>
    </row>
    <row r="60">
      <c r="A60" s="119">
        <v>45290.0</v>
      </c>
      <c r="B60" s="65"/>
      <c r="C60" s="65">
        <v>-321491.0</v>
      </c>
      <c r="D60" s="58" t="s">
        <v>287</v>
      </c>
    </row>
    <row r="61">
      <c r="A61" s="119"/>
      <c r="B61" s="65"/>
      <c r="C61" s="65"/>
      <c r="D61" s="65"/>
    </row>
    <row r="62">
      <c r="A62" s="119"/>
      <c r="B62" s="65"/>
      <c r="C62" s="65"/>
      <c r="D62" s="65"/>
    </row>
    <row r="63">
      <c r="A63" s="119"/>
      <c r="B63" s="65"/>
      <c r="C63" s="65"/>
      <c r="D63" s="65"/>
    </row>
    <row r="64">
      <c r="A64" s="119"/>
      <c r="B64" s="65"/>
      <c r="C64" s="65"/>
      <c r="D64" s="65"/>
    </row>
    <row r="65">
      <c r="A65" s="119"/>
      <c r="B65" s="65"/>
      <c r="C65" s="65"/>
      <c r="D65" s="65"/>
    </row>
    <row r="66">
      <c r="A66" s="119"/>
      <c r="B66" s="65"/>
      <c r="C66" s="65"/>
      <c r="D66" s="65"/>
    </row>
    <row r="67">
      <c r="A67" s="123"/>
      <c r="B67" s="65"/>
    </row>
  </sheetData>
  <drawing r:id="rId1"/>
</worksheet>
</file>