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.D\"/>
    </mc:Choice>
  </mc:AlternateContent>
  <bookViews>
    <workbookView xWindow="0" yWindow="0" windowWidth="15345" windowHeight="5940" activeTab="4"/>
  </bookViews>
  <sheets>
    <sheet name="RIDGE1" sheetId="8" r:id="rId1"/>
    <sheet name="CUTOFF1" sheetId="9" r:id="rId2"/>
    <sheet name="ZONAL1" sheetId="10" r:id="rId3"/>
    <sheet name="TROUGH1" sheetId="11" r:id="rId4"/>
    <sheet name="Ensemble 1" sheetId="1" r:id="rId5"/>
    <sheet name="RIDGE2" sheetId="12" r:id="rId6"/>
    <sheet name="CUTOFF2" sheetId="13" r:id="rId7"/>
    <sheet name="ZONAL2" sheetId="14" r:id="rId8"/>
    <sheet name="TROUGH2" sheetId="15" r:id="rId9"/>
    <sheet name="Ensemble 2" sheetId="7" r:id="rId10"/>
  </sheets>
  <externalReferences>
    <externalReference r:id="rId11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5" l="1"/>
  <c r="C5" i="14"/>
  <c r="C5" i="13"/>
  <c r="C5" i="12"/>
  <c r="C5" i="11"/>
  <c r="C5" i="10"/>
  <c r="C5" i="9"/>
  <c r="C5" i="8"/>
  <c r="C147" i="1" l="1"/>
  <c r="C146" i="1"/>
  <c r="C145" i="1"/>
  <c r="C144" i="1"/>
  <c r="C143" i="1"/>
  <c r="C142" i="1"/>
  <c r="C141" i="1"/>
  <c r="H90" i="1"/>
  <c r="G90" i="1"/>
  <c r="F90" i="1"/>
  <c r="E90" i="1"/>
  <c r="D90" i="1"/>
  <c r="C90" i="1"/>
  <c r="B90" i="1"/>
  <c r="H89" i="1"/>
  <c r="G89" i="1"/>
  <c r="F89" i="1"/>
  <c r="B146" i="1" s="1"/>
  <c r="E89" i="1"/>
  <c r="D89" i="1"/>
  <c r="C89" i="1"/>
  <c r="B89" i="1"/>
  <c r="H88" i="1"/>
  <c r="G88" i="1"/>
  <c r="F88" i="1"/>
  <c r="E88" i="1"/>
  <c r="D88" i="1"/>
  <c r="C88" i="1"/>
  <c r="B88" i="1"/>
  <c r="H87" i="1"/>
  <c r="G87" i="1"/>
  <c r="F87" i="1"/>
  <c r="E87" i="1"/>
  <c r="D87" i="1"/>
  <c r="C87" i="1"/>
  <c r="B87" i="1"/>
  <c r="H86" i="1"/>
  <c r="G86" i="1"/>
  <c r="F86" i="1"/>
  <c r="E86" i="1"/>
  <c r="D86" i="1"/>
  <c r="C86" i="1"/>
  <c r="B86" i="1"/>
  <c r="B143" i="1" s="1"/>
  <c r="H85" i="1"/>
  <c r="G85" i="1"/>
  <c r="F85" i="1"/>
  <c r="E85" i="1"/>
  <c r="D85" i="1"/>
  <c r="C85" i="1"/>
  <c r="B85" i="1"/>
  <c r="B142" i="1" s="1"/>
  <c r="H84" i="1"/>
  <c r="G84" i="1"/>
  <c r="F84" i="1"/>
  <c r="E84" i="1"/>
  <c r="D84" i="1"/>
  <c r="C84" i="1"/>
  <c r="B84" i="1"/>
  <c r="B141" i="1" s="1"/>
  <c r="B147" i="1" l="1"/>
  <c r="B145" i="1"/>
  <c r="B144" i="1"/>
  <c r="C140" i="1"/>
  <c r="C139" i="1"/>
  <c r="C138" i="1"/>
  <c r="C137" i="1"/>
  <c r="C136" i="1"/>
  <c r="C135" i="1"/>
  <c r="C134" i="1"/>
  <c r="H83" i="1"/>
  <c r="G83" i="1"/>
  <c r="F83" i="1"/>
  <c r="E83" i="1"/>
  <c r="D83" i="1"/>
  <c r="C83" i="1"/>
  <c r="B83" i="1"/>
  <c r="B140" i="1" s="1"/>
  <c r="H82" i="1"/>
  <c r="G82" i="1"/>
  <c r="F82" i="1"/>
  <c r="E82" i="1"/>
  <c r="D82" i="1"/>
  <c r="C82" i="1"/>
  <c r="B82" i="1"/>
  <c r="B139" i="1" s="1"/>
  <c r="H81" i="1"/>
  <c r="G81" i="1"/>
  <c r="F81" i="1"/>
  <c r="E81" i="1"/>
  <c r="D81" i="1"/>
  <c r="C81" i="1"/>
  <c r="B81" i="1"/>
  <c r="H80" i="1"/>
  <c r="G80" i="1"/>
  <c r="F80" i="1"/>
  <c r="E80" i="1"/>
  <c r="D80" i="1"/>
  <c r="C80" i="1"/>
  <c r="B80" i="1"/>
  <c r="H79" i="1"/>
  <c r="G79" i="1"/>
  <c r="E79" i="1"/>
  <c r="D79" i="1"/>
  <c r="C79" i="1"/>
  <c r="B79" i="1"/>
  <c r="H78" i="1"/>
  <c r="G78" i="1"/>
  <c r="E78" i="1"/>
  <c r="D78" i="1"/>
  <c r="C78" i="1"/>
  <c r="B78" i="1"/>
  <c r="B135" i="1" s="1"/>
  <c r="H77" i="1"/>
  <c r="G77" i="1"/>
  <c r="F77" i="1"/>
  <c r="E77" i="1"/>
  <c r="D77" i="1"/>
  <c r="C77" i="1"/>
  <c r="B77" i="1"/>
  <c r="F78" i="1"/>
  <c r="F79" i="1"/>
  <c r="B137" i="1" l="1"/>
  <c r="B134" i="1"/>
  <c r="B136" i="1"/>
  <c r="B138" i="1"/>
  <c r="H6" i="7"/>
  <c r="G6" i="7"/>
  <c r="F6" i="7"/>
  <c r="C62" i="7" s="1"/>
  <c r="E6" i="7"/>
  <c r="D6" i="7"/>
  <c r="C6" i="7"/>
  <c r="B6" i="7"/>
  <c r="B62" i="7" s="1"/>
  <c r="F55" i="7" l="1"/>
  <c r="C111" i="7" s="1"/>
  <c r="H55" i="7"/>
  <c r="G55" i="7"/>
  <c r="E55" i="7"/>
  <c r="D55" i="7"/>
  <c r="C55" i="7"/>
  <c r="B55" i="7"/>
  <c r="B111" i="7" s="1"/>
  <c r="H54" i="7"/>
  <c r="G54" i="7"/>
  <c r="F54" i="7"/>
  <c r="C110" i="7" s="1"/>
  <c r="E54" i="7"/>
  <c r="D54" i="7"/>
  <c r="C54" i="7"/>
  <c r="B54" i="7"/>
  <c r="B110" i="7" s="1"/>
  <c r="H53" i="7"/>
  <c r="G53" i="7"/>
  <c r="F53" i="7"/>
  <c r="C109" i="7" s="1"/>
  <c r="E53" i="7"/>
  <c r="D53" i="7"/>
  <c r="C53" i="7"/>
  <c r="B53" i="7"/>
  <c r="B109" i="7" s="1"/>
  <c r="H52" i="7"/>
  <c r="G52" i="7"/>
  <c r="F52" i="7"/>
  <c r="C108" i="7" s="1"/>
  <c r="E52" i="7"/>
  <c r="D52" i="7"/>
  <c r="C52" i="7"/>
  <c r="B52" i="7"/>
  <c r="B108" i="7" s="1"/>
  <c r="C98" i="1" l="1"/>
  <c r="H41" i="1"/>
  <c r="G41" i="1"/>
  <c r="F41" i="1"/>
  <c r="E41" i="1"/>
  <c r="D41" i="1"/>
  <c r="B98" i="1" s="1"/>
  <c r="C41" i="1"/>
  <c r="B41" i="1"/>
  <c r="D42" i="1"/>
  <c r="H51" i="7" l="1"/>
  <c r="G51" i="7"/>
  <c r="F51" i="7"/>
  <c r="C107" i="7" s="1"/>
  <c r="E51" i="7"/>
  <c r="D51" i="7"/>
  <c r="C51" i="7"/>
  <c r="B51" i="7"/>
  <c r="H50" i="7"/>
  <c r="G50" i="7"/>
  <c r="F50" i="7"/>
  <c r="C106" i="7" s="1"/>
  <c r="E50" i="7"/>
  <c r="D50" i="7"/>
  <c r="C50" i="7"/>
  <c r="B50" i="7"/>
  <c r="H49" i="7"/>
  <c r="G49" i="7"/>
  <c r="F49" i="7"/>
  <c r="C105" i="7" s="1"/>
  <c r="E49" i="7"/>
  <c r="D49" i="7"/>
  <c r="C49" i="7"/>
  <c r="B49" i="7"/>
  <c r="H48" i="7"/>
  <c r="G48" i="7"/>
  <c r="F48" i="7"/>
  <c r="C104" i="7" s="1"/>
  <c r="E48" i="7"/>
  <c r="D48" i="7"/>
  <c r="C48" i="7"/>
  <c r="B48" i="7"/>
  <c r="H47" i="7"/>
  <c r="G47" i="7"/>
  <c r="F47" i="7"/>
  <c r="C103" i="7" s="1"/>
  <c r="E47" i="7"/>
  <c r="D47" i="7"/>
  <c r="C47" i="7"/>
  <c r="B47" i="7"/>
  <c r="H46" i="7"/>
  <c r="G46" i="7"/>
  <c r="F46" i="7"/>
  <c r="C102" i="7" s="1"/>
  <c r="E46" i="7"/>
  <c r="D46" i="7"/>
  <c r="C46" i="7"/>
  <c r="B46" i="7"/>
  <c r="H45" i="7"/>
  <c r="G45" i="7"/>
  <c r="F45" i="7"/>
  <c r="C101" i="7" s="1"/>
  <c r="E45" i="7"/>
  <c r="D45" i="7"/>
  <c r="C45" i="7"/>
  <c r="B45" i="7"/>
  <c r="B101" i="7" s="1"/>
  <c r="H44" i="7"/>
  <c r="G44" i="7"/>
  <c r="F44" i="7"/>
  <c r="C100" i="7" s="1"/>
  <c r="E44" i="7"/>
  <c r="D44" i="7"/>
  <c r="C44" i="7"/>
  <c r="B44" i="7"/>
  <c r="B100" i="7" s="1"/>
  <c r="H43" i="7"/>
  <c r="G43" i="7"/>
  <c r="F43" i="7"/>
  <c r="C99" i="7" s="1"/>
  <c r="E43" i="7"/>
  <c r="D43" i="7"/>
  <c r="C43" i="7"/>
  <c r="B43" i="7"/>
  <c r="B99" i="7" s="1"/>
  <c r="H42" i="7"/>
  <c r="G42" i="7"/>
  <c r="F42" i="7"/>
  <c r="C98" i="7" s="1"/>
  <c r="E42" i="7"/>
  <c r="D42" i="7"/>
  <c r="C42" i="7"/>
  <c r="B42" i="7"/>
  <c r="B107" i="7" l="1"/>
  <c r="B106" i="7"/>
  <c r="B105" i="7"/>
  <c r="B98" i="7"/>
  <c r="B104" i="7"/>
  <c r="B103" i="7"/>
  <c r="B102" i="7"/>
  <c r="H41" i="7"/>
  <c r="G41" i="7"/>
  <c r="F41" i="7"/>
  <c r="C97" i="7" s="1"/>
  <c r="E41" i="7"/>
  <c r="H40" i="7"/>
  <c r="G40" i="7"/>
  <c r="F40" i="7"/>
  <c r="C96" i="7" s="1"/>
  <c r="E40" i="7"/>
  <c r="E38" i="7"/>
  <c r="H39" i="7"/>
  <c r="G39" i="7"/>
  <c r="E39" i="7"/>
  <c r="H38" i="7"/>
  <c r="G38" i="7"/>
  <c r="H37" i="7"/>
  <c r="G37" i="7"/>
  <c r="E37" i="7"/>
  <c r="H36" i="7"/>
  <c r="G36" i="7"/>
  <c r="E36" i="7"/>
  <c r="H35" i="7"/>
  <c r="G35" i="7"/>
  <c r="E35" i="7"/>
  <c r="H34" i="7"/>
  <c r="G34" i="7"/>
  <c r="E34" i="7"/>
  <c r="H33" i="7"/>
  <c r="G33" i="7"/>
  <c r="E33" i="7"/>
  <c r="H32" i="7"/>
  <c r="G32" i="7"/>
  <c r="E32" i="7"/>
  <c r="H31" i="7"/>
  <c r="G31" i="7"/>
  <c r="E31" i="7"/>
  <c r="H30" i="7"/>
  <c r="G30" i="7"/>
  <c r="E30" i="7"/>
  <c r="H29" i="7"/>
  <c r="G29" i="7"/>
  <c r="E29" i="7"/>
  <c r="H28" i="7"/>
  <c r="G28" i="7"/>
  <c r="E28" i="7"/>
  <c r="H27" i="7"/>
  <c r="G27" i="7"/>
  <c r="E27" i="7"/>
  <c r="H26" i="7"/>
  <c r="G26" i="7"/>
  <c r="E26" i="7"/>
  <c r="H25" i="7"/>
  <c r="G25" i="7"/>
  <c r="E25" i="7"/>
  <c r="H24" i="7"/>
  <c r="G24" i="7"/>
  <c r="E24" i="7"/>
  <c r="H23" i="7"/>
  <c r="G23" i="7"/>
  <c r="E23" i="7"/>
  <c r="H22" i="7"/>
  <c r="G22" i="7"/>
  <c r="E22" i="7"/>
  <c r="H21" i="7"/>
  <c r="G21" i="7"/>
  <c r="E21" i="7"/>
  <c r="H20" i="7"/>
  <c r="G20" i="7"/>
  <c r="E20" i="7"/>
  <c r="H19" i="7"/>
  <c r="G19" i="7"/>
  <c r="E19" i="7"/>
  <c r="H18" i="7"/>
  <c r="G18" i="7"/>
  <c r="E18" i="7"/>
  <c r="H17" i="7"/>
  <c r="G17" i="7"/>
  <c r="E17" i="7"/>
  <c r="H16" i="7"/>
  <c r="G16" i="7"/>
  <c r="E16" i="7"/>
  <c r="H15" i="7"/>
  <c r="G15" i="7"/>
  <c r="E15" i="7"/>
  <c r="H14" i="7"/>
  <c r="G14" i="7"/>
  <c r="E14" i="7"/>
  <c r="H13" i="7"/>
  <c r="G13" i="7"/>
  <c r="E13" i="7"/>
  <c r="H12" i="7"/>
  <c r="G12" i="7"/>
  <c r="E12" i="7"/>
  <c r="H11" i="7"/>
  <c r="G11" i="7"/>
  <c r="E11" i="7"/>
  <c r="H10" i="7"/>
  <c r="G10" i="7"/>
  <c r="E10" i="7"/>
  <c r="H9" i="7"/>
  <c r="G9" i="7"/>
  <c r="E9" i="7"/>
  <c r="H8" i="7"/>
  <c r="G8" i="7"/>
  <c r="E8" i="7"/>
  <c r="F39" i="7" l="1"/>
  <c r="C95" i="7" s="1"/>
  <c r="F38" i="7"/>
  <c r="C94" i="7" s="1"/>
  <c r="F37" i="7"/>
  <c r="C93" i="7" s="1"/>
  <c r="F36" i="7"/>
  <c r="C92" i="7" s="1"/>
  <c r="F35" i="7"/>
  <c r="C91" i="7" s="1"/>
  <c r="F34" i="7"/>
  <c r="C90" i="7" s="1"/>
  <c r="F33" i="7"/>
  <c r="C89" i="7" s="1"/>
  <c r="F32" i="7"/>
  <c r="C88" i="7" s="1"/>
  <c r="F31" i="7"/>
  <c r="C87" i="7" s="1"/>
  <c r="F30" i="7"/>
  <c r="C86" i="7" s="1"/>
  <c r="F29" i="7"/>
  <c r="C85" i="7" s="1"/>
  <c r="F28" i="7"/>
  <c r="C84" i="7" s="1"/>
  <c r="F27" i="7"/>
  <c r="C83" i="7" s="1"/>
  <c r="F25" i="7"/>
  <c r="C81" i="7" s="1"/>
  <c r="F24" i="7"/>
  <c r="C80" i="7" s="1"/>
  <c r="F23" i="7"/>
  <c r="C79" i="7" s="1"/>
  <c r="F22" i="7"/>
  <c r="C78" i="7" s="1"/>
  <c r="F21" i="7"/>
  <c r="C77" i="7" s="1"/>
  <c r="F20" i="7"/>
  <c r="C76" i="7" s="1"/>
  <c r="F19" i="7"/>
  <c r="C75" i="7" s="1"/>
  <c r="F18" i="7"/>
  <c r="C74" i="7" s="1"/>
  <c r="F17" i="7"/>
  <c r="C73" i="7" s="1"/>
  <c r="F16" i="7"/>
  <c r="C72" i="7" s="1"/>
  <c r="F15" i="7"/>
  <c r="C71" i="7" s="1"/>
  <c r="F14" i="7"/>
  <c r="C70" i="7" s="1"/>
  <c r="F13" i="7"/>
  <c r="C69" i="7" s="1"/>
  <c r="F12" i="7"/>
  <c r="C68" i="7" s="1"/>
  <c r="F11" i="7"/>
  <c r="C67" i="7" s="1"/>
  <c r="F10" i="7"/>
  <c r="C66" i="7" s="1"/>
  <c r="F9" i="7"/>
  <c r="C65" i="7" s="1"/>
  <c r="F8" i="7"/>
  <c r="C64" i="7" s="1"/>
  <c r="F26" i="7"/>
  <c r="C82" i="7" s="1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3" i="7"/>
  <c r="D12" i="7"/>
  <c r="D11" i="7"/>
  <c r="D10" i="7"/>
  <c r="D9" i="7"/>
  <c r="D8" i="7"/>
  <c r="D14" i="7"/>
  <c r="E62" i="1"/>
  <c r="C41" i="7"/>
  <c r="C40" i="7"/>
  <c r="C38" i="7"/>
  <c r="C37" i="7"/>
  <c r="C36" i="7"/>
  <c r="C35" i="7"/>
  <c r="C34" i="7"/>
  <c r="C33" i="7"/>
  <c r="C32" i="7"/>
  <c r="C31" i="7"/>
  <c r="C30" i="7"/>
  <c r="C29" i="7"/>
  <c r="B29" i="7"/>
  <c r="B85" i="7" s="1"/>
  <c r="C28" i="7"/>
  <c r="C27" i="7"/>
  <c r="B27" i="7"/>
  <c r="B26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39" i="7"/>
  <c r="B41" i="7"/>
  <c r="B40" i="7"/>
  <c r="B96" i="7" s="1"/>
  <c r="B39" i="7"/>
  <c r="B95" i="7" s="1"/>
  <c r="B38" i="7"/>
  <c r="B94" i="7" s="1"/>
  <c r="B37" i="7"/>
  <c r="B36" i="7"/>
  <c r="B92" i="7" s="1"/>
  <c r="B35" i="7"/>
  <c r="B34" i="7"/>
  <c r="B90" i="7" s="1"/>
  <c r="B33" i="7"/>
  <c r="B32" i="7"/>
  <c r="B88" i="7" s="1"/>
  <c r="B31" i="7"/>
  <c r="B87" i="7" s="1"/>
  <c r="B30" i="7"/>
  <c r="B86" i="7" s="1"/>
  <c r="B28" i="7"/>
  <c r="B84" i="7" s="1"/>
  <c r="B25" i="7"/>
  <c r="B24" i="7"/>
  <c r="B80" i="7" s="1"/>
  <c r="B23" i="7"/>
  <c r="B79" i="7" s="1"/>
  <c r="B22" i="7"/>
  <c r="B78" i="7" s="1"/>
  <c r="B21" i="7"/>
  <c r="B19" i="7"/>
  <c r="B18" i="7"/>
  <c r="B17" i="7"/>
  <c r="B16" i="7"/>
  <c r="B72" i="7" s="1"/>
  <c r="B15" i="7"/>
  <c r="B71" i="7" s="1"/>
  <c r="B14" i="7"/>
  <c r="B70" i="7" s="1"/>
  <c r="B13" i="7"/>
  <c r="B69" i="7" s="1"/>
  <c r="B12" i="7"/>
  <c r="B11" i="7"/>
  <c r="B10" i="7"/>
  <c r="B9" i="7"/>
  <c r="B8" i="7"/>
  <c r="B20" i="7"/>
  <c r="B76" i="7" s="1"/>
  <c r="E7" i="7"/>
  <c r="D7" i="7"/>
  <c r="B64" i="7" l="1"/>
  <c r="B81" i="7"/>
  <c r="B65" i="7"/>
  <c r="B73" i="7"/>
  <c r="B93" i="7"/>
  <c r="B74" i="7"/>
  <c r="B77" i="7"/>
  <c r="B68" i="7"/>
  <c r="B89" i="7"/>
  <c r="B91" i="7"/>
  <c r="B82" i="7"/>
  <c r="B66" i="7"/>
  <c r="B83" i="7"/>
  <c r="B67" i="7"/>
  <c r="B75" i="7"/>
  <c r="B97" i="7"/>
  <c r="F7" i="7"/>
  <c r="C63" i="7" s="1"/>
  <c r="H7" i="7"/>
  <c r="G7" i="7"/>
  <c r="B7" i="7"/>
  <c r="B63" i="7" s="1"/>
  <c r="G33" i="1" l="1"/>
  <c r="F33" i="1"/>
  <c r="E33" i="1"/>
  <c r="D33" i="1"/>
  <c r="C33" i="1"/>
  <c r="B33" i="1"/>
  <c r="C133" i="1" l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A100" i="1" l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H76" i="1" l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91" i="1" l="1"/>
  <c r="G91" i="1"/>
  <c r="H91" i="1"/>
  <c r="F93" i="1"/>
  <c r="H93" i="1"/>
  <c r="G93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91" i="1" l="1"/>
  <c r="E91" i="1"/>
  <c r="E93" i="1"/>
  <c r="D93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2" i="1"/>
  <c r="C43" i="1"/>
  <c r="B76" i="1"/>
  <c r="B133" i="1" s="1"/>
  <c r="B75" i="1"/>
  <c r="B132" i="1" s="1"/>
  <c r="B74" i="1"/>
  <c r="B131" i="1" s="1"/>
  <c r="B73" i="1"/>
  <c r="B130" i="1" s="1"/>
  <c r="B72" i="1"/>
  <c r="B129" i="1" s="1"/>
  <c r="B71" i="1"/>
  <c r="B128" i="1" s="1"/>
  <c r="B70" i="1"/>
  <c r="B127" i="1" s="1"/>
  <c r="B69" i="1"/>
  <c r="B126" i="1" s="1"/>
  <c r="B68" i="1"/>
  <c r="B125" i="1" s="1"/>
  <c r="B67" i="1"/>
  <c r="B124" i="1" s="1"/>
  <c r="B66" i="1"/>
  <c r="B123" i="1" s="1"/>
  <c r="B65" i="1"/>
  <c r="B122" i="1" s="1"/>
  <c r="B64" i="1"/>
  <c r="B121" i="1" s="1"/>
  <c r="B63" i="1"/>
  <c r="B120" i="1" s="1"/>
  <c r="B62" i="1"/>
  <c r="B119" i="1" s="1"/>
  <c r="B61" i="1"/>
  <c r="B118" i="1" s="1"/>
  <c r="B60" i="1"/>
  <c r="B117" i="1" s="1"/>
  <c r="B59" i="1"/>
  <c r="B116" i="1" s="1"/>
  <c r="B58" i="1"/>
  <c r="B115" i="1" s="1"/>
  <c r="B57" i="1"/>
  <c r="B114" i="1" s="1"/>
  <c r="B56" i="1"/>
  <c r="B113" i="1" s="1"/>
  <c r="B55" i="1"/>
  <c r="B112" i="1" s="1"/>
  <c r="B54" i="1"/>
  <c r="B111" i="1" s="1"/>
  <c r="B53" i="1"/>
  <c r="B110" i="1" s="1"/>
  <c r="B52" i="1"/>
  <c r="B109" i="1" s="1"/>
  <c r="B51" i="1"/>
  <c r="B108" i="1" s="1"/>
  <c r="B50" i="1"/>
  <c r="B107" i="1" s="1"/>
  <c r="B49" i="1"/>
  <c r="B106" i="1" s="1"/>
  <c r="B48" i="1"/>
  <c r="B105" i="1" s="1"/>
  <c r="B47" i="1"/>
  <c r="B104" i="1" s="1"/>
  <c r="B46" i="1"/>
  <c r="B103" i="1" s="1"/>
  <c r="B45" i="1"/>
  <c r="B102" i="1" s="1"/>
  <c r="B44" i="1"/>
  <c r="B101" i="1" s="1"/>
  <c r="B43" i="1"/>
  <c r="B100" i="1" s="1"/>
  <c r="B42" i="1"/>
  <c r="B99" i="1" s="1"/>
  <c r="B91" i="1" l="1"/>
  <c r="C91" i="1"/>
  <c r="C93" i="1"/>
  <c r="B93" i="1"/>
  <c r="H32" i="1" l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B26" i="1"/>
  <c r="H25" i="1"/>
  <c r="G25" i="1"/>
  <c r="F25" i="1"/>
  <c r="E25" i="1"/>
  <c r="D25" i="1"/>
  <c r="C25" i="1"/>
  <c r="B25" i="1"/>
  <c r="H24" i="1"/>
  <c r="G24" i="1"/>
  <c r="F24" i="1"/>
  <c r="E24" i="1"/>
  <c r="D24" i="1"/>
  <c r="C24" i="1"/>
  <c r="B24" i="1"/>
  <c r="H23" i="1"/>
  <c r="G23" i="1"/>
  <c r="F23" i="1"/>
  <c r="E23" i="1"/>
  <c r="D23" i="1"/>
  <c r="C23" i="1"/>
  <c r="B23" i="1"/>
  <c r="H22" i="1"/>
  <c r="G22" i="1"/>
  <c r="F22" i="1"/>
  <c r="E22" i="1"/>
  <c r="D22" i="1"/>
  <c r="C22" i="1"/>
  <c r="B22" i="1"/>
  <c r="H21" i="1"/>
  <c r="G21" i="1"/>
  <c r="F21" i="1"/>
  <c r="E21" i="1"/>
  <c r="D21" i="1"/>
  <c r="C21" i="1"/>
  <c r="B21" i="1"/>
  <c r="H20" i="1"/>
  <c r="G20" i="1"/>
  <c r="F20" i="1"/>
  <c r="E20" i="1"/>
  <c r="D20" i="1"/>
  <c r="C20" i="1"/>
  <c r="B20" i="1"/>
  <c r="H19" i="1"/>
  <c r="G19" i="1"/>
  <c r="F19" i="1"/>
  <c r="E19" i="1"/>
  <c r="D19" i="1"/>
  <c r="C19" i="1"/>
  <c r="B19" i="1"/>
  <c r="H18" i="1"/>
  <c r="G18" i="1"/>
  <c r="F18" i="1"/>
  <c r="E18" i="1"/>
  <c r="D18" i="1"/>
  <c r="C18" i="1"/>
  <c r="B18" i="1"/>
  <c r="H17" i="1"/>
  <c r="G17" i="1"/>
  <c r="F17" i="1"/>
  <c r="E17" i="1"/>
  <c r="D17" i="1"/>
  <c r="C17" i="1"/>
  <c r="B17" i="1"/>
  <c r="H16" i="1"/>
  <c r="G16" i="1"/>
  <c r="F16" i="1"/>
  <c r="E16" i="1"/>
  <c r="D16" i="1"/>
  <c r="C16" i="1"/>
  <c r="B16" i="1"/>
  <c r="H15" i="1"/>
  <c r="G15" i="1"/>
  <c r="F15" i="1"/>
  <c r="E15" i="1"/>
  <c r="D15" i="1"/>
  <c r="C15" i="1"/>
  <c r="B15" i="1"/>
  <c r="H14" i="1"/>
  <c r="G14" i="1"/>
  <c r="F14" i="1"/>
  <c r="E14" i="1"/>
  <c r="D14" i="1"/>
  <c r="C14" i="1"/>
  <c r="B14" i="1"/>
  <c r="H13" i="1"/>
  <c r="G13" i="1"/>
  <c r="F13" i="1"/>
  <c r="E13" i="1"/>
  <c r="D13" i="1"/>
  <c r="C13" i="1"/>
  <c r="B13" i="1"/>
  <c r="H12" i="1"/>
  <c r="G12" i="1"/>
  <c r="F12" i="1"/>
  <c r="E12" i="1"/>
  <c r="D12" i="1"/>
  <c r="C12" i="1"/>
  <c r="B12" i="1"/>
  <c r="H11" i="1"/>
  <c r="G11" i="1"/>
  <c r="F11" i="1"/>
  <c r="E11" i="1"/>
  <c r="D11" i="1"/>
  <c r="C11" i="1"/>
  <c r="B11" i="1"/>
  <c r="H10" i="1"/>
  <c r="G10" i="1"/>
  <c r="F10" i="1"/>
  <c r="E10" i="1"/>
  <c r="D10" i="1"/>
  <c r="C10" i="1"/>
  <c r="B10" i="1"/>
  <c r="H9" i="1"/>
  <c r="G9" i="1"/>
  <c r="F9" i="1"/>
  <c r="E9" i="1"/>
  <c r="D9" i="1"/>
  <c r="C9" i="1"/>
  <c r="B9" i="1"/>
  <c r="H8" i="1"/>
  <c r="G8" i="1"/>
  <c r="F8" i="1"/>
  <c r="E8" i="1"/>
  <c r="D8" i="1"/>
  <c r="C8" i="1"/>
  <c r="B8" i="1"/>
  <c r="H7" i="1"/>
  <c r="G7" i="1"/>
  <c r="F7" i="1"/>
  <c r="E7" i="1"/>
  <c r="D7" i="1"/>
  <c r="C7" i="1"/>
  <c r="B7" i="1"/>
  <c r="H6" i="1"/>
  <c r="G6" i="1"/>
  <c r="F6" i="1"/>
  <c r="E6" i="1"/>
  <c r="D6" i="1"/>
  <c r="C6" i="1"/>
  <c r="B6" i="1"/>
  <c r="H5" i="1"/>
  <c r="G5" i="1"/>
  <c r="F5" i="1"/>
  <c r="E5" i="1"/>
  <c r="D5" i="1"/>
  <c r="C5" i="1"/>
  <c r="B5" i="1"/>
  <c r="B35" i="1" l="1"/>
  <c r="B34" i="1"/>
  <c r="C34" i="1"/>
  <c r="C35" i="1"/>
  <c r="G34" i="1"/>
  <c r="G35" i="1"/>
  <c r="F35" i="1"/>
  <c r="F34" i="1"/>
  <c r="D34" i="1"/>
  <c r="D35" i="1"/>
  <c r="H35" i="1"/>
  <c r="H34" i="1"/>
  <c r="E34" i="1"/>
  <c r="E35" i="1"/>
</calcChain>
</file>

<file path=xl/sharedStrings.xml><?xml version="1.0" encoding="utf-8"?>
<sst xmlns="http://schemas.openxmlformats.org/spreadsheetml/2006/main" count="262" uniqueCount="56">
  <si>
    <t>Snowfall Year (Oct.-Mar.)</t>
  </si>
  <si>
    <t>Ridge</t>
  </si>
  <si>
    <t>Cutoff Low</t>
  </si>
  <si>
    <t>NW Flow</t>
  </si>
  <si>
    <t>Zonal Flow (WNW/W)</t>
  </si>
  <si>
    <t>SW Trough</t>
  </si>
  <si>
    <t>Split Flow</t>
  </si>
  <si>
    <t xml:space="preserve">AVERAGE % </t>
  </si>
  <si>
    <t>ST DEV</t>
  </si>
  <si>
    <t>Meridional</t>
  </si>
  <si>
    <t>Zonal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</si>
  <si>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</si>
  <si>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</si>
  <si>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</si>
  <si>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</si>
  <si>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</si>
  <si>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</si>
  <si>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</si>
  <si>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</si>
  <si>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</si>
  <si>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</si>
  <si>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</si>
  <si>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</si>
  <si>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</si>
  <si>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</si>
  <si>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</si>
  <si>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</si>
  <si>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</si>
  <si>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</si>
  <si>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</si>
  <si>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</si>
  <si>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</si>
  <si>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</si>
  <si>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</si>
  <si>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</si>
  <si>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N - S</t>
  </si>
  <si>
    <t>AVERAGE % (2016-2050)</t>
  </si>
  <si>
    <t>STDEV (2016-2050)</t>
  </si>
  <si>
    <t>NARR Analysis ONLY (1986-2013)</t>
  </si>
  <si>
    <t>GCM ENSEMBLE #1 RESULTS</t>
  </si>
  <si>
    <t>AVERAGE % (1986-2014)</t>
  </si>
  <si>
    <t>ST DEV (1986-2014)</t>
  </si>
  <si>
    <t>A</t>
  </si>
  <si>
    <t>B</t>
  </si>
  <si>
    <t>C</t>
  </si>
  <si>
    <t>D</t>
  </si>
  <si>
    <t>E</t>
  </si>
  <si>
    <t>500-mb Patterns; NARR Analysis (1986-2014) + GCM ENSEMBLE 1 Analysis (2016-2050)</t>
  </si>
  <si>
    <t>500-mb Patterns; NARR Analysis (1986-2014) + GCM ENSEMBLE 2 Analysis (2016-2050)</t>
  </si>
  <si>
    <t>GCM ENSEMBLE 1</t>
  </si>
  <si>
    <t>GCM ENSEMBLE 2</t>
  </si>
  <si>
    <t>CutOff</t>
  </si>
  <si>
    <t>Split</t>
  </si>
  <si>
    <t>N --&gt; S</t>
  </si>
  <si>
    <t>CY</t>
  </si>
  <si>
    <t xml:space="preserve">Meridional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</si>
</sst>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6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7" borderId="1" xfId="0" applyFill="1" applyBorder="1"/>
    <xf numFmtId="0" fontId="3" fillId="8" borderId="1" xfId="0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0" fontId="0" fillId="9" borderId="2" xfId="0" applyFill="1" applyBorder="1" applyAlignment="1"/>
    <xf numFmtId="0" fontId="0" fillId="0" borderId="1" xfId="0" applyFill="1" applyBorder="1"/>
    <xf numFmtId="164" fontId="2" fillId="10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11" borderId="1" xfId="0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10" borderId="1" xfId="0" applyFont="1" applyFill="1" applyBorder="1" applyAlignment="1">
      <alignment horizontal="center"/>
    </xf>
    <xf numFmtId="164" fontId="10" fillId="0" borderId="0" xfId="0" applyNumberFormat="1" applyFont="1"/>
    <xf numFmtId="0" fontId="0" fillId="0" borderId="1" xfId="0" applyFont="1" applyBorder="1" applyAlignment="1">
      <alignment horizontal="right"/>
    </xf>
    <xf numFmtId="0" fontId="0" fillId="11" borderId="1" xfId="0" applyFont="1" applyFill="1" applyBorder="1" applyAlignment="1">
      <alignment horizontal="right"/>
    </xf>
    <xf numFmtId="1" fontId="0" fillId="0" borderId="1" xfId="0" applyNumberFormat="1" applyFont="1" applyBorder="1" applyAlignment="1"/>
    <xf numFmtId="1" fontId="0" fillId="7" borderId="1" xfId="0" applyNumberFormat="1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Predicted Ridge Frequency (2016-50)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122109174555428"/>
                  <c:y val="-3.53000864409254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'Ensemble 1'!$A$42:$A$76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'Ensemble 1'!$B$42:$B$76</c:f>
              <c:numCache>
                <c:formatCode>0</c:formatCode>
                <c:ptCount val="35"/>
                <c:pt idx="0">
                  <c:v>17.032967032967033</c:v>
                </c:pt>
                <c:pt idx="1">
                  <c:v>18.681318681318682</c:v>
                </c:pt>
                <c:pt idx="2">
                  <c:v>18.681318681318682</c:v>
                </c:pt>
                <c:pt idx="3">
                  <c:v>20.87912087912088</c:v>
                </c:pt>
                <c:pt idx="4">
                  <c:v>15.384615384615385</c:v>
                </c:pt>
                <c:pt idx="5">
                  <c:v>24.725274725274726</c:v>
                </c:pt>
                <c:pt idx="6">
                  <c:v>15.384615384615385</c:v>
                </c:pt>
                <c:pt idx="7">
                  <c:v>21.428571428571427</c:v>
                </c:pt>
                <c:pt idx="8">
                  <c:v>20.87912087912088</c:v>
                </c:pt>
                <c:pt idx="9">
                  <c:v>17.032967032967033</c:v>
                </c:pt>
                <c:pt idx="10">
                  <c:v>14.285714285714285</c:v>
                </c:pt>
                <c:pt idx="11">
                  <c:v>23.626373626373624</c:v>
                </c:pt>
                <c:pt idx="12">
                  <c:v>19.230769230769234</c:v>
                </c:pt>
                <c:pt idx="13">
                  <c:v>20.87912087912088</c:v>
                </c:pt>
                <c:pt idx="14">
                  <c:v>25.274725274725274</c:v>
                </c:pt>
                <c:pt idx="15">
                  <c:v>20.87912087912088</c:v>
                </c:pt>
                <c:pt idx="16">
                  <c:v>29.120879120879124</c:v>
                </c:pt>
                <c:pt idx="17">
                  <c:v>18.681318681318682</c:v>
                </c:pt>
                <c:pt idx="18">
                  <c:v>16.483516483516482</c:v>
                </c:pt>
                <c:pt idx="19">
                  <c:v>23.076923076923077</c:v>
                </c:pt>
                <c:pt idx="20">
                  <c:v>26.373626373626376</c:v>
                </c:pt>
                <c:pt idx="21">
                  <c:v>30.219780219780219</c:v>
                </c:pt>
                <c:pt idx="22">
                  <c:v>31.868131868131865</c:v>
                </c:pt>
                <c:pt idx="23">
                  <c:v>22.527472527472529</c:v>
                </c:pt>
                <c:pt idx="24">
                  <c:v>23.626373626373624</c:v>
                </c:pt>
                <c:pt idx="25">
                  <c:v>26.923076923076923</c:v>
                </c:pt>
                <c:pt idx="26">
                  <c:v>24.175824175824175</c:v>
                </c:pt>
                <c:pt idx="27">
                  <c:v>26.373626373626376</c:v>
                </c:pt>
                <c:pt idx="28">
                  <c:v>21.428571428571427</c:v>
                </c:pt>
                <c:pt idx="29">
                  <c:v>21.428571428571427</c:v>
                </c:pt>
                <c:pt idx="30">
                  <c:v>23.626373626373624</c:v>
                </c:pt>
                <c:pt idx="31">
                  <c:v>16.483516483516482</c:v>
                </c:pt>
                <c:pt idx="32">
                  <c:v>29.670329670329672</c:v>
                </c:pt>
                <c:pt idx="33">
                  <c:v>25.824175824175828</c:v>
                </c:pt>
                <c:pt idx="34">
                  <c:v>21.978021978021978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3-497C-B570-F5356DBBF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265112"/>
        <c:axId val="218265504"/>
      </c:scatterChart>
      <c:valAx>
        <c:axId val="218265112"/>
        <c:scaling>
          <c:orientation val="minMax"/>
          <c:max val="2050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65504"/>
        <c:crosses val="autoZero"/>
        <c:crossBetween val="midCat"/>
      </c:valAx>
      <c:valAx>
        <c:axId val="21826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6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Predicted Zonal Frequency (2016-50)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632202080212328E-2"/>
                  <c:y val="-0.163420568738036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'Ensemble 1'!$A$42:$A$76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'Ensemble 1'!$E$42:$E$76</c:f>
              <c:numCache>
                <c:formatCode>0</c:formatCode>
                <c:ptCount val="35"/>
                <c:pt idx="0">
                  <c:v>29.670329670329672</c:v>
                </c:pt>
                <c:pt idx="1">
                  <c:v>29.120879120879124</c:v>
                </c:pt>
                <c:pt idx="2">
                  <c:v>28.021978021978022</c:v>
                </c:pt>
                <c:pt idx="3">
                  <c:v>25.824175824175828</c:v>
                </c:pt>
                <c:pt idx="4">
                  <c:v>30.76923076923077</c:v>
                </c:pt>
                <c:pt idx="5">
                  <c:v>20.329670329670328</c:v>
                </c:pt>
                <c:pt idx="6">
                  <c:v>24.175824175824175</c:v>
                </c:pt>
                <c:pt idx="7">
                  <c:v>27.472527472527474</c:v>
                </c:pt>
                <c:pt idx="8">
                  <c:v>27.472527472527474</c:v>
                </c:pt>
                <c:pt idx="9">
                  <c:v>26.373626373626376</c:v>
                </c:pt>
                <c:pt idx="10">
                  <c:v>27.472527472527474</c:v>
                </c:pt>
                <c:pt idx="11">
                  <c:v>21.978021978021978</c:v>
                </c:pt>
                <c:pt idx="12">
                  <c:v>24.725274725274726</c:v>
                </c:pt>
                <c:pt idx="13">
                  <c:v>24.175824175824175</c:v>
                </c:pt>
                <c:pt idx="14">
                  <c:v>25.824175824175828</c:v>
                </c:pt>
                <c:pt idx="15">
                  <c:v>23.076923076923077</c:v>
                </c:pt>
                <c:pt idx="16">
                  <c:v>19.230769230769234</c:v>
                </c:pt>
                <c:pt idx="17">
                  <c:v>31.318681318681318</c:v>
                </c:pt>
                <c:pt idx="18">
                  <c:v>13.186813186813188</c:v>
                </c:pt>
                <c:pt idx="19">
                  <c:v>29.120879120879124</c:v>
                </c:pt>
                <c:pt idx="20">
                  <c:v>21.978021978021978</c:v>
                </c:pt>
                <c:pt idx="21">
                  <c:v>23.076923076923077</c:v>
                </c:pt>
                <c:pt idx="22">
                  <c:v>14.835164835164836</c:v>
                </c:pt>
                <c:pt idx="23">
                  <c:v>17.582417582417584</c:v>
                </c:pt>
                <c:pt idx="24">
                  <c:v>18.131868131868131</c:v>
                </c:pt>
                <c:pt idx="25">
                  <c:v>15.384615384615385</c:v>
                </c:pt>
                <c:pt idx="26">
                  <c:v>22.527472527472529</c:v>
                </c:pt>
                <c:pt idx="27">
                  <c:v>20.329670329670328</c:v>
                </c:pt>
                <c:pt idx="28">
                  <c:v>22.527472527472529</c:v>
                </c:pt>
                <c:pt idx="29">
                  <c:v>24.725274725274726</c:v>
                </c:pt>
                <c:pt idx="30">
                  <c:v>20.329670329670328</c:v>
                </c:pt>
                <c:pt idx="31">
                  <c:v>19.780219780219781</c:v>
                </c:pt>
                <c:pt idx="32">
                  <c:v>24.725274725274726</c:v>
                </c:pt>
                <c:pt idx="33">
                  <c:v>22.527472527472529</c:v>
                </c:pt>
                <c:pt idx="34">
                  <c:v>23.626373626373624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F8-42C3-B954-99B0D5AAA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266288"/>
        <c:axId val="218266680"/>
      </c:scatterChart>
      <c:valAx>
        <c:axId val="218266288"/>
        <c:scaling>
          <c:orientation val="minMax"/>
          <c:max val="2050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66680"/>
        <c:crosses val="autoZero"/>
        <c:crossBetween val="midCat"/>
      </c:valAx>
      <c:valAx>
        <c:axId val="21826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6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Predicted Trough Frequency (2016-50)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010404949381332"/>
                  <c:y val="-8.6910384308228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'Ensemble 1'!$A$42:$A$76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'Ensemble 1'!$F$42:$F$76</c:f>
              <c:numCache>
                <c:formatCode>0</c:formatCode>
                <c:ptCount val="35"/>
                <c:pt idx="0">
                  <c:v>15.384615384615385</c:v>
                </c:pt>
                <c:pt idx="1">
                  <c:v>12.087912087912088</c:v>
                </c:pt>
                <c:pt idx="2">
                  <c:v>15.934065934065933</c:v>
                </c:pt>
                <c:pt idx="3">
                  <c:v>18.131868131868131</c:v>
                </c:pt>
                <c:pt idx="4">
                  <c:v>11.538461538461538</c:v>
                </c:pt>
                <c:pt idx="5">
                  <c:v>11.538461538461538</c:v>
                </c:pt>
                <c:pt idx="6">
                  <c:v>15.934065934065933</c:v>
                </c:pt>
                <c:pt idx="7">
                  <c:v>14.285714285714285</c:v>
                </c:pt>
                <c:pt idx="8">
                  <c:v>22.527472527472529</c:v>
                </c:pt>
                <c:pt idx="9">
                  <c:v>18.131868131868131</c:v>
                </c:pt>
                <c:pt idx="10">
                  <c:v>24.725274725274726</c:v>
                </c:pt>
                <c:pt idx="11">
                  <c:v>14.835164835164836</c:v>
                </c:pt>
                <c:pt idx="12">
                  <c:v>28</c:v>
                </c:pt>
                <c:pt idx="13">
                  <c:v>19.230769230769234</c:v>
                </c:pt>
                <c:pt idx="14">
                  <c:v>17.582417582417584</c:v>
                </c:pt>
                <c:pt idx="15">
                  <c:v>19.780219780219781</c:v>
                </c:pt>
                <c:pt idx="16">
                  <c:v>19.230769230769234</c:v>
                </c:pt>
                <c:pt idx="17">
                  <c:v>18.681318681318682</c:v>
                </c:pt>
                <c:pt idx="18">
                  <c:v>35.714285714285715</c:v>
                </c:pt>
                <c:pt idx="19">
                  <c:v>13.186813186813188</c:v>
                </c:pt>
                <c:pt idx="20">
                  <c:v>18.681318681318682</c:v>
                </c:pt>
                <c:pt idx="21">
                  <c:v>18.131868131868131</c:v>
                </c:pt>
                <c:pt idx="22">
                  <c:v>19.230769230769234</c:v>
                </c:pt>
                <c:pt idx="23">
                  <c:v>28.021978021978022</c:v>
                </c:pt>
                <c:pt idx="24">
                  <c:v>19.230769230769234</c:v>
                </c:pt>
                <c:pt idx="25">
                  <c:v>19.230769230769234</c:v>
                </c:pt>
                <c:pt idx="26">
                  <c:v>23.626373626373624</c:v>
                </c:pt>
                <c:pt idx="27">
                  <c:v>19.230769230769234</c:v>
                </c:pt>
                <c:pt idx="28">
                  <c:v>23.076923076923077</c:v>
                </c:pt>
                <c:pt idx="29">
                  <c:v>25.824175824175828</c:v>
                </c:pt>
                <c:pt idx="30">
                  <c:v>19.230769230769234</c:v>
                </c:pt>
                <c:pt idx="31">
                  <c:v>19.780219780219781</c:v>
                </c:pt>
                <c:pt idx="32">
                  <c:v>14.285714285714285</c:v>
                </c:pt>
                <c:pt idx="33">
                  <c:v>17.582417582417584</c:v>
                </c:pt>
                <c:pt idx="34">
                  <c:v>17.582417582417584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2-4AAC-BA06-E4E9C8386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24776"/>
        <c:axId val="249625168"/>
      </c:scatterChart>
      <c:valAx>
        <c:axId val="249624776"/>
        <c:scaling>
          <c:orientation val="minMax"/>
          <c:max val="2050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25168"/>
        <c:crosses val="autoZero"/>
        <c:crossBetween val="midCat"/>
      </c:valAx>
      <c:valAx>
        <c:axId val="24962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24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GCM Ensemble 1: Trends in Meridional vs. Zonal Flows 2015 - 2064</a:t>
            </a:r>
          </a:p>
          <a:p>
            <a:pPr>
              <a:defRPr/>
            </a:pPr>
            <a:r>
              <a:rPr lang="en-US" b="1"/>
              <a:t>Western U.S./Oct. - Mar.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00206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813941686292235"/>
                  <c:y val="-9.452859790603920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0.1191x - 186.56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'Ensemble 1'!$A$99:$A$147</c:f>
              <c:numCache>
                <c:formatCode>General</c:formatCode>
                <c:ptCount val="49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  <c:pt idx="35">
                  <c:v>2051</c:v>
                </c:pt>
                <c:pt idx="36">
                  <c:v>2052</c:v>
                </c:pt>
                <c:pt idx="37">
                  <c:v>2053</c:v>
                </c:pt>
                <c:pt idx="38">
                  <c:v>2054</c:v>
                </c:pt>
                <c:pt idx="39">
                  <c:v>2055</c:v>
                </c:pt>
                <c:pt idx="40">
                  <c:v>2056</c:v>
                </c:pt>
                <c:pt idx="41">
                  <c:v>2057</c:v>
                </c:pt>
                <c:pt idx="42">
                  <c:v>2058</c:v>
                </c:pt>
                <c:pt idx="43">
                  <c:v>2059</c:v>
                </c:pt>
                <c:pt idx="44">
                  <c:v>2060</c:v>
                </c:pt>
                <c:pt idx="45">
                  <c:v>2061</c:v>
                </c:pt>
                <c:pt idx="46">
                  <c:v>2062</c:v>
                </c:pt>
                <c:pt idx="47">
                  <c:v>2063</c:v>
                </c:pt>
                <c:pt idx="48">
                  <c:v>2064</c:v>
                </c:pt>
              </c:numCache>
            </c:numRef>
          </c:xVal>
          <c:yVal>
            <c:numRef>
              <c:f>'Ensemble 1'!$B$99:$B$147</c:f>
              <c:numCache>
                <c:formatCode>0</c:formatCode>
                <c:ptCount val="49"/>
                <c:pt idx="0">
                  <c:v>54.945054945054949</c:v>
                </c:pt>
                <c:pt idx="1">
                  <c:v>54.945054945054949</c:v>
                </c:pt>
                <c:pt idx="2">
                  <c:v>54.945054945054942</c:v>
                </c:pt>
                <c:pt idx="3">
                  <c:v>52.747252747252745</c:v>
                </c:pt>
                <c:pt idx="4">
                  <c:v>45.604395604395606</c:v>
                </c:pt>
                <c:pt idx="5">
                  <c:v>53.296703296703299</c:v>
                </c:pt>
                <c:pt idx="6">
                  <c:v>43.956043956043956</c:v>
                </c:pt>
                <c:pt idx="7">
                  <c:v>48.901098901098898</c:v>
                </c:pt>
                <c:pt idx="8">
                  <c:v>58.241758241758248</c:v>
                </c:pt>
                <c:pt idx="9">
                  <c:v>48.901098901098905</c:v>
                </c:pt>
                <c:pt idx="10">
                  <c:v>53.846153846153847</c:v>
                </c:pt>
                <c:pt idx="11">
                  <c:v>56.593406593406584</c:v>
                </c:pt>
                <c:pt idx="12">
                  <c:v>64.813186813186817</c:v>
                </c:pt>
                <c:pt idx="13">
                  <c:v>59.890109890109891</c:v>
                </c:pt>
                <c:pt idx="14">
                  <c:v>56.593406593406591</c:v>
                </c:pt>
                <c:pt idx="15">
                  <c:v>60.439560439560438</c:v>
                </c:pt>
                <c:pt idx="16">
                  <c:v>59.34065934065935</c:v>
                </c:pt>
                <c:pt idx="17">
                  <c:v>51.64835164835165</c:v>
                </c:pt>
                <c:pt idx="18">
                  <c:v>62.087912087912088</c:v>
                </c:pt>
                <c:pt idx="19">
                  <c:v>57.142857142857146</c:v>
                </c:pt>
                <c:pt idx="20">
                  <c:v>54.945054945054949</c:v>
                </c:pt>
                <c:pt idx="21">
                  <c:v>62.637362637362635</c:v>
                </c:pt>
                <c:pt idx="22">
                  <c:v>60.989010989010985</c:v>
                </c:pt>
                <c:pt idx="23">
                  <c:v>58.241758241758248</c:v>
                </c:pt>
                <c:pt idx="24">
                  <c:v>62.087912087912095</c:v>
                </c:pt>
                <c:pt idx="25">
                  <c:v>56.043956043956051</c:v>
                </c:pt>
                <c:pt idx="26">
                  <c:v>56.043956043956044</c:v>
                </c:pt>
                <c:pt idx="27">
                  <c:v>59.34065934065935</c:v>
                </c:pt>
                <c:pt idx="28">
                  <c:v>49.450549450549445</c:v>
                </c:pt>
                <c:pt idx="29">
                  <c:v>62.087912087912088</c:v>
                </c:pt>
                <c:pt idx="30">
                  <c:v>57.692307692307693</c:v>
                </c:pt>
                <c:pt idx="31">
                  <c:v>46.703296703296701</c:v>
                </c:pt>
                <c:pt idx="32">
                  <c:v>55.494505494505496</c:v>
                </c:pt>
                <c:pt idx="33">
                  <c:v>57.692307692307701</c:v>
                </c:pt>
                <c:pt idx="34">
                  <c:v>55.494505494505496</c:v>
                </c:pt>
                <c:pt idx="35">
                  <c:v>52.747252747252752</c:v>
                </c:pt>
                <c:pt idx="36">
                  <c:v>65.384615384615387</c:v>
                </c:pt>
                <c:pt idx="37">
                  <c:v>52.197802197802197</c:v>
                </c:pt>
                <c:pt idx="38">
                  <c:v>57.142857142857146</c:v>
                </c:pt>
                <c:pt idx="39">
                  <c:v>46.153846153846153</c:v>
                </c:pt>
                <c:pt idx="40">
                  <c:v>55.494505494505503</c:v>
                </c:pt>
                <c:pt idx="41">
                  <c:v>60.439560439560438</c:v>
                </c:pt>
                <c:pt idx="42">
                  <c:v>63.736263736263737</c:v>
                </c:pt>
                <c:pt idx="43">
                  <c:v>52.747252747252745</c:v>
                </c:pt>
                <c:pt idx="44">
                  <c:v>51.64835164835165</c:v>
                </c:pt>
                <c:pt idx="45">
                  <c:v>57.692307692307693</c:v>
                </c:pt>
                <c:pt idx="46">
                  <c:v>64.285714285714278</c:v>
                </c:pt>
                <c:pt idx="47">
                  <c:v>59.340659340659343</c:v>
                </c:pt>
                <c:pt idx="48">
                  <c:v>71.978021978021971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21-4175-8B77-90EB35AF1CF8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30135356947451"/>
                  <c:y val="-0.147068023130666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-0.176x + 381.41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'Ensemble 1'!$A$99:$A$147</c:f>
              <c:numCache>
                <c:formatCode>General</c:formatCode>
                <c:ptCount val="49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  <c:pt idx="35">
                  <c:v>2051</c:v>
                </c:pt>
                <c:pt idx="36">
                  <c:v>2052</c:v>
                </c:pt>
                <c:pt idx="37">
                  <c:v>2053</c:v>
                </c:pt>
                <c:pt idx="38">
                  <c:v>2054</c:v>
                </c:pt>
                <c:pt idx="39">
                  <c:v>2055</c:v>
                </c:pt>
                <c:pt idx="40">
                  <c:v>2056</c:v>
                </c:pt>
                <c:pt idx="41">
                  <c:v>2057</c:v>
                </c:pt>
                <c:pt idx="42">
                  <c:v>2058</c:v>
                </c:pt>
                <c:pt idx="43">
                  <c:v>2059</c:v>
                </c:pt>
                <c:pt idx="44">
                  <c:v>2060</c:v>
                </c:pt>
                <c:pt idx="45">
                  <c:v>2061</c:v>
                </c:pt>
                <c:pt idx="46">
                  <c:v>2062</c:v>
                </c:pt>
                <c:pt idx="47">
                  <c:v>2063</c:v>
                </c:pt>
                <c:pt idx="48">
                  <c:v>2064</c:v>
                </c:pt>
              </c:numCache>
            </c:numRef>
          </c:xVal>
          <c:yVal>
            <c:numRef>
              <c:f>'Ensemble 1'!$C$99:$C$147</c:f>
              <c:numCache>
                <c:formatCode>0</c:formatCode>
                <c:ptCount val="49"/>
                <c:pt idx="0">
                  <c:v>29.670329670329672</c:v>
                </c:pt>
                <c:pt idx="1">
                  <c:v>29.120879120879124</c:v>
                </c:pt>
                <c:pt idx="2">
                  <c:v>28.021978021978022</c:v>
                </c:pt>
                <c:pt idx="3">
                  <c:v>25.824175824175828</c:v>
                </c:pt>
                <c:pt idx="4">
                  <c:v>30.76923076923077</c:v>
                </c:pt>
                <c:pt idx="5">
                  <c:v>20.329670329670328</c:v>
                </c:pt>
                <c:pt idx="6">
                  <c:v>24.175824175824175</c:v>
                </c:pt>
                <c:pt idx="7">
                  <c:v>27.472527472527474</c:v>
                </c:pt>
                <c:pt idx="8">
                  <c:v>27.472527472527474</c:v>
                </c:pt>
                <c:pt idx="9">
                  <c:v>26.373626373626376</c:v>
                </c:pt>
                <c:pt idx="10">
                  <c:v>27.472527472527474</c:v>
                </c:pt>
                <c:pt idx="11">
                  <c:v>21.978021978021978</c:v>
                </c:pt>
                <c:pt idx="12">
                  <c:v>24.725274725274726</c:v>
                </c:pt>
                <c:pt idx="13">
                  <c:v>24.175824175824175</c:v>
                </c:pt>
                <c:pt idx="14">
                  <c:v>25.824175824175828</c:v>
                </c:pt>
                <c:pt idx="15">
                  <c:v>23.076923076923077</c:v>
                </c:pt>
                <c:pt idx="16">
                  <c:v>19.230769230769234</c:v>
                </c:pt>
                <c:pt idx="17">
                  <c:v>31.318681318681318</c:v>
                </c:pt>
                <c:pt idx="18">
                  <c:v>13.186813186813188</c:v>
                </c:pt>
                <c:pt idx="19">
                  <c:v>29.120879120879124</c:v>
                </c:pt>
                <c:pt idx="20">
                  <c:v>21.978021978021978</c:v>
                </c:pt>
                <c:pt idx="21">
                  <c:v>23.076923076923077</c:v>
                </c:pt>
                <c:pt idx="22">
                  <c:v>14.835164835164836</c:v>
                </c:pt>
                <c:pt idx="23">
                  <c:v>17.582417582417584</c:v>
                </c:pt>
                <c:pt idx="24">
                  <c:v>18.131868131868131</c:v>
                </c:pt>
                <c:pt idx="25">
                  <c:v>15.384615384615385</c:v>
                </c:pt>
                <c:pt idx="26">
                  <c:v>22.527472527472529</c:v>
                </c:pt>
                <c:pt idx="27">
                  <c:v>20.329670329670328</c:v>
                </c:pt>
                <c:pt idx="28">
                  <c:v>22.527472527472529</c:v>
                </c:pt>
                <c:pt idx="29">
                  <c:v>24.725274725274726</c:v>
                </c:pt>
                <c:pt idx="30">
                  <c:v>20.329670329670328</c:v>
                </c:pt>
                <c:pt idx="31">
                  <c:v>19.780219780219781</c:v>
                </c:pt>
                <c:pt idx="32">
                  <c:v>24.725274725274726</c:v>
                </c:pt>
                <c:pt idx="33">
                  <c:v>22.527472527472529</c:v>
                </c:pt>
                <c:pt idx="34">
                  <c:v>23.626373626373624</c:v>
                </c:pt>
                <c:pt idx="35">
                  <c:v>14.835164835164836</c:v>
                </c:pt>
                <c:pt idx="36">
                  <c:v>20.329670329670328</c:v>
                </c:pt>
                <c:pt idx="37">
                  <c:v>28.021978021978022</c:v>
                </c:pt>
                <c:pt idx="38">
                  <c:v>13.186813186813188</c:v>
                </c:pt>
                <c:pt idx="39">
                  <c:v>26.923076923076923</c:v>
                </c:pt>
                <c:pt idx="40">
                  <c:v>21.428571428571427</c:v>
                </c:pt>
                <c:pt idx="41">
                  <c:v>15.384615384615385</c:v>
                </c:pt>
                <c:pt idx="42">
                  <c:v>15.934065934065933</c:v>
                </c:pt>
                <c:pt idx="43">
                  <c:v>18.131868131868131</c:v>
                </c:pt>
                <c:pt idx="44">
                  <c:v>19.780219780219781</c:v>
                </c:pt>
                <c:pt idx="45">
                  <c:v>20.329670329670328</c:v>
                </c:pt>
                <c:pt idx="46">
                  <c:v>14.835164835164836</c:v>
                </c:pt>
                <c:pt idx="47">
                  <c:v>28.571428571428569</c:v>
                </c:pt>
                <c:pt idx="48">
                  <c:v>17.582417582417584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21-4175-8B77-90EB35AF1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25952"/>
        <c:axId val="249626344"/>
      </c:scatterChart>
      <c:valAx>
        <c:axId val="249625952"/>
        <c:scaling>
          <c:orientation val="minMax"/>
          <c:max val="2065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26344"/>
        <c:crosses val="autoZero"/>
        <c:crossBetween val="midCat"/>
      </c:valAx>
      <c:valAx>
        <c:axId val="24962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% Frequency</a:t>
                </a:r>
              </a:p>
            </c:rich>
          </c:tx>
          <c:layout>
            <c:manualLayout>
              <c:xMode val="edge"/>
              <c:yMode val="edge"/>
              <c:x val="9.8328416912487702E-3"/>
              <c:y val="0.36917453347019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2595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Predicted N-S Flow Frequency (2016-50)</a:t>
            </a:r>
            <a:endParaRPr lang="en-US"/>
          </a:p>
        </c:rich>
      </c:tx>
      <c:layout>
        <c:manualLayout>
          <c:xMode val="edge"/>
          <c:yMode val="edge"/>
          <c:x val="0.13423292221215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3248445196959986"/>
                  <c:y val="-6.91232041345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'Ensemble 1'!$A$42:$A$76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'Ensemble 1'!$H$42:$H$76</c:f>
              <c:numCache>
                <c:formatCode>0</c:formatCode>
                <c:ptCount val="35"/>
                <c:pt idx="0">
                  <c:v>1.6483516483516485</c:v>
                </c:pt>
                <c:pt idx="1">
                  <c:v>4.395604395604396</c:v>
                </c:pt>
                <c:pt idx="2">
                  <c:v>0.5494505494505495</c:v>
                </c:pt>
                <c:pt idx="3">
                  <c:v>3.296703296703297</c:v>
                </c:pt>
                <c:pt idx="4">
                  <c:v>2.197802197802198</c:v>
                </c:pt>
                <c:pt idx="5">
                  <c:v>2.7472527472527473</c:v>
                </c:pt>
                <c:pt idx="6">
                  <c:v>8.2417582417582409</c:v>
                </c:pt>
                <c:pt idx="7">
                  <c:v>3.8461538461538463</c:v>
                </c:pt>
                <c:pt idx="8">
                  <c:v>2.7472527472527473</c:v>
                </c:pt>
                <c:pt idx="9">
                  <c:v>1.6483516483516485</c:v>
                </c:pt>
                <c:pt idx="10">
                  <c:v>2.197802197802198</c:v>
                </c:pt>
                <c:pt idx="11">
                  <c:v>0</c:v>
                </c:pt>
                <c:pt idx="12">
                  <c:v>3.296703296703297</c:v>
                </c:pt>
                <c:pt idx="13">
                  <c:v>3.296703296703297</c:v>
                </c:pt>
                <c:pt idx="14">
                  <c:v>4.395604395604396</c:v>
                </c:pt>
                <c:pt idx="15">
                  <c:v>4.395604395604396</c:v>
                </c:pt>
                <c:pt idx="16">
                  <c:v>6.0439560439560438</c:v>
                </c:pt>
                <c:pt idx="17">
                  <c:v>2.197802197802198</c:v>
                </c:pt>
                <c:pt idx="18">
                  <c:v>3.8461538461538463</c:v>
                </c:pt>
                <c:pt idx="19">
                  <c:v>0</c:v>
                </c:pt>
                <c:pt idx="20">
                  <c:v>3.8461538461538463</c:v>
                </c:pt>
                <c:pt idx="21">
                  <c:v>1.098901098901099</c:v>
                </c:pt>
                <c:pt idx="22">
                  <c:v>6.0439560439560438</c:v>
                </c:pt>
                <c:pt idx="23">
                  <c:v>4.9450549450549453</c:v>
                </c:pt>
                <c:pt idx="24">
                  <c:v>1.098901098901099</c:v>
                </c:pt>
                <c:pt idx="25">
                  <c:v>10.43956043956044</c:v>
                </c:pt>
                <c:pt idx="26">
                  <c:v>4.9450549450549453</c:v>
                </c:pt>
                <c:pt idx="27">
                  <c:v>3.296703296703297</c:v>
                </c:pt>
                <c:pt idx="28">
                  <c:v>2.7472527472527473</c:v>
                </c:pt>
                <c:pt idx="29">
                  <c:v>1.098901098901099</c:v>
                </c:pt>
                <c:pt idx="30">
                  <c:v>5.4945054945054945</c:v>
                </c:pt>
                <c:pt idx="31">
                  <c:v>10.989010989010989</c:v>
                </c:pt>
                <c:pt idx="32">
                  <c:v>4.395604395604396</c:v>
                </c:pt>
                <c:pt idx="33">
                  <c:v>4.9450549450549453</c:v>
                </c:pt>
                <c:pt idx="34">
                  <c:v>10.43956043956044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9-4559-885A-C93D2294D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27128"/>
        <c:axId val="249627520"/>
      </c:scatterChart>
      <c:valAx>
        <c:axId val="249627128"/>
        <c:scaling>
          <c:orientation val="minMax"/>
          <c:max val="2050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27520"/>
        <c:crosses val="autoZero"/>
        <c:crossBetween val="midCat"/>
      </c:valAx>
      <c:valAx>
        <c:axId val="2496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27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Predicted NW Flow Frequency (2016-50)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979563072586328"/>
                  <c:y val="-0.28279316739154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'Ensemble 1'!$A$42:$A$76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'Ensemble 1'!$D$42:$D$76</c:f>
              <c:numCache>
                <c:formatCode>0</c:formatCode>
                <c:ptCount val="35"/>
                <c:pt idx="0">
                  <c:v>22.527472527472529</c:v>
                </c:pt>
                <c:pt idx="1">
                  <c:v>24.175824175824175</c:v>
                </c:pt>
                <c:pt idx="2">
                  <c:v>20.329670329670328</c:v>
                </c:pt>
                <c:pt idx="3">
                  <c:v>13.736263736263737</c:v>
                </c:pt>
                <c:pt idx="4">
                  <c:v>18.681318681318682</c:v>
                </c:pt>
                <c:pt idx="5">
                  <c:v>17.032967032967033</c:v>
                </c:pt>
                <c:pt idx="6">
                  <c:v>12.637362637362637</c:v>
                </c:pt>
                <c:pt idx="7">
                  <c:v>13.186813186813188</c:v>
                </c:pt>
                <c:pt idx="8">
                  <c:v>14.835164835164836</c:v>
                </c:pt>
                <c:pt idx="9">
                  <c:v>13.736263736263737</c:v>
                </c:pt>
                <c:pt idx="10">
                  <c:v>14.835164835164836</c:v>
                </c:pt>
                <c:pt idx="11">
                  <c:v>18.131868131868131</c:v>
                </c:pt>
                <c:pt idx="12">
                  <c:v>17.582417582417584</c:v>
                </c:pt>
                <c:pt idx="13">
                  <c:v>19.780219780219781</c:v>
                </c:pt>
                <c:pt idx="14">
                  <c:v>13.736263736263737</c:v>
                </c:pt>
                <c:pt idx="15">
                  <c:v>19.780219780219781</c:v>
                </c:pt>
                <c:pt idx="16">
                  <c:v>10.989010989010989</c:v>
                </c:pt>
                <c:pt idx="17">
                  <c:v>14.285714285714285</c:v>
                </c:pt>
                <c:pt idx="18">
                  <c:v>9.8901098901098905</c:v>
                </c:pt>
                <c:pt idx="19">
                  <c:v>20.87912087912088</c:v>
                </c:pt>
                <c:pt idx="20">
                  <c:v>9.8901098901098905</c:v>
                </c:pt>
                <c:pt idx="21">
                  <c:v>14.285714285714285</c:v>
                </c:pt>
                <c:pt idx="22">
                  <c:v>9.8901098901098905</c:v>
                </c:pt>
                <c:pt idx="23">
                  <c:v>7.6923076923076925</c:v>
                </c:pt>
                <c:pt idx="24">
                  <c:v>19.230769230769234</c:v>
                </c:pt>
                <c:pt idx="25">
                  <c:v>9.8901098901098905</c:v>
                </c:pt>
                <c:pt idx="26">
                  <c:v>8.2417582417582409</c:v>
                </c:pt>
                <c:pt idx="27">
                  <c:v>13.736263736263737</c:v>
                </c:pt>
                <c:pt idx="28">
                  <c:v>4.9450549450549453</c:v>
                </c:pt>
                <c:pt idx="29">
                  <c:v>14.835164835164836</c:v>
                </c:pt>
                <c:pt idx="30">
                  <c:v>14.835164835164836</c:v>
                </c:pt>
                <c:pt idx="31">
                  <c:v>10.43956043956044</c:v>
                </c:pt>
                <c:pt idx="32">
                  <c:v>11.538461538461538</c:v>
                </c:pt>
                <c:pt idx="33">
                  <c:v>14.285714285714285</c:v>
                </c:pt>
                <c:pt idx="34">
                  <c:v>15.934065934065933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4-495F-8BFE-14FBA56CC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28304"/>
        <c:axId val="249776072"/>
      </c:scatterChart>
      <c:valAx>
        <c:axId val="249628304"/>
        <c:scaling>
          <c:orientation val="minMax"/>
          <c:max val="2050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76072"/>
        <c:crosses val="autoZero"/>
        <c:crossBetween val="midCat"/>
      </c:valAx>
      <c:valAx>
        <c:axId val="24977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2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Predicted CutOff Low Frequency (2016-50)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309711286089239"/>
                  <c:y val="-0.257999416739574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'Ensemble 1'!$A$42:$A$76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'Ensemble 1'!$C$42:$C$76</c:f>
              <c:numCache>
                <c:formatCode>0</c:formatCode>
                <c:ptCount val="35"/>
                <c:pt idx="0">
                  <c:v>9.8901098901098905</c:v>
                </c:pt>
                <c:pt idx="1">
                  <c:v>9.3406593406593412</c:v>
                </c:pt>
                <c:pt idx="2">
                  <c:v>7.1428571428571423</c:v>
                </c:pt>
                <c:pt idx="3">
                  <c:v>7.1428571428571423</c:v>
                </c:pt>
                <c:pt idx="4">
                  <c:v>14.835164835164836</c:v>
                </c:pt>
                <c:pt idx="5">
                  <c:v>9.8901098901098905</c:v>
                </c:pt>
                <c:pt idx="6">
                  <c:v>13.186813186813188</c:v>
                </c:pt>
                <c:pt idx="7">
                  <c:v>14.207650273224044</c:v>
                </c:pt>
                <c:pt idx="8">
                  <c:v>7.6923076923076925</c:v>
                </c:pt>
                <c:pt idx="9">
                  <c:v>15.934065934065933</c:v>
                </c:pt>
                <c:pt idx="10">
                  <c:v>14.835164835164836</c:v>
                </c:pt>
                <c:pt idx="11">
                  <c:v>12.087912087912088</c:v>
                </c:pt>
                <c:pt idx="12">
                  <c:v>13.186813186813188</c:v>
                </c:pt>
                <c:pt idx="13">
                  <c:v>6.0439560439560438</c:v>
                </c:pt>
                <c:pt idx="14">
                  <c:v>8.2417582417582409</c:v>
                </c:pt>
                <c:pt idx="15">
                  <c:v>4.9450549450549453</c:v>
                </c:pt>
                <c:pt idx="16">
                  <c:v>7.6923076923076925</c:v>
                </c:pt>
                <c:pt idx="17">
                  <c:v>5.4945054945054945</c:v>
                </c:pt>
                <c:pt idx="18">
                  <c:v>14.285714285714285</c:v>
                </c:pt>
                <c:pt idx="19">
                  <c:v>9.3406593406593412</c:v>
                </c:pt>
                <c:pt idx="20">
                  <c:v>9.8901098901098905</c:v>
                </c:pt>
                <c:pt idx="21">
                  <c:v>8.791208791208792</c:v>
                </c:pt>
                <c:pt idx="22">
                  <c:v>7.6923076923076925</c:v>
                </c:pt>
                <c:pt idx="23">
                  <c:v>13.186813186813188</c:v>
                </c:pt>
                <c:pt idx="24">
                  <c:v>9.8901098901098905</c:v>
                </c:pt>
                <c:pt idx="25">
                  <c:v>9.8901098901098905</c:v>
                </c:pt>
                <c:pt idx="26">
                  <c:v>11.538461538461538</c:v>
                </c:pt>
                <c:pt idx="27">
                  <c:v>9.8901098901098905</c:v>
                </c:pt>
                <c:pt idx="28">
                  <c:v>17.032967032967033</c:v>
                </c:pt>
                <c:pt idx="29">
                  <c:v>3.8461538461538463</c:v>
                </c:pt>
                <c:pt idx="30">
                  <c:v>7.6923076923076925</c:v>
                </c:pt>
                <c:pt idx="31">
                  <c:v>12.637362637362637</c:v>
                </c:pt>
                <c:pt idx="32">
                  <c:v>12.637362637362637</c:v>
                </c:pt>
                <c:pt idx="33">
                  <c:v>11.538461538461538</c:v>
                </c:pt>
                <c:pt idx="34">
                  <c:v>7.6923076923076925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2F-4722-8D92-EF092E048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76856"/>
        <c:axId val="249777248"/>
      </c:scatterChart>
      <c:valAx>
        <c:axId val="249776856"/>
        <c:scaling>
          <c:orientation val="minMax"/>
          <c:max val="2050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77248"/>
        <c:crosses val="autoZero"/>
        <c:crossBetween val="midCat"/>
      </c:valAx>
      <c:valAx>
        <c:axId val="2497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76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baseline="0"/>
              <a:t>Zonal </a:t>
            </a:r>
            <a:r>
              <a:rPr lang="en-US" sz="1600" b="1" i="1" baseline="0"/>
              <a:t>vs.</a:t>
            </a:r>
            <a:r>
              <a:rPr lang="en-US" sz="1600" b="1" baseline="0"/>
              <a:t> Meridional Trends Flow: 1965 - 2014</a:t>
            </a:r>
          </a:p>
          <a:p>
            <a:pPr>
              <a:defRPr/>
            </a:pPr>
            <a:r>
              <a:rPr lang="en-US" sz="1600" b="1" baseline="0"/>
              <a:t>Western U.S./Oct. - Mar.</a:t>
            </a:r>
            <a:endParaRPr lang="en-US" sz="1600" b="1"/>
          </a:p>
        </c:rich>
      </c:tx>
      <c:layout>
        <c:manualLayout>
          <c:xMode val="edge"/>
          <c:yMode val="edge"/>
          <c:x val="0.16639848184520351"/>
          <c:y val="2.7107154367773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00206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397260733753164"/>
                  <c:y val="-0.102372196170420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0" baseline="0"/>
                      <a:t>y = </a:t>
                    </a:r>
                    <a:r>
                      <a:rPr lang="en-US" sz="1400" b="1" baseline="0"/>
                      <a:t>0.1109</a:t>
                    </a:r>
                    <a:r>
                      <a:rPr lang="en-US" sz="1200" b="0" baseline="0"/>
                      <a:t>x - 170.49</a:t>
                    </a:r>
                    <a:endParaRPr lang="en-US" sz="1200" b="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[1]MAIN!$A$66:$A$115</c:f>
              <c:numCache>
                <c:formatCode>General</c:formatCode>
                <c:ptCount val="50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</c:numCache>
            </c:numRef>
          </c:xVal>
          <c:yVal>
            <c:numRef>
              <c:f>[1]MAIN!$B$66:$B$115</c:f>
              <c:numCache>
                <c:formatCode>General</c:formatCode>
                <c:ptCount val="5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F-4F9C-82A4-AA58633B7423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6380969318226465E-2"/>
                  <c:y val="-0.129063671930861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0" baseline="0"/>
                      <a:t>y = </a:t>
                    </a:r>
                    <a:r>
                      <a:rPr lang="en-US" sz="1400" b="1" baseline="0"/>
                      <a:t>-0.2287</a:t>
                    </a:r>
                    <a:r>
                      <a:rPr lang="en-US" sz="1200" b="0" baseline="0"/>
                      <a:t>x + 476.09</a:t>
                    </a:r>
                    <a:endParaRPr lang="en-US" sz="1200" b="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[1]MAIN!$A$66:$A$115</c:f>
              <c:numCache>
                <c:formatCode>General</c:formatCode>
                <c:ptCount val="50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</c:numCache>
            </c:numRef>
          </c:xVal>
          <c:yVal>
            <c:numRef>
              <c:f>[1]MAIN!$C$66:$C$115</c:f>
              <c:numCache>
                <c:formatCode>General</c:formatCode>
                <c:ptCount val="50"/>
                <c:pt idx="0">
                  <c:v>55</c:v>
                </c:pt>
                <c:pt idx="1">
                  <c:v>55</c:v>
                </c:pt>
                <c:pt idx="2">
                  <c:v>53</c:v>
                </c:pt>
                <c:pt idx="3">
                  <c:v>56</c:v>
                </c:pt>
                <c:pt idx="4">
                  <c:v>57</c:v>
                </c:pt>
                <c:pt idx="5">
                  <c:v>40</c:v>
                </c:pt>
                <c:pt idx="6">
                  <c:v>40</c:v>
                </c:pt>
                <c:pt idx="7">
                  <c:v>35</c:v>
                </c:pt>
                <c:pt idx="8">
                  <c:v>36</c:v>
                </c:pt>
                <c:pt idx="9">
                  <c:v>50</c:v>
                </c:pt>
                <c:pt idx="10">
                  <c:v>42</c:v>
                </c:pt>
                <c:pt idx="11">
                  <c:v>48</c:v>
                </c:pt>
                <c:pt idx="12">
                  <c:v>66</c:v>
                </c:pt>
                <c:pt idx="13">
                  <c:v>44</c:v>
                </c:pt>
                <c:pt idx="14">
                  <c:v>42</c:v>
                </c:pt>
                <c:pt idx="15">
                  <c:v>37</c:v>
                </c:pt>
                <c:pt idx="16">
                  <c:v>59</c:v>
                </c:pt>
                <c:pt idx="17">
                  <c:v>48</c:v>
                </c:pt>
                <c:pt idx="18">
                  <c:v>48</c:v>
                </c:pt>
                <c:pt idx="19">
                  <c:v>51</c:v>
                </c:pt>
                <c:pt idx="20">
                  <c:v>49</c:v>
                </c:pt>
                <c:pt idx="21">
                  <c:v>54.395604395604394</c:v>
                </c:pt>
                <c:pt idx="22">
                  <c:v>43.406593406593409</c:v>
                </c:pt>
                <c:pt idx="23">
                  <c:v>57.377049180327873</c:v>
                </c:pt>
                <c:pt idx="24">
                  <c:v>53.846153846153847</c:v>
                </c:pt>
                <c:pt idx="25">
                  <c:v>56.593406593406598</c:v>
                </c:pt>
                <c:pt idx="26">
                  <c:v>51.098901098901095</c:v>
                </c:pt>
                <c:pt idx="27">
                  <c:v>49.180327868852466</c:v>
                </c:pt>
                <c:pt idx="28">
                  <c:v>45.054945054945051</c:v>
                </c:pt>
                <c:pt idx="29">
                  <c:v>52.747252747252752</c:v>
                </c:pt>
                <c:pt idx="30">
                  <c:v>52.197802197802197</c:v>
                </c:pt>
                <c:pt idx="31">
                  <c:v>48.633879781420767</c:v>
                </c:pt>
                <c:pt idx="32">
                  <c:v>44.505494505494511</c:v>
                </c:pt>
                <c:pt idx="33">
                  <c:v>51.098901098901102</c:v>
                </c:pt>
                <c:pt idx="34">
                  <c:v>51.098901098901095</c:v>
                </c:pt>
                <c:pt idx="35">
                  <c:v>54.098360655737707</c:v>
                </c:pt>
                <c:pt idx="36">
                  <c:v>43.406593406593409</c:v>
                </c:pt>
                <c:pt idx="37">
                  <c:v>55.494505494505503</c:v>
                </c:pt>
                <c:pt idx="38">
                  <c:v>48.35164835164835</c:v>
                </c:pt>
                <c:pt idx="39">
                  <c:v>59.016393442622942</c:v>
                </c:pt>
                <c:pt idx="40">
                  <c:v>46.703296703296701</c:v>
                </c:pt>
                <c:pt idx="41">
                  <c:v>52.197802197802204</c:v>
                </c:pt>
                <c:pt idx="42">
                  <c:v>50</c:v>
                </c:pt>
                <c:pt idx="43">
                  <c:v>53.551912568306008</c:v>
                </c:pt>
                <c:pt idx="44">
                  <c:v>57.692307692307693</c:v>
                </c:pt>
                <c:pt idx="45">
                  <c:v>55.494505494505489</c:v>
                </c:pt>
                <c:pt idx="46">
                  <c:v>48.35164835164835</c:v>
                </c:pt>
                <c:pt idx="47">
                  <c:v>52.459016393442624</c:v>
                </c:pt>
                <c:pt idx="48">
                  <c:v>59.890109890109891</c:v>
                </c:pt>
                <c:pt idx="49">
                  <c:v>50.549450549450555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1F-4F9C-82A4-AA58633B7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78032"/>
        <c:axId val="249778424"/>
      </c:scatterChart>
      <c:valAx>
        <c:axId val="249778032"/>
        <c:scaling>
          <c:orientation val="minMax"/>
          <c:max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78424"/>
        <c:crosses val="autoZero"/>
        <c:crossBetween val="midCat"/>
        <c:majorUnit val="5"/>
      </c:valAx>
      <c:valAx>
        <c:axId val="2497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% Frequency</a:t>
                </a:r>
              </a:p>
            </c:rich>
          </c:tx>
          <c:layout>
            <c:manualLayout>
              <c:xMode val="edge"/>
              <c:yMode val="edge"/>
              <c:x val="1.7515048978352019E-2"/>
              <c:y val="0.35229428978188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7803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Snowfall in Steamboat Springs,</a:t>
            </a:r>
            <a:r>
              <a:rPr lang="en-US" b="1" baseline="0"/>
              <a:t> CO (1961-2014)</a:t>
            </a:r>
            <a:r>
              <a:rPr lang="en-US" b="1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25816808048379"/>
          <c:y val="0.11568847300060964"/>
          <c:w val="0.8363112519546656"/>
          <c:h val="0.71216495980741379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[1]MAIN!$B$3</c:f>
              <c:strCache>
                <c:ptCount val="1"/>
                <c:pt idx="0">
                  <c:v>Snowfall (cm)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33079017296751"/>
                  <c:y val="0.206066031219781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 baseline="0"/>
                      <a:t>y = 0.1702x - 169.16</a:t>
                    </a:r>
                    <a:endParaRPr lang="en-US" sz="11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[1]MAIN!$A$4:$A$57</c:f>
              <c:numCache>
                <c:formatCode>General</c:formatCode>
                <c:ptCount val="54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</c:numCache>
            </c:numRef>
          </c:xVal>
          <c:yVal>
            <c:numRef>
              <c:f>[1]MAIN!$B$4:$B$57</c:f>
              <c:numCache>
                <c:formatCode>General</c:formatCode>
                <c:ptCount val="54"/>
                <c:pt idx="0">
                  <c:v>358.14</c:v>
                </c:pt>
                <c:pt idx="1">
                  <c:v>518.16</c:v>
                </c:pt>
                <c:pt idx="2">
                  <c:v>302.26</c:v>
                </c:pt>
                <c:pt idx="3">
                  <c:v>421.64</c:v>
                </c:pt>
                <c:pt idx="4">
                  <c:v>523.24</c:v>
                </c:pt>
                <c:pt idx="5">
                  <c:v>264.16000000000003</c:v>
                </c:pt>
                <c:pt idx="6">
                  <c:v>386.08</c:v>
                </c:pt>
                <c:pt idx="7">
                  <c:v>464.82</c:v>
                </c:pt>
                <c:pt idx="8">
                  <c:v>386.08</c:v>
                </c:pt>
                <c:pt idx="9">
                  <c:v>447.04</c:v>
                </c:pt>
                <c:pt idx="10">
                  <c:v>447.04</c:v>
                </c:pt>
                <c:pt idx="11">
                  <c:v>393.7</c:v>
                </c:pt>
                <c:pt idx="12">
                  <c:v>383.54</c:v>
                </c:pt>
                <c:pt idx="13">
                  <c:v>678.18000000000006</c:v>
                </c:pt>
                <c:pt idx="14">
                  <c:v>520.70000000000005</c:v>
                </c:pt>
                <c:pt idx="15">
                  <c:v>429.26</c:v>
                </c:pt>
                <c:pt idx="16">
                  <c:v>231.14000000000001</c:v>
                </c:pt>
                <c:pt idx="17">
                  <c:v>548.64</c:v>
                </c:pt>
                <c:pt idx="18">
                  <c:v>568.96</c:v>
                </c:pt>
                <c:pt idx="19">
                  <c:v>457.2</c:v>
                </c:pt>
                <c:pt idx="20">
                  <c:v>246.38</c:v>
                </c:pt>
                <c:pt idx="21">
                  <c:v>538.48</c:v>
                </c:pt>
                <c:pt idx="22">
                  <c:v>401.32</c:v>
                </c:pt>
                <c:pt idx="23">
                  <c:v>601.98</c:v>
                </c:pt>
                <c:pt idx="24">
                  <c:v>454.66</c:v>
                </c:pt>
                <c:pt idx="25">
                  <c:v>350.52</c:v>
                </c:pt>
                <c:pt idx="26">
                  <c:v>309.88</c:v>
                </c:pt>
                <c:pt idx="27">
                  <c:v>535.94000000000005</c:v>
                </c:pt>
                <c:pt idx="28">
                  <c:v>345.44</c:v>
                </c:pt>
                <c:pt idx="29">
                  <c:v>401.32</c:v>
                </c:pt>
                <c:pt idx="30">
                  <c:v>444.5</c:v>
                </c:pt>
                <c:pt idx="31">
                  <c:v>307.34000000000003</c:v>
                </c:pt>
                <c:pt idx="32">
                  <c:v>523.24</c:v>
                </c:pt>
                <c:pt idx="33">
                  <c:v>284.48</c:v>
                </c:pt>
                <c:pt idx="34">
                  <c:v>431.8</c:v>
                </c:pt>
                <c:pt idx="35">
                  <c:v>561.34</c:v>
                </c:pt>
                <c:pt idx="36">
                  <c:v>640.08000000000004</c:v>
                </c:pt>
                <c:pt idx="37">
                  <c:v>363.22</c:v>
                </c:pt>
                <c:pt idx="38">
                  <c:v>287.02</c:v>
                </c:pt>
                <c:pt idx="39">
                  <c:v>320.04000000000002</c:v>
                </c:pt>
                <c:pt idx="40">
                  <c:v>289.56</c:v>
                </c:pt>
                <c:pt idx="41">
                  <c:v>259.08</c:v>
                </c:pt>
                <c:pt idx="42">
                  <c:v>373.38</c:v>
                </c:pt>
                <c:pt idx="43">
                  <c:v>307.34000000000003</c:v>
                </c:pt>
                <c:pt idx="44">
                  <c:v>398.78000000000003</c:v>
                </c:pt>
                <c:pt idx="45">
                  <c:v>515.62</c:v>
                </c:pt>
                <c:pt idx="46">
                  <c:v>353.06</c:v>
                </c:pt>
                <c:pt idx="47">
                  <c:v>673.1</c:v>
                </c:pt>
                <c:pt idx="48">
                  <c:v>543.56000000000006</c:v>
                </c:pt>
                <c:pt idx="49">
                  <c:v>459.74</c:v>
                </c:pt>
                <c:pt idx="50">
                  <c:v>591.82000000000005</c:v>
                </c:pt>
                <c:pt idx="51">
                  <c:v>309.88</c:v>
                </c:pt>
                <c:pt idx="52">
                  <c:v>523.24</c:v>
                </c:pt>
                <c:pt idx="53">
                  <c:v>515.62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8-4486-A2BB-664529ABD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79208"/>
        <c:axId val="249779600"/>
      </c:scatterChart>
      <c:valAx>
        <c:axId val="249779208"/>
        <c:scaling>
          <c:orientation val="minMax"/>
          <c:max val="2015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79600"/>
        <c:crosses val="autoZero"/>
        <c:crossBetween val="midCat"/>
        <c:majorUnit val="5"/>
      </c:valAx>
      <c:valAx>
        <c:axId val="2497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Snowfall (inches)</a:t>
                </a:r>
              </a:p>
            </c:rich>
          </c:tx>
          <c:layout>
            <c:manualLayout>
              <c:xMode val="edge"/>
              <c:yMode val="edge"/>
              <c:x val="1.6403046280023433E-2"/>
              <c:y val="0.361795572919563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79208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602471566054244"/>
                  <c:y val="-0.1172211286089238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 baseline="0"/>
                      <a:t>y = 0.0902x - 128.25</a:t>
                    </a:r>
                    <a:endParaRPr lang="en-US" sz="12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'Ensemble 2'!$A$62:$A$111</c:f>
              <c:numCache>
                <c:formatCode>General</c:formatCode>
                <c:ptCount val="5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</c:numCache>
            </c:numRef>
          </c:xVal>
          <c:yVal>
            <c:numRef>
              <c:f>'Ensemble 2'!$B$62:$B$111</c:f>
              <c:numCache>
                <c:formatCode>0</c:formatCode>
                <c:ptCount val="50"/>
                <c:pt idx="0">
                  <c:v>58.791208791208788</c:v>
                </c:pt>
                <c:pt idx="1">
                  <c:v>59.340659340659343</c:v>
                </c:pt>
                <c:pt idx="2">
                  <c:v>56.593406593406591</c:v>
                </c:pt>
                <c:pt idx="3">
                  <c:v>55.494505494505496</c:v>
                </c:pt>
                <c:pt idx="4">
                  <c:v>51.098901098901095</c:v>
                </c:pt>
                <c:pt idx="5">
                  <c:v>71.428571428571431</c:v>
                </c:pt>
                <c:pt idx="6">
                  <c:v>59.340659340659343</c:v>
                </c:pt>
                <c:pt idx="7">
                  <c:v>57.142857142857139</c:v>
                </c:pt>
                <c:pt idx="8">
                  <c:v>49.450549450549453</c:v>
                </c:pt>
                <c:pt idx="9">
                  <c:v>48.35164835164835</c:v>
                </c:pt>
                <c:pt idx="10">
                  <c:v>54.945054945054949</c:v>
                </c:pt>
                <c:pt idx="11">
                  <c:v>57.692307692307693</c:v>
                </c:pt>
                <c:pt idx="12">
                  <c:v>54.945054945054949</c:v>
                </c:pt>
                <c:pt idx="13">
                  <c:v>56.043956043956051</c:v>
                </c:pt>
                <c:pt idx="14">
                  <c:v>45.604395604395606</c:v>
                </c:pt>
                <c:pt idx="15">
                  <c:v>53.296703296703299</c:v>
                </c:pt>
                <c:pt idx="16">
                  <c:v>50.549450549450547</c:v>
                </c:pt>
                <c:pt idx="17">
                  <c:v>53.846153846153854</c:v>
                </c:pt>
                <c:pt idx="18">
                  <c:v>48.901098901098898</c:v>
                </c:pt>
                <c:pt idx="19">
                  <c:v>59.34065934065935</c:v>
                </c:pt>
                <c:pt idx="20">
                  <c:v>58.791208791208788</c:v>
                </c:pt>
                <c:pt idx="21">
                  <c:v>48.351648351648358</c:v>
                </c:pt>
                <c:pt idx="22">
                  <c:v>46.703296703296701</c:v>
                </c:pt>
                <c:pt idx="23">
                  <c:v>47.802197802197796</c:v>
                </c:pt>
                <c:pt idx="24">
                  <c:v>47.252747252747255</c:v>
                </c:pt>
                <c:pt idx="25">
                  <c:v>47.802197802197803</c:v>
                </c:pt>
                <c:pt idx="26">
                  <c:v>47.802197802197796</c:v>
                </c:pt>
                <c:pt idx="27">
                  <c:v>50</c:v>
                </c:pt>
                <c:pt idx="28">
                  <c:v>54.945054945054949</c:v>
                </c:pt>
                <c:pt idx="29">
                  <c:v>52.747252747252752</c:v>
                </c:pt>
                <c:pt idx="30">
                  <c:v>54.395604395604394</c:v>
                </c:pt>
                <c:pt idx="31">
                  <c:v>60.439560439560438</c:v>
                </c:pt>
                <c:pt idx="32">
                  <c:v>63.18681318681319</c:v>
                </c:pt>
                <c:pt idx="33">
                  <c:v>59.890109890109883</c:v>
                </c:pt>
                <c:pt idx="34">
                  <c:v>50.549450549450547</c:v>
                </c:pt>
                <c:pt idx="35">
                  <c:v>64.835164835164832</c:v>
                </c:pt>
                <c:pt idx="36">
                  <c:v>58.241758241758241</c:v>
                </c:pt>
                <c:pt idx="37">
                  <c:v>65.934065934065927</c:v>
                </c:pt>
                <c:pt idx="38">
                  <c:v>57.142857142857146</c:v>
                </c:pt>
                <c:pt idx="39">
                  <c:v>64.285714285714278</c:v>
                </c:pt>
                <c:pt idx="40">
                  <c:v>45.604395604395606</c:v>
                </c:pt>
                <c:pt idx="41">
                  <c:v>56.043956043956044</c:v>
                </c:pt>
                <c:pt idx="42">
                  <c:v>62.637362637362642</c:v>
                </c:pt>
                <c:pt idx="43">
                  <c:v>56.593406593406598</c:v>
                </c:pt>
                <c:pt idx="44">
                  <c:v>59.890109890109898</c:v>
                </c:pt>
                <c:pt idx="45">
                  <c:v>59.890109890109891</c:v>
                </c:pt>
                <c:pt idx="46">
                  <c:v>63.18681318681319</c:v>
                </c:pt>
                <c:pt idx="47">
                  <c:v>58.241758241758248</c:v>
                </c:pt>
                <c:pt idx="48">
                  <c:v>57.692307692307693</c:v>
                </c:pt>
                <c:pt idx="49">
                  <c:v>60.439560439560445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A-40A8-B3B3-B7DE33E014C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921916010498686"/>
                  <c:y val="8.192366579177602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 baseline="0"/>
                      <a:t>y = -0.0708x + 168.18</a:t>
                    </a:r>
                    <a:endParaRPr lang="en-US" sz="12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'Ensemble 2'!$A$62:$A$111</c:f>
              <c:numCache>
                <c:formatCode>General</c:formatCode>
                <c:ptCount val="5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</c:numCache>
            </c:numRef>
          </c:xVal>
          <c:yVal>
            <c:numRef>
              <c:f>'Ensemble 2'!$C$62:$C$111</c:f>
              <c:numCache>
                <c:formatCode>0</c:formatCode>
                <c:ptCount val="50"/>
                <c:pt idx="0">
                  <c:v>19.780219780219781</c:v>
                </c:pt>
                <c:pt idx="1">
                  <c:v>19.780219780219781</c:v>
                </c:pt>
                <c:pt idx="2">
                  <c:v>18.681318681318682</c:v>
                </c:pt>
                <c:pt idx="3">
                  <c:v>25.274725274725274</c:v>
                </c:pt>
                <c:pt idx="4">
                  <c:v>35.164835164835168</c:v>
                </c:pt>
                <c:pt idx="5">
                  <c:v>17.032967032967033</c:v>
                </c:pt>
                <c:pt idx="6">
                  <c:v>19.230769230769234</c:v>
                </c:pt>
                <c:pt idx="7">
                  <c:v>17.582417582417584</c:v>
                </c:pt>
                <c:pt idx="8">
                  <c:v>25.274725274725274</c:v>
                </c:pt>
                <c:pt idx="9">
                  <c:v>33.516483516483511</c:v>
                </c:pt>
                <c:pt idx="10">
                  <c:v>21.428571428571427</c:v>
                </c:pt>
                <c:pt idx="11">
                  <c:v>29.670329670329672</c:v>
                </c:pt>
                <c:pt idx="12">
                  <c:v>26.373626373626376</c:v>
                </c:pt>
                <c:pt idx="13">
                  <c:v>19.230769230769234</c:v>
                </c:pt>
                <c:pt idx="14">
                  <c:v>28.021978021978022</c:v>
                </c:pt>
                <c:pt idx="15">
                  <c:v>26.373626373626376</c:v>
                </c:pt>
                <c:pt idx="16">
                  <c:v>26.373626373626376</c:v>
                </c:pt>
                <c:pt idx="17">
                  <c:v>23.076923076923077</c:v>
                </c:pt>
                <c:pt idx="18">
                  <c:v>25.824175824175828</c:v>
                </c:pt>
                <c:pt idx="19">
                  <c:v>21.978021978021978</c:v>
                </c:pt>
                <c:pt idx="20">
                  <c:v>19.780219780219781</c:v>
                </c:pt>
                <c:pt idx="21">
                  <c:v>40.109890109890109</c:v>
                </c:pt>
                <c:pt idx="22">
                  <c:v>24.175824175824175</c:v>
                </c:pt>
                <c:pt idx="23">
                  <c:v>28.571428571428569</c:v>
                </c:pt>
                <c:pt idx="24">
                  <c:v>26.923076923076923</c:v>
                </c:pt>
                <c:pt idx="25">
                  <c:v>39.010989010989015</c:v>
                </c:pt>
                <c:pt idx="26">
                  <c:v>33.516483516483511</c:v>
                </c:pt>
                <c:pt idx="27">
                  <c:v>20.329670329670328</c:v>
                </c:pt>
                <c:pt idx="28">
                  <c:v>24.725274725274726</c:v>
                </c:pt>
                <c:pt idx="29">
                  <c:v>26.923076923076923</c:v>
                </c:pt>
                <c:pt idx="30">
                  <c:v>24.175824175824175</c:v>
                </c:pt>
                <c:pt idx="31">
                  <c:v>24.725274725274726</c:v>
                </c:pt>
                <c:pt idx="32">
                  <c:v>21.978021978021978</c:v>
                </c:pt>
                <c:pt idx="33">
                  <c:v>14.835164835164836</c:v>
                </c:pt>
                <c:pt idx="34">
                  <c:v>15.384615384615385</c:v>
                </c:pt>
                <c:pt idx="35">
                  <c:v>22.527472527472529</c:v>
                </c:pt>
                <c:pt idx="36">
                  <c:v>27.472527472527474</c:v>
                </c:pt>
                <c:pt idx="37">
                  <c:v>11.538461538461538</c:v>
                </c:pt>
                <c:pt idx="38">
                  <c:v>18.131868131868131</c:v>
                </c:pt>
                <c:pt idx="39">
                  <c:v>25.824175824175828</c:v>
                </c:pt>
                <c:pt idx="40">
                  <c:v>29.670329670329672</c:v>
                </c:pt>
                <c:pt idx="41">
                  <c:v>18.131868131868131</c:v>
                </c:pt>
                <c:pt idx="42">
                  <c:v>14.835164835164836</c:v>
                </c:pt>
                <c:pt idx="43">
                  <c:v>19.780219780219781</c:v>
                </c:pt>
                <c:pt idx="44">
                  <c:v>21.428571428571427</c:v>
                </c:pt>
                <c:pt idx="45">
                  <c:v>29.670329670329672</c:v>
                </c:pt>
                <c:pt idx="46">
                  <c:v>17.582417582417584</c:v>
                </c:pt>
                <c:pt idx="47">
                  <c:v>17.032967032967033</c:v>
                </c:pt>
                <c:pt idx="48">
                  <c:v>23.626373626373624</c:v>
                </c:pt>
                <c:pt idx="49">
                  <c:v>23.076923076923077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5A-40A8-B3B3-B7DE33E01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408616"/>
        <c:axId val="268409008"/>
      </c:scatterChart>
      <c:valAx>
        <c:axId val="268408616"/>
        <c:scaling>
          <c:orientation val="minMax"/>
          <c:max val="20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409008"/>
        <c:crosses val="autoZero"/>
        <c:crossBetween val="midCat"/>
      </c:valAx>
      <c:valAx>
        <c:axId val="26840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408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47</xdr:row>
      <xdr:rowOff>23811</xdr:rowOff>
    </xdr:from>
    <xdr:to>
      <xdr:col>16</xdr:col>
      <xdr:colOff>0</xdr:colOff>
      <xdr:row>61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19049</xdr:colOff>
      <xdr:row>47</xdr:row>
      <xdr:rowOff>42861</xdr:rowOff>
    </xdr:from>
    <xdr:to>
      <xdr:col>23</xdr:col>
      <xdr:colOff>571500</xdr:colOff>
      <xdr:row>61</xdr:row>
      <xdr:rowOff>161924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14286</xdr:rowOff>
    </xdr:from>
    <xdr:to>
      <xdr:col>16</xdr:col>
      <xdr:colOff>9525</xdr:colOff>
      <xdr:row>80</xdr:row>
      <xdr:rowOff>9525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38101</xdr:colOff>
      <xdr:row>115</xdr:row>
      <xdr:rowOff>47625</xdr:rowOff>
    </xdr:from>
    <xdr:to>
      <xdr:col>10</xdr:col>
      <xdr:colOff>28576</xdr:colOff>
      <xdr:row>132</xdr:row>
      <xdr:rowOff>28574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9524</xdr:colOff>
      <xdr:row>65</xdr:row>
      <xdr:rowOff>23812</xdr:rowOff>
    </xdr:from>
    <xdr:to>
      <xdr:col>24</xdr:col>
      <xdr:colOff>304799</xdr:colOff>
      <xdr:row>79</xdr:row>
      <xdr:rowOff>152400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28574</xdr:colOff>
      <xdr:row>47</xdr:row>
      <xdr:rowOff>4761</xdr:rowOff>
    </xdr:from>
    <xdr:to>
      <xdr:col>32</xdr:col>
      <xdr:colOff>266699</xdr:colOff>
      <xdr:row>61</xdr:row>
      <xdr:rowOff>180975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600075</xdr:colOff>
      <xdr:row>65</xdr:row>
      <xdr:rowOff>14287</xdr:rowOff>
    </xdr:from>
    <xdr:to>
      <xdr:col>32</xdr:col>
      <xdr:colOff>466725</xdr:colOff>
      <xdr:row>80</xdr:row>
      <xdr:rowOff>9525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76200</xdr:colOff>
      <xdr:row>96</xdr:row>
      <xdr:rowOff>161924</xdr:rowOff>
    </xdr:from>
    <xdr:to>
      <xdr:col>10</xdr:col>
      <xdr:colOff>38100</xdr:colOff>
      <xdr:row>114</xdr:row>
      <xdr:rowOff>133350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1</xdr:colOff>
      <xdr:row>95</xdr:row>
      <xdr:rowOff>190499</xdr:rowOff>
    </xdr:from>
    <xdr:to>
      <xdr:col>23</xdr:col>
      <xdr:colOff>38101</xdr:colOff>
      <xdr:row>115</xdr:row>
      <xdr:rowOff>123824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0.72419</cdr:x>
      <cdr:y>0.18545</cdr:y>
    </cdr:from>
    <cdr:to>
      <cdr:x>0.86578</cdr:x>
      <cdr:y>0.41818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676775" y="72866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 i="1"/>
            <a:t>Meridional</a:t>
          </a:r>
          <a:r>
            <a:rPr lang="en-US" sz="1100" b="1" i="1" baseline="0"/>
            <a:t> Flow</a:t>
          </a: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0.70944</cdr:x>
      <cdr:y>0.58788</cdr:y>
    </cdr:from>
    <cdr:to>
      <cdr:x>0.85103</cdr:x>
      <cdr:y>0.82061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581525" y="230981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 i="1" u="none"/>
            <a:t>Zonal Flow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0.72576</cdr:x>
      <cdr:y>0.2338</cdr:y>
    </cdr:from>
    <cdr:to>
      <cdr:x>0.87121</cdr:x>
      <cdr:y>0.47776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62475" y="8763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 i="1"/>
            <a:t>Meridional</a:t>
          </a:r>
          <a:r>
            <a:rPr lang="en-US" sz="1200" b="1" i="1" baseline="0"/>
            <a:t> Flow</a:t>
          </a:r>
          <a:endParaRPr lang="en-US" sz="1200" b="1" i="1"/>
        </a:p>
      </cdr:txBody>
    </cdr:sp>
  </cdr:relSizeAnchor>
  <cdr:relSizeAnchor xmlns:cdr="http://schemas.openxmlformats.org/drawingml/2006/chartDrawing">
    <cdr:from>
      <cdr:x>0.77273</cdr:x>
      <cdr:y>0.79543</cdr:y>
    </cdr:from>
    <cdr:to>
      <cdr:x>0.91818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857750" y="2981324"/>
          <a:ext cx="914400" cy="766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 i="1"/>
            <a:t>Zonal</a:t>
          </a:r>
          <a:r>
            <a:rPr lang="en-US" sz="1200" b="1" i="1" baseline="0"/>
            <a:t> Flow</a:t>
          </a:r>
        </a:p>
        <a:p xmlns:a="http://schemas.openxmlformats.org/drawingml/2006/main">
          <a:endParaRPr lang="en-US" sz="1100" b="1" i="1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357187</xdr:colOff>
      <xdr:row>93</xdr:row>
      <xdr:rowOff>128587</xdr:rowOff>
    </xdr:from>
    <xdr:to>
      <xdr:col>7</xdr:col>
      <xdr:colOff>242887</xdr:colOff>
      <xdr:row>108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00mb_patterns_61-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s"/>
      <sheetName val="Meridional"/>
      <sheetName val="Zonal"/>
      <sheetName val="RIDGE"/>
      <sheetName val="CUTOFF"/>
      <sheetName val="NW MERID"/>
      <sheetName val="ZONALS"/>
      <sheetName val="SW TROF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Snowfall (cm)</v>
          </cell>
        </row>
        <row r="4">
          <cell r="A4">
            <v>1961</v>
          </cell>
          <cell r="B4">
            <v>358.14</v>
          </cell>
        </row>
        <row r="5">
          <cell r="A5">
            <v>1962</v>
          </cell>
          <cell r="B5">
            <v>518.16</v>
          </cell>
        </row>
        <row r="6">
          <cell r="A6">
            <v>1963</v>
          </cell>
          <cell r="B6">
            <v>302.26</v>
          </cell>
        </row>
        <row r="7">
          <cell r="A7">
            <v>1964</v>
          </cell>
          <cell r="B7">
            <v>421.64</v>
          </cell>
        </row>
        <row r="8">
          <cell r="A8">
            <v>1965</v>
          </cell>
          <cell r="B8">
            <v>523.24</v>
          </cell>
        </row>
        <row r="9">
          <cell r="A9">
            <v>1966</v>
          </cell>
          <cell r="B9">
            <v>264.16000000000003</v>
          </cell>
        </row>
        <row r="10">
          <cell r="A10">
            <v>1967</v>
          </cell>
          <cell r="B10">
            <v>386.08</v>
          </cell>
        </row>
        <row r="11">
          <cell r="A11">
            <v>1968</v>
          </cell>
          <cell r="B11">
            <v>464.82</v>
          </cell>
        </row>
        <row r="12">
          <cell r="A12">
            <v>1969</v>
          </cell>
          <cell r="B12">
            <v>386.08</v>
          </cell>
        </row>
        <row r="13">
          <cell r="A13">
            <v>1970</v>
          </cell>
          <cell r="B13">
            <v>447.04</v>
          </cell>
        </row>
        <row r="14">
          <cell r="A14">
            <v>1971</v>
          </cell>
          <cell r="B14">
            <v>447.04</v>
          </cell>
        </row>
        <row r="15">
          <cell r="A15">
            <v>1972</v>
          </cell>
          <cell r="B15">
            <v>393.7</v>
          </cell>
        </row>
        <row r="16">
          <cell r="A16">
            <v>1973</v>
          </cell>
          <cell r="B16">
            <v>383.54</v>
          </cell>
        </row>
        <row r="17">
          <cell r="A17">
            <v>1974</v>
          </cell>
          <cell r="B17">
            <v>678.18000000000006</v>
          </cell>
        </row>
        <row r="18">
          <cell r="A18">
            <v>1975</v>
          </cell>
          <cell r="B18">
            <v>520.70000000000005</v>
          </cell>
        </row>
        <row r="19">
          <cell r="A19">
            <v>1976</v>
          </cell>
          <cell r="B19">
            <v>429.26</v>
          </cell>
        </row>
        <row r="20">
          <cell r="A20">
            <v>1977</v>
          </cell>
          <cell r="B20">
            <v>231.14000000000001</v>
          </cell>
        </row>
        <row r="21">
          <cell r="A21">
            <v>1978</v>
          </cell>
          <cell r="B21">
            <v>548.64</v>
          </cell>
        </row>
        <row r="22">
          <cell r="A22">
            <v>1979</v>
          </cell>
          <cell r="B22">
            <v>568.96</v>
          </cell>
        </row>
        <row r="23">
          <cell r="A23">
            <v>1980</v>
          </cell>
          <cell r="B23">
            <v>457.2</v>
          </cell>
        </row>
        <row r="24">
          <cell r="A24">
            <v>1981</v>
          </cell>
          <cell r="B24">
            <v>246.38</v>
          </cell>
        </row>
        <row r="25">
          <cell r="A25">
            <v>1982</v>
          </cell>
          <cell r="B25">
            <v>538.48</v>
          </cell>
        </row>
        <row r="26">
          <cell r="A26">
            <v>1983</v>
          </cell>
          <cell r="B26">
            <v>401.32</v>
          </cell>
        </row>
        <row r="27">
          <cell r="A27">
            <v>1984</v>
          </cell>
          <cell r="B27">
            <v>601.98</v>
          </cell>
        </row>
        <row r="28">
          <cell r="A28">
            <v>1985</v>
          </cell>
          <cell r="B28">
            <v>454.66</v>
          </cell>
        </row>
        <row r="29">
          <cell r="A29">
            <v>1986</v>
          </cell>
          <cell r="B29">
            <v>350.52</v>
          </cell>
        </row>
        <row r="30">
          <cell r="A30">
            <v>1987</v>
          </cell>
          <cell r="B30">
            <v>309.88</v>
          </cell>
        </row>
        <row r="31">
          <cell r="A31">
            <v>1988</v>
          </cell>
          <cell r="B31">
            <v>535.94000000000005</v>
          </cell>
        </row>
        <row r="32">
          <cell r="A32">
            <v>1989</v>
          </cell>
          <cell r="B32">
            <v>345.44</v>
          </cell>
        </row>
        <row r="33">
          <cell r="A33">
            <v>1990</v>
          </cell>
          <cell r="B33">
            <v>401.32</v>
          </cell>
        </row>
        <row r="34">
          <cell r="A34">
            <v>1991</v>
          </cell>
          <cell r="B34">
            <v>444.5</v>
          </cell>
        </row>
        <row r="35">
          <cell r="A35">
            <v>1992</v>
          </cell>
          <cell r="B35">
            <v>307.34000000000003</v>
          </cell>
        </row>
        <row r="36">
          <cell r="A36">
            <v>1993</v>
          </cell>
          <cell r="B36">
            <v>523.24</v>
          </cell>
        </row>
        <row r="37">
          <cell r="A37">
            <v>1994</v>
          </cell>
          <cell r="B37">
            <v>284.48</v>
          </cell>
        </row>
        <row r="38">
          <cell r="A38">
            <v>1995</v>
          </cell>
          <cell r="B38">
            <v>431.8</v>
          </cell>
        </row>
        <row r="39">
          <cell r="A39">
            <v>1996</v>
          </cell>
          <cell r="B39">
            <v>561.34</v>
          </cell>
        </row>
        <row r="40">
          <cell r="A40">
            <v>1997</v>
          </cell>
          <cell r="B40">
            <v>640.08000000000004</v>
          </cell>
        </row>
        <row r="41">
          <cell r="A41">
            <v>1998</v>
          </cell>
          <cell r="B41">
            <v>363.22</v>
          </cell>
        </row>
        <row r="42">
          <cell r="A42">
            <v>1999</v>
          </cell>
          <cell r="B42">
            <v>287.02</v>
          </cell>
        </row>
        <row r="43">
          <cell r="A43">
            <v>2000</v>
          </cell>
          <cell r="B43">
            <v>320.04000000000002</v>
          </cell>
        </row>
        <row r="44">
          <cell r="A44">
            <v>2001</v>
          </cell>
          <cell r="B44">
            <v>289.56</v>
          </cell>
        </row>
        <row r="45">
          <cell r="A45">
            <v>2002</v>
          </cell>
          <cell r="B45">
            <v>259.08</v>
          </cell>
        </row>
        <row r="46">
          <cell r="A46">
            <v>2003</v>
          </cell>
          <cell r="B46">
            <v>373.38</v>
          </cell>
        </row>
        <row r="47">
          <cell r="A47">
            <v>2004</v>
          </cell>
          <cell r="B47">
            <v>307.34000000000003</v>
          </cell>
        </row>
        <row r="48">
          <cell r="A48">
            <v>2005</v>
          </cell>
          <cell r="B48">
            <v>398.78000000000003</v>
          </cell>
        </row>
        <row r="49">
          <cell r="A49">
            <v>2006</v>
          </cell>
          <cell r="B49">
            <v>515.62</v>
          </cell>
        </row>
        <row r="50">
          <cell r="A50">
            <v>2007</v>
          </cell>
          <cell r="B50">
            <v>353.06</v>
          </cell>
        </row>
        <row r="51">
          <cell r="A51">
            <v>2008</v>
          </cell>
          <cell r="B51">
            <v>673.1</v>
          </cell>
        </row>
        <row r="52">
          <cell r="A52">
            <v>2009</v>
          </cell>
          <cell r="B52">
            <v>543.56000000000006</v>
          </cell>
        </row>
        <row r="53">
          <cell r="A53">
            <v>2010</v>
          </cell>
          <cell r="B53">
            <v>459.74</v>
          </cell>
        </row>
        <row r="54">
          <cell r="A54">
            <v>2011</v>
          </cell>
          <cell r="B54">
            <v>591.82000000000005</v>
          </cell>
        </row>
        <row r="55">
          <cell r="A55">
            <v>2012</v>
          </cell>
          <cell r="B55">
            <v>309.88</v>
          </cell>
        </row>
        <row r="56">
          <cell r="A56">
            <v>2013</v>
          </cell>
          <cell r="B56">
            <v>523.24</v>
          </cell>
        </row>
        <row r="57">
          <cell r="A57">
            <v>2014</v>
          </cell>
          <cell r="B57">
            <v>515.62</v>
          </cell>
        </row>
        <row r="66">
          <cell r="A66">
            <v>1965</v>
          </cell>
          <cell r="B66"/>
          <cell r="C66">
            <v>55</v>
          </cell>
        </row>
        <row r="67">
          <cell r="A67">
            <v>1966</v>
          </cell>
          <cell r="B67"/>
          <cell r="C67">
            <v>55</v>
          </cell>
        </row>
        <row r="68">
          <cell r="A68">
            <v>1967</v>
          </cell>
          <cell r="B68"/>
          <cell r="C68">
            <v>53</v>
          </cell>
        </row>
        <row r="69">
          <cell r="A69">
            <v>1968</v>
          </cell>
          <cell r="B69"/>
          <cell r="C69">
            <v>56</v>
          </cell>
        </row>
        <row r="70">
          <cell r="A70">
            <v>1969</v>
          </cell>
          <cell r="B70"/>
          <cell r="C70">
            <v>57</v>
          </cell>
        </row>
        <row r="71">
          <cell r="A71">
            <v>1970</v>
          </cell>
          <cell r="B71"/>
          <cell r="C71">
            <v>40</v>
          </cell>
        </row>
        <row r="72">
          <cell r="A72">
            <v>1971</v>
          </cell>
          <cell r="B72"/>
          <cell r="C72">
            <v>40</v>
          </cell>
        </row>
        <row r="73">
          <cell r="A73">
            <v>1972</v>
          </cell>
          <cell r="B73"/>
          <cell r="C73">
            <v>35</v>
          </cell>
        </row>
        <row r="74">
          <cell r="A74">
            <v>1973</v>
          </cell>
          <cell r="B74"/>
          <cell r="C74">
            <v>36</v>
          </cell>
        </row>
        <row r="75">
          <cell r="A75">
            <v>1974</v>
          </cell>
          <cell r="B75"/>
          <cell r="C75">
            <v>50</v>
          </cell>
        </row>
        <row r="76">
          <cell r="A76">
            <v>1975</v>
          </cell>
          <cell r="B76"/>
          <cell r="C76">
            <v>42</v>
          </cell>
        </row>
        <row r="77">
          <cell r="A77">
            <v>1976</v>
          </cell>
          <cell r="B77"/>
          <cell r="C77">
            <v>48</v>
          </cell>
        </row>
        <row r="78">
          <cell r="A78">
            <v>1977</v>
          </cell>
          <cell r="B78"/>
          <cell r="C78">
            <v>66</v>
          </cell>
        </row>
        <row r="79">
          <cell r="A79">
            <v>1978</v>
          </cell>
          <cell r="B79"/>
          <cell r="C79">
            <v>44</v>
          </cell>
        </row>
        <row r="80">
          <cell r="A80">
            <v>1979</v>
          </cell>
          <cell r="B80"/>
          <cell r="C80">
            <v>42</v>
          </cell>
        </row>
        <row r="81">
          <cell r="A81">
            <v>1980</v>
          </cell>
          <cell r="B81"/>
          <cell r="C81">
            <v>37</v>
          </cell>
        </row>
        <row r="82">
          <cell r="A82">
            <v>1981</v>
          </cell>
          <cell r="B82"/>
          <cell r="C82">
            <v>59</v>
          </cell>
        </row>
        <row r="83">
          <cell r="A83">
            <v>1982</v>
          </cell>
          <cell r="B83"/>
          <cell r="C83">
            <v>48</v>
          </cell>
        </row>
        <row r="84">
          <cell r="A84">
            <v>1983</v>
          </cell>
          <cell r="B84"/>
          <cell r="C84">
            <v>48</v>
          </cell>
        </row>
        <row r="85">
          <cell r="A85">
            <v>1984</v>
          </cell>
          <cell r="B85"/>
          <cell r="C85">
            <v>51</v>
          </cell>
        </row>
        <row r="86">
          <cell r="A86">
            <v>1985</v>
          </cell>
          <cell r="B86"/>
          <cell r="C86">
            <v>49</v>
          </cell>
        </row>
        <row r="87">
          <cell r="A87">
            <v>1986</v>
          </cell>
          <cell r="B87"/>
          <cell r="C87">
            <v>54.395604395604394</v>
          </cell>
        </row>
        <row r="88">
          <cell r="A88">
            <v>1987</v>
          </cell>
          <cell r="B88"/>
          <cell r="C88">
            <v>43.406593406593409</v>
          </cell>
        </row>
        <row r="89">
          <cell r="A89">
            <v>1988</v>
          </cell>
          <cell r="B89"/>
          <cell r="C89">
            <v>57.377049180327873</v>
          </cell>
        </row>
        <row r="90">
          <cell r="A90">
            <v>1989</v>
          </cell>
          <cell r="B90"/>
          <cell r="C90">
            <v>53.846153846153847</v>
          </cell>
        </row>
        <row r="91">
          <cell r="A91">
            <v>1990</v>
          </cell>
          <cell r="B91"/>
          <cell r="C91">
            <v>56.593406593406598</v>
          </cell>
        </row>
        <row r="92">
          <cell r="A92">
            <v>1991</v>
          </cell>
          <cell r="B92"/>
          <cell r="C92">
            <v>51.098901098901095</v>
          </cell>
        </row>
        <row r="93">
          <cell r="A93">
            <v>1992</v>
          </cell>
          <cell r="B93"/>
          <cell r="C93">
            <v>49.180327868852466</v>
          </cell>
        </row>
        <row r="94">
          <cell r="A94">
            <v>1993</v>
          </cell>
          <cell r="B94"/>
          <cell r="C94">
            <v>45.054945054945051</v>
          </cell>
        </row>
        <row r="95">
          <cell r="A95">
            <v>1994</v>
          </cell>
          <cell r="B95"/>
          <cell r="C95">
            <v>52.747252747252752</v>
          </cell>
        </row>
        <row r="96">
          <cell r="A96">
            <v>1995</v>
          </cell>
          <cell r="B96"/>
          <cell r="C96">
            <v>52.197802197802197</v>
          </cell>
        </row>
        <row r="97">
          <cell r="A97">
            <v>1996</v>
          </cell>
          <cell r="B97"/>
          <cell r="C97">
            <v>48.633879781420767</v>
          </cell>
        </row>
        <row r="98">
          <cell r="A98">
            <v>1997</v>
          </cell>
          <cell r="B98"/>
          <cell r="C98">
            <v>44.505494505494511</v>
          </cell>
        </row>
        <row r="99">
          <cell r="A99">
            <v>1998</v>
          </cell>
          <cell r="B99"/>
          <cell r="C99">
            <v>51.098901098901102</v>
          </cell>
        </row>
        <row r="100">
          <cell r="A100">
            <v>1999</v>
          </cell>
          <cell r="B100"/>
          <cell r="C100">
            <v>51.098901098901095</v>
          </cell>
        </row>
        <row r="101">
          <cell r="A101">
            <v>2000</v>
          </cell>
          <cell r="B101"/>
          <cell r="C101">
            <v>54.098360655737707</v>
          </cell>
        </row>
        <row r="102">
          <cell r="A102">
            <v>2001</v>
          </cell>
          <cell r="B102"/>
          <cell r="C102">
            <v>43.406593406593409</v>
          </cell>
        </row>
        <row r="103">
          <cell r="A103">
            <v>2002</v>
          </cell>
          <cell r="B103"/>
          <cell r="C103">
            <v>55.494505494505503</v>
          </cell>
        </row>
        <row r="104">
          <cell r="A104">
            <v>2003</v>
          </cell>
          <cell r="B104"/>
          <cell r="C104">
            <v>48.35164835164835</v>
          </cell>
        </row>
        <row r="105">
          <cell r="A105">
            <v>2004</v>
          </cell>
          <cell r="B105"/>
          <cell r="C105">
            <v>59.016393442622942</v>
          </cell>
        </row>
        <row r="106">
          <cell r="A106">
            <v>2005</v>
          </cell>
          <cell r="B106"/>
          <cell r="C106">
            <v>46.703296703296701</v>
          </cell>
        </row>
        <row r="107">
          <cell r="A107">
            <v>2006</v>
          </cell>
          <cell r="B107"/>
          <cell r="C107">
            <v>52.197802197802204</v>
          </cell>
        </row>
        <row r="108">
          <cell r="A108">
            <v>2007</v>
          </cell>
          <cell r="B108"/>
          <cell r="C108">
            <v>50</v>
          </cell>
        </row>
        <row r="109">
          <cell r="A109">
            <v>2008</v>
          </cell>
          <cell r="B109"/>
          <cell r="C109">
            <v>53.551912568306008</v>
          </cell>
        </row>
        <row r="110">
          <cell r="A110">
            <v>2009</v>
          </cell>
          <cell r="B110"/>
          <cell r="C110">
            <v>57.692307692307693</v>
          </cell>
        </row>
        <row r="111">
          <cell r="A111">
            <v>2010</v>
          </cell>
          <cell r="B111"/>
          <cell r="C111">
            <v>55.494505494505489</v>
          </cell>
        </row>
        <row r="112">
          <cell r="A112">
            <v>2011</v>
          </cell>
          <cell r="B112"/>
          <cell r="C112">
            <v>48.35164835164835</v>
          </cell>
        </row>
        <row r="113">
          <cell r="A113">
            <v>2012</v>
          </cell>
          <cell r="B113"/>
          <cell r="C113">
            <v>52.459016393442624</v>
          </cell>
        </row>
        <row r="114">
          <cell r="A114">
            <v>2013</v>
          </cell>
          <cell r="B114"/>
          <cell r="C114">
            <v>59.890109890109891</v>
          </cell>
        </row>
        <row r="115">
          <cell r="A115">
            <v>2014</v>
          </cell>
          <cell r="B115"/>
          <cell r="C115">
            <v>50.549450549450555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11</v>
      </c>
    </row>
    <row r="2" spans="1:9" ht="15.75" thickBot="1" x14ac:dyDescent="0.3"/>
    <row r="3" spans="1:9" x14ac:dyDescent="0.25">
      <c r="A3" s="17" t="s">
        <v>12</v>
      </c>
      <c r="B3" s="17"/>
    </row>
    <row r="4" spans="1:9" x14ac:dyDescent="0.25">
      <c r="A4" s="14" t="s">
        <v>13</v>
      </c>
      <c r="B4" s="14">
        <v>0.42911133178449379</v>
      </c>
    </row>
    <row r="5" spans="1:9" x14ac:dyDescent="0.25">
      <c r="A5" s="14" t="s">
        <v>14</v>
      </c>
      <c r="B5" s="14">
        <v>0.18413653506586192</v>
      </c>
      <c r="C5" s="33">
        <f>SQRT(0.184137)</f>
        <v>0.42911187352484198</v>
      </c>
    </row>
    <row r="6" spans="1:9" x14ac:dyDescent="0.25">
      <c r="A6" s="14" t="s">
        <v>15</v>
      </c>
      <c r="B6" s="14">
        <v>0.16713937954640071</v>
      </c>
    </row>
    <row r="7" spans="1:9" x14ac:dyDescent="0.25">
      <c r="A7" s="14" t="s">
        <v>16</v>
      </c>
      <c r="B7" s="14">
        <v>13.303491340486145</v>
      </c>
    </row>
    <row r="8" spans="1:9" ht="15.75" thickBot="1" x14ac:dyDescent="0.3">
      <c r="A8" s="15" t="s">
        <v>17</v>
      </c>
      <c r="B8" s="15">
        <v>50</v>
      </c>
    </row>
    <row r="10" spans="1:9" ht="15.75" thickBot="1" x14ac:dyDescent="0.3">
      <c r="A10" t="s">
        <v>18</v>
      </c>
    </row>
    <row r="11" spans="1:9" x14ac:dyDescent="0.25">
      <c r="A11" s="16"/>
      <c r="B11" s="16" t="s">
        <v>23</v>
      </c>
      <c r="C11" s="16" t="s">
        <v>24</v>
      </c>
      <c r="D11" s="16" t="s">
        <v>25</v>
      </c>
      <c r="E11" s="16" t="s">
        <v>26</v>
      </c>
      <c r="F11" s="16" t="s">
        <v>27</v>
      </c>
    </row>
    <row r="12" spans="1:9" x14ac:dyDescent="0.25">
      <c r="A12" s="14" t="s">
        <v>19</v>
      </c>
      <c r="B12" s="14">
        <v>1</v>
      </c>
      <c r="C12" s="14">
        <v>1917.3216713732872</v>
      </c>
      <c r="D12" s="14">
        <v>1917.3216713732872</v>
      </c>
      <c r="E12" s="14">
        <v>10.83337355212355</v>
      </c>
      <c r="F12" s="14">
        <v>1.8741327910616764E-3</v>
      </c>
    </row>
    <row r="13" spans="1:9" x14ac:dyDescent="0.25">
      <c r="A13" s="14" t="s">
        <v>20</v>
      </c>
      <c r="B13" s="14">
        <v>48</v>
      </c>
      <c r="C13" s="14">
        <v>8495.1783286267128</v>
      </c>
      <c r="D13" s="14">
        <v>176.98288184638986</v>
      </c>
      <c r="E13" s="14"/>
      <c r="F13" s="14"/>
    </row>
    <row r="14" spans="1:9" ht="15.75" thickBot="1" x14ac:dyDescent="0.3">
      <c r="A14" s="15" t="s">
        <v>21</v>
      </c>
      <c r="B14" s="15">
        <v>49</v>
      </c>
      <c r="C14" s="15">
        <v>10412.5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28</v>
      </c>
      <c r="C16" s="16" t="s">
        <v>16</v>
      </c>
      <c r="D16" s="16" t="s">
        <v>29</v>
      </c>
      <c r="E16" s="16" t="s">
        <v>30</v>
      </c>
      <c r="F16" s="16" t="s">
        <v>31</v>
      </c>
      <c r="G16" s="16" t="s">
        <v>32</v>
      </c>
      <c r="H16" s="16" t="s">
        <v>33</v>
      </c>
      <c r="I16" s="16" t="s">
        <v>34</v>
      </c>
    </row>
    <row r="17" spans="1:9" x14ac:dyDescent="0.25">
      <c r="A17" s="14" t="s">
        <v>22</v>
      </c>
      <c r="B17" s="14">
        <v>2013.3446292228846</v>
      </c>
      <c r="C17" s="14">
        <v>8.1662372758612083</v>
      </c>
      <c r="D17" s="14">
        <v>246.54495837075197</v>
      </c>
      <c r="E17" s="14">
        <v>3.8883939139447678E-76</v>
      </c>
      <c r="F17" s="14">
        <v>1996.9253087170314</v>
      </c>
      <c r="G17" s="14">
        <v>2029.7639497287378</v>
      </c>
      <c r="H17" s="14">
        <v>1996.9253087170314</v>
      </c>
      <c r="I17" s="14">
        <v>2029.7639497287378</v>
      </c>
    </row>
    <row r="18" spans="1:9" ht="15.75" thickBot="1" x14ac:dyDescent="0.3">
      <c r="A18" s="15" t="s">
        <v>1</v>
      </c>
      <c r="B18" s="15">
        <v>1.1526095596694903</v>
      </c>
      <c r="C18" s="15">
        <v>0.35018727275110723</v>
      </c>
      <c r="D18" s="15">
        <v>3.2914090526890685</v>
      </c>
      <c r="E18" s="18">
        <v>1.8741327910616831E-3</v>
      </c>
      <c r="F18" s="15">
        <v>0.44851085739847718</v>
      </c>
      <c r="G18" s="15">
        <v>1.8567082619405033</v>
      </c>
      <c r="H18" s="15">
        <v>0.44851085739847718</v>
      </c>
      <c r="I18" s="15">
        <v>1.8567082619405033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54</v>
      </c>
    </row>
    <row r="2" spans="1:9" ht="15.75" thickBot="1" x14ac:dyDescent="0.3"/>
    <row r="3" spans="1:9" x14ac:dyDescent="0.25">
      <c r="A3" s="17" t="s">
        <v>12</v>
      </c>
      <c r="B3" s="17"/>
    </row>
    <row r="4" spans="1:9" x14ac:dyDescent="0.25">
      <c r="A4" s="14" t="s">
        <v>13</v>
      </c>
      <c r="B4" s="14">
        <v>0.10186079612021176</v>
      </c>
    </row>
    <row r="5" spans="1:9" x14ac:dyDescent="0.25">
      <c r="A5" s="14" t="s">
        <v>14</v>
      </c>
      <c r="B5" s="14">
        <v>1.0375621786243348E-2</v>
      </c>
      <c r="C5" s="33">
        <f>SQRT(0.010376)</f>
        <v>0.10186265262597474</v>
      </c>
    </row>
    <row r="6" spans="1:9" x14ac:dyDescent="0.25">
      <c r="A6" s="14" t="s">
        <v>15</v>
      </c>
      <c r="B6" s="14">
        <v>-1.0241552759876581E-2</v>
      </c>
    </row>
    <row r="7" spans="1:9" x14ac:dyDescent="0.25">
      <c r="A7" s="14" t="s">
        <v>16</v>
      </c>
      <c r="B7" s="14">
        <v>14.651837084866655</v>
      </c>
    </row>
    <row r="8" spans="1:9" ht="15.75" thickBot="1" x14ac:dyDescent="0.3">
      <c r="A8" s="15" t="s">
        <v>17</v>
      </c>
      <c r="B8" s="15">
        <v>50</v>
      </c>
    </row>
    <row r="10" spans="1:9" ht="15.75" thickBot="1" x14ac:dyDescent="0.3">
      <c r="A10" t="s">
        <v>18</v>
      </c>
    </row>
    <row r="11" spans="1:9" x14ac:dyDescent="0.25">
      <c r="A11" s="16"/>
      <c r="B11" s="16" t="s">
        <v>23</v>
      </c>
      <c r="C11" s="16" t="s">
        <v>24</v>
      </c>
      <c r="D11" s="16" t="s">
        <v>25</v>
      </c>
      <c r="E11" s="16" t="s">
        <v>26</v>
      </c>
      <c r="F11" s="16" t="s">
        <v>27</v>
      </c>
    </row>
    <row r="12" spans="1:9" x14ac:dyDescent="0.25">
      <c r="A12" s="14" t="s">
        <v>19</v>
      </c>
      <c r="B12" s="14">
        <v>1</v>
      </c>
      <c r="C12" s="14">
        <v>108.03616184925886</v>
      </c>
      <c r="D12" s="14">
        <v>108.03616184925886</v>
      </c>
      <c r="E12" s="14">
        <v>0.50325139184486356</v>
      </c>
      <c r="F12" s="14">
        <v>0.48150682290725577</v>
      </c>
    </row>
    <row r="13" spans="1:9" x14ac:dyDescent="0.25">
      <c r="A13" s="14" t="s">
        <v>20</v>
      </c>
      <c r="B13" s="14">
        <v>48</v>
      </c>
      <c r="C13" s="14">
        <v>10304.463838150741</v>
      </c>
      <c r="D13" s="14">
        <v>214.67632996147378</v>
      </c>
      <c r="E13" s="14"/>
      <c r="F13" s="14"/>
    </row>
    <row r="14" spans="1:9" ht="15.75" thickBot="1" x14ac:dyDescent="0.3">
      <c r="A14" s="15" t="s">
        <v>21</v>
      </c>
      <c r="B14" s="15">
        <v>49</v>
      </c>
      <c r="C14" s="15">
        <v>10412.5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28</v>
      </c>
      <c r="C16" s="16" t="s">
        <v>16</v>
      </c>
      <c r="D16" s="16" t="s">
        <v>29</v>
      </c>
      <c r="E16" s="16" t="s">
        <v>30</v>
      </c>
      <c r="F16" s="16" t="s">
        <v>31</v>
      </c>
      <c r="G16" s="16" t="s">
        <v>32</v>
      </c>
      <c r="H16" s="16" t="s">
        <v>33</v>
      </c>
      <c r="I16" s="16" t="s">
        <v>34</v>
      </c>
    </row>
    <row r="17" spans="1:9" x14ac:dyDescent="0.25">
      <c r="A17" s="14" t="s">
        <v>22</v>
      </c>
      <c r="B17" s="14">
        <v>2035.0248690127416</v>
      </c>
      <c r="C17" s="14">
        <v>6.6399054371687507</v>
      </c>
      <c r="D17" s="14">
        <v>306.48401370614613</v>
      </c>
      <c r="E17" s="14">
        <v>1.1377668919819543E-80</v>
      </c>
      <c r="F17" s="14">
        <v>2021.6744443534321</v>
      </c>
      <c r="G17" s="14">
        <v>2048.3752936720512</v>
      </c>
      <c r="H17" s="14">
        <v>2021.6744443534321</v>
      </c>
      <c r="I17" s="14">
        <v>2048.3752936720512</v>
      </c>
    </row>
    <row r="18" spans="1:9" ht="15.75" thickBot="1" x14ac:dyDescent="0.3">
      <c r="A18" s="15" t="s">
        <v>2</v>
      </c>
      <c r="B18" s="15">
        <v>0.42163232286374369</v>
      </c>
      <c r="C18" s="15">
        <v>0.59434881984351828</v>
      </c>
      <c r="D18" s="15">
        <v>0.7094021369046416</v>
      </c>
      <c r="E18" s="18">
        <v>0.481506822907252</v>
      </c>
      <c r="F18" s="15">
        <v>-0.77338607246657665</v>
      </c>
      <c r="G18" s="15">
        <v>1.6166507181940641</v>
      </c>
      <c r="H18" s="15">
        <v>-0.77338607246657665</v>
      </c>
      <c r="I18" s="15">
        <v>1.6166507181940641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11</v>
      </c>
    </row>
    <row r="2" spans="1:9" ht="15.75" thickBot="1" x14ac:dyDescent="0.3"/>
    <row r="3" spans="1:9" x14ac:dyDescent="0.25">
      <c r="A3" s="17" t="s">
        <v>12</v>
      </c>
      <c r="B3" s="17"/>
    </row>
    <row r="4" spans="1:9" x14ac:dyDescent="0.25">
      <c r="A4" s="14" t="s">
        <v>13</v>
      </c>
      <c r="B4" s="14">
        <v>0.49641283569222766</v>
      </c>
    </row>
    <row r="5" spans="1:9" x14ac:dyDescent="0.25">
      <c r="A5" s="14" t="s">
        <v>14</v>
      </c>
      <c r="B5" s="14">
        <v>0.24642570343999859</v>
      </c>
      <c r="C5" s="33">
        <f>SQRT(0.246426)</f>
        <v>0.49641313439513263</v>
      </c>
    </row>
    <row r="6" spans="1:9" x14ac:dyDescent="0.25">
      <c r="A6" s="14" t="s">
        <v>15</v>
      </c>
      <c r="B6" s="14">
        <v>0.23072623892833188</v>
      </c>
    </row>
    <row r="7" spans="1:9" x14ac:dyDescent="0.25">
      <c r="A7" s="14" t="s">
        <v>16</v>
      </c>
      <c r="B7" s="14">
        <v>12.785565072679793</v>
      </c>
    </row>
    <row r="8" spans="1:9" ht="15.75" thickBot="1" x14ac:dyDescent="0.3">
      <c r="A8" s="15" t="s">
        <v>17</v>
      </c>
      <c r="B8" s="15">
        <v>50</v>
      </c>
    </row>
    <row r="10" spans="1:9" ht="15.75" thickBot="1" x14ac:dyDescent="0.3">
      <c r="A10" t="s">
        <v>18</v>
      </c>
    </row>
    <row r="11" spans="1:9" x14ac:dyDescent="0.25">
      <c r="A11" s="16"/>
      <c r="B11" s="16" t="s">
        <v>23</v>
      </c>
      <c r="C11" s="16" t="s">
        <v>24</v>
      </c>
      <c r="D11" s="16" t="s">
        <v>25</v>
      </c>
      <c r="E11" s="16" t="s">
        <v>26</v>
      </c>
      <c r="F11" s="16" t="s">
        <v>27</v>
      </c>
    </row>
    <row r="12" spans="1:9" x14ac:dyDescent="0.25">
      <c r="A12" s="14" t="s">
        <v>19</v>
      </c>
      <c r="B12" s="14">
        <v>1</v>
      </c>
      <c r="C12" s="14">
        <v>2565.9076370689854</v>
      </c>
      <c r="D12" s="14">
        <v>2565.9076370689854</v>
      </c>
      <c r="E12" s="14">
        <v>15.696440044618912</v>
      </c>
      <c r="F12" s="14">
        <v>2.4590373796614968E-4</v>
      </c>
    </row>
    <row r="13" spans="1:9" x14ac:dyDescent="0.25">
      <c r="A13" s="14" t="s">
        <v>20</v>
      </c>
      <c r="B13" s="14">
        <v>48</v>
      </c>
      <c r="C13" s="14">
        <v>7846.5923629310146</v>
      </c>
      <c r="D13" s="14">
        <v>163.47067422772946</v>
      </c>
      <c r="E13" s="14"/>
      <c r="F13" s="14"/>
    </row>
    <row r="14" spans="1:9" ht="15.75" thickBot="1" x14ac:dyDescent="0.3">
      <c r="A14" s="15" t="s">
        <v>21</v>
      </c>
      <c r="B14" s="15">
        <v>49</v>
      </c>
      <c r="C14" s="15">
        <v>10412.5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28</v>
      </c>
      <c r="C16" s="16" t="s">
        <v>16</v>
      </c>
      <c r="D16" s="16" t="s">
        <v>29</v>
      </c>
      <c r="E16" s="16" t="s">
        <v>30</v>
      </c>
      <c r="F16" s="16" t="s">
        <v>31</v>
      </c>
      <c r="G16" s="16" t="s">
        <v>32</v>
      </c>
      <c r="H16" s="16" t="s">
        <v>33</v>
      </c>
      <c r="I16" s="16" t="s">
        <v>34</v>
      </c>
    </row>
    <row r="17" spans="1:9" x14ac:dyDescent="0.25">
      <c r="A17" s="14" t="s">
        <v>22</v>
      </c>
      <c r="B17" s="14">
        <v>2072.5948391490065</v>
      </c>
      <c r="C17" s="14">
        <v>8.5467861023606293</v>
      </c>
      <c r="D17" s="14">
        <v>242.4999074887991</v>
      </c>
      <c r="E17" s="14">
        <v>8.5972086809722455E-76</v>
      </c>
      <c r="F17" s="14">
        <v>2055.4103739456204</v>
      </c>
      <c r="G17" s="14">
        <v>2089.7793043523925</v>
      </c>
      <c r="H17" s="14">
        <v>2055.4103739456204</v>
      </c>
      <c r="I17" s="14">
        <v>2089.7793043523925</v>
      </c>
    </row>
    <row r="18" spans="1:9" ht="15.75" thickBot="1" x14ac:dyDescent="0.3">
      <c r="A18" s="15" t="s">
        <v>4</v>
      </c>
      <c r="B18" s="15">
        <v>-1.4806442293803272</v>
      </c>
      <c r="C18" s="15">
        <v>0.37372326606462369</v>
      </c>
      <c r="D18" s="15">
        <v>-3.9618732999199904</v>
      </c>
      <c r="E18" s="18">
        <v>2.4590373796614968E-4</v>
      </c>
      <c r="F18" s="15">
        <v>-2.2320652178627078</v>
      </c>
      <c r="G18" s="15">
        <v>-0.72922324089794643</v>
      </c>
      <c r="H18" s="15">
        <v>-2.2320652178627078</v>
      </c>
      <c r="I18" s="15">
        <v>-0.72922324089794643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21" sqref="H21"/>
    </sheetView>
  </sheetViews>
  <sheetFormatPr defaultRowHeight="15" x14ac:dyDescent="0.25"/>
  <sheetData>
    <row r="1" spans="1:9" x14ac:dyDescent="0.25">
      <c r="A1" t="s">
        <v>11</v>
      </c>
    </row>
    <row r="2" spans="1:9" ht="15.75" thickBot="1" x14ac:dyDescent="0.3"/>
    <row r="3" spans="1:9" x14ac:dyDescent="0.25">
      <c r="A3" s="17" t="s">
        <v>12</v>
      </c>
      <c r="B3" s="17"/>
    </row>
    <row r="4" spans="1:9" x14ac:dyDescent="0.25">
      <c r="A4" s="14" t="s">
        <v>13</v>
      </c>
      <c r="B4" s="14">
        <v>0.21005398403595543</v>
      </c>
    </row>
    <row r="5" spans="1:9" x14ac:dyDescent="0.25">
      <c r="A5" s="14" t="s">
        <v>14</v>
      </c>
      <c r="B5" s="14">
        <v>4.4122676209377418E-2</v>
      </c>
      <c r="C5" s="33">
        <f>SQRT(0.044123)</f>
        <v>0.2100547547664656</v>
      </c>
    </row>
    <row r="6" spans="1:9" x14ac:dyDescent="0.25">
      <c r="A6" s="14" t="s">
        <v>15</v>
      </c>
      <c r="B6" s="14">
        <v>2.4208565297072781E-2</v>
      </c>
    </row>
    <row r="7" spans="1:9" x14ac:dyDescent="0.25">
      <c r="A7" s="14" t="s">
        <v>16</v>
      </c>
      <c r="B7" s="14">
        <v>14.399849994856615</v>
      </c>
    </row>
    <row r="8" spans="1:9" ht="15.75" thickBot="1" x14ac:dyDescent="0.3">
      <c r="A8" s="15" t="s">
        <v>17</v>
      </c>
      <c r="B8" s="15">
        <v>50</v>
      </c>
    </row>
    <row r="10" spans="1:9" ht="15.75" thickBot="1" x14ac:dyDescent="0.3">
      <c r="A10" t="s">
        <v>18</v>
      </c>
    </row>
    <row r="11" spans="1:9" x14ac:dyDescent="0.25">
      <c r="A11" s="16"/>
      <c r="B11" s="16" t="s">
        <v>23</v>
      </c>
      <c r="C11" s="16" t="s">
        <v>24</v>
      </c>
      <c r="D11" s="16" t="s">
        <v>25</v>
      </c>
      <c r="E11" s="16" t="s">
        <v>26</v>
      </c>
      <c r="F11" s="16" t="s">
        <v>27</v>
      </c>
    </row>
    <row r="12" spans="1:9" x14ac:dyDescent="0.25">
      <c r="A12" s="14" t="s">
        <v>19</v>
      </c>
      <c r="B12" s="14">
        <v>1</v>
      </c>
      <c r="C12" s="14">
        <v>459.42736603014237</v>
      </c>
      <c r="D12" s="14">
        <v>459.42736603014237</v>
      </c>
      <c r="E12" s="14">
        <v>2.2156488132299526</v>
      </c>
      <c r="F12" s="14">
        <v>0.14315866718537654</v>
      </c>
    </row>
    <row r="13" spans="1:9" x14ac:dyDescent="0.25">
      <c r="A13" s="14" t="s">
        <v>20</v>
      </c>
      <c r="B13" s="14">
        <v>48</v>
      </c>
      <c r="C13" s="14">
        <v>9953.0726339698576</v>
      </c>
      <c r="D13" s="14">
        <v>207.35567987437204</v>
      </c>
      <c r="E13" s="14"/>
      <c r="F13" s="14"/>
    </row>
    <row r="14" spans="1:9" ht="15.75" thickBot="1" x14ac:dyDescent="0.3">
      <c r="A14" s="15" t="s">
        <v>21</v>
      </c>
      <c r="B14" s="15">
        <v>49</v>
      </c>
      <c r="C14" s="15">
        <v>10412.5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28</v>
      </c>
      <c r="C16" s="16" t="s">
        <v>16</v>
      </c>
      <c r="D16" s="16" t="s">
        <v>29</v>
      </c>
      <c r="E16" s="16" t="s">
        <v>30</v>
      </c>
      <c r="F16" s="16" t="s">
        <v>31</v>
      </c>
      <c r="G16" s="16" t="s">
        <v>32</v>
      </c>
      <c r="H16" s="16" t="s">
        <v>33</v>
      </c>
      <c r="I16" s="16" t="s">
        <v>34</v>
      </c>
    </row>
    <row r="17" spans="1:9" x14ac:dyDescent="0.25">
      <c r="A17" s="14" t="s">
        <v>22</v>
      </c>
      <c r="B17" s="14">
        <v>2026.7183575788008</v>
      </c>
      <c r="C17" s="14">
        <v>8.8250720074449021</v>
      </c>
      <c r="D17" s="14">
        <v>229.65459725076971</v>
      </c>
      <c r="E17" s="14">
        <v>1.1693602651931298E-74</v>
      </c>
      <c r="F17" s="14">
        <v>2008.9743610620953</v>
      </c>
      <c r="G17" s="14">
        <v>2044.4623540955063</v>
      </c>
      <c r="H17" s="14">
        <v>2008.9743610620953</v>
      </c>
      <c r="I17" s="14">
        <v>2044.4623540955063</v>
      </c>
    </row>
    <row r="18" spans="1:9" ht="15.75" thickBot="1" x14ac:dyDescent="0.3">
      <c r="A18" s="15" t="s">
        <v>5</v>
      </c>
      <c r="B18" s="15">
        <v>0.66390183584620555</v>
      </c>
      <c r="C18" s="15">
        <v>0.44601904892201488</v>
      </c>
      <c r="D18" s="15">
        <v>1.4885055637215325</v>
      </c>
      <c r="E18" s="18">
        <v>0.14315866718537607</v>
      </c>
      <c r="F18" s="15">
        <v>-0.23287956647890007</v>
      </c>
      <c r="G18" s="15">
        <v>1.5606832381713112</v>
      </c>
      <c r="H18" s="15">
        <v>-0.23287956647890007</v>
      </c>
      <c r="I18" s="15">
        <v>1.5606832381713112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abSelected="1" topLeftCell="A145" workbookViewId="0">
      <selection activeCell="D176" sqref="D176"/>
    </sheetView>
  </sheetViews>
  <sheetFormatPr defaultRowHeight="15" x14ac:dyDescent="0.25"/>
  <cols>
    <col min="1" max="1" width="27.28515625" customWidth="1"/>
    <col min="2" max="3" width="14.7109375" customWidth="1"/>
    <col min="4" max="4" width="18.28515625" customWidth="1"/>
    <col min="5" max="5" width="21.140625" customWidth="1"/>
    <col min="6" max="10" width="14.7109375" customWidth="1"/>
    <col min="11" max="12" width="9.140625" customWidth="1"/>
    <col min="16" max="16" width="9.140625" customWidth="1"/>
  </cols>
  <sheetData>
    <row r="1" spans="1:8" ht="31.5" x14ac:dyDescent="0.5">
      <c r="A1" s="24" t="s">
        <v>47</v>
      </c>
    </row>
    <row r="2" spans="1:8" ht="26.25" x14ac:dyDescent="0.4">
      <c r="A2" s="22"/>
    </row>
    <row r="3" spans="1:8" ht="35.25" customHeight="1" x14ac:dyDescent="0.35">
      <c r="A3" s="21" t="s">
        <v>38</v>
      </c>
    </row>
    <row r="4" spans="1:8" x14ac:dyDescent="0.25">
      <c r="A4" s="1" t="s">
        <v>0</v>
      </c>
      <c r="B4" s="2" t="s">
        <v>1</v>
      </c>
      <c r="C4" s="3" t="s">
        <v>2</v>
      </c>
      <c r="D4" s="4" t="s">
        <v>3</v>
      </c>
      <c r="E4" s="5" t="s">
        <v>4</v>
      </c>
      <c r="F4" s="5" t="s">
        <v>5</v>
      </c>
      <c r="G4" s="6" t="s">
        <v>6</v>
      </c>
      <c r="H4" s="7" t="s">
        <v>35</v>
      </c>
    </row>
    <row r="5" spans="1:8" x14ac:dyDescent="0.25">
      <c r="A5" s="8">
        <v>1986</v>
      </c>
      <c r="B5" s="11">
        <f>32/182*100</f>
        <v>17.582417582417584</v>
      </c>
      <c r="C5" s="11">
        <f>15/182*100</f>
        <v>8.2417582417582409</v>
      </c>
      <c r="D5" s="11">
        <f>34/182*100</f>
        <v>18.681318681318682</v>
      </c>
      <c r="E5" s="11">
        <f>38/182*100</f>
        <v>20.87912087912088</v>
      </c>
      <c r="F5" s="11">
        <f>33/182*100</f>
        <v>18.131868131868131</v>
      </c>
      <c r="G5" s="11">
        <f>10/182*100</f>
        <v>5.4945054945054945</v>
      </c>
      <c r="H5" s="11">
        <f>15/182*100</f>
        <v>8.2417582417582409</v>
      </c>
    </row>
    <row r="6" spans="1:8" x14ac:dyDescent="0.25">
      <c r="A6" s="8">
        <v>1987</v>
      </c>
      <c r="B6" s="11">
        <f>36/182*100</f>
        <v>19.780219780219781</v>
      </c>
      <c r="C6" s="11">
        <f>34/182*100</f>
        <v>18.681318681318682</v>
      </c>
      <c r="D6" s="11">
        <f>16/182*100</f>
        <v>8.791208791208792</v>
      </c>
      <c r="E6" s="11">
        <f>26/182*100</f>
        <v>14.285714285714285</v>
      </c>
      <c r="F6" s="11">
        <f>27/182*100</f>
        <v>14.835164835164836</v>
      </c>
      <c r="G6" s="11">
        <f>22/182*100</f>
        <v>12.087912087912088</v>
      </c>
      <c r="H6" s="11">
        <f>15/182*100</f>
        <v>8.2417582417582409</v>
      </c>
    </row>
    <row r="7" spans="1:8" x14ac:dyDescent="0.25">
      <c r="A7" s="8">
        <v>1988</v>
      </c>
      <c r="B7" s="11">
        <f>26/183*100</f>
        <v>14.207650273224044</v>
      </c>
      <c r="C7" s="11">
        <f>27/183*100</f>
        <v>14.754098360655737</v>
      </c>
      <c r="D7" s="11">
        <f>50/183*100</f>
        <v>27.322404371584703</v>
      </c>
      <c r="E7" s="11">
        <f>29/182*100</f>
        <v>15.934065934065933</v>
      </c>
      <c r="F7" s="11">
        <f>29/183*100</f>
        <v>15.846994535519126</v>
      </c>
      <c r="G7" s="11">
        <f>6/183*100</f>
        <v>3.278688524590164</v>
      </c>
      <c r="H7" s="11">
        <f>9/183*100</f>
        <v>4.918032786885246</v>
      </c>
    </row>
    <row r="8" spans="1:8" x14ac:dyDescent="0.25">
      <c r="A8" s="8">
        <v>1989</v>
      </c>
      <c r="B8" s="11">
        <f>38/182*100</f>
        <v>20.87912087912088</v>
      </c>
      <c r="C8" s="11">
        <f>23/182*100</f>
        <v>12.637362637362637</v>
      </c>
      <c r="D8" s="11">
        <f>27/182*100</f>
        <v>14.835164835164836</v>
      </c>
      <c r="E8" s="11">
        <f>50/182*100</f>
        <v>27.472527472527474</v>
      </c>
      <c r="F8" s="11">
        <f>33/182*100</f>
        <v>18.131868131868131</v>
      </c>
      <c r="G8" s="11">
        <f>2/182*100</f>
        <v>1.098901098901099</v>
      </c>
      <c r="H8" s="11">
        <f>4/182*100</f>
        <v>2.197802197802198</v>
      </c>
    </row>
    <row r="9" spans="1:8" x14ac:dyDescent="0.25">
      <c r="A9" s="8">
        <v>1990</v>
      </c>
      <c r="B9" s="11">
        <f>27/182*100</f>
        <v>14.835164835164836</v>
      </c>
      <c r="C9" s="11">
        <f>24/182*100</f>
        <v>13.186813186813188</v>
      </c>
      <c r="D9" s="11">
        <f>34/182*100</f>
        <v>18.681318681318682</v>
      </c>
      <c r="E9" s="11">
        <f>32/182*100</f>
        <v>17.582417582417584</v>
      </c>
      <c r="F9" s="11">
        <f>42/182*100</f>
        <v>23.076923076923077</v>
      </c>
      <c r="G9" s="11">
        <f>8/182*100</f>
        <v>4.395604395604396</v>
      </c>
      <c r="H9" s="11">
        <f>9/182*100</f>
        <v>4.9450549450549453</v>
      </c>
    </row>
    <row r="10" spans="1:8" x14ac:dyDescent="0.25">
      <c r="A10" s="8">
        <v>1991</v>
      </c>
      <c r="B10" s="11">
        <f>27/182*100</f>
        <v>14.835164835164836</v>
      </c>
      <c r="C10" s="11">
        <f>18/182*100</f>
        <v>9.8901098901098905</v>
      </c>
      <c r="D10" s="11">
        <f>27/182*100</f>
        <v>14.835164835164836</v>
      </c>
      <c r="E10" s="11">
        <f>41/183*100</f>
        <v>22.404371584699454</v>
      </c>
      <c r="F10" s="11">
        <f>39/182*100</f>
        <v>21.428571428571427</v>
      </c>
      <c r="G10" s="11">
        <f>9/182*100</f>
        <v>4.9450549450549453</v>
      </c>
      <c r="H10" s="11">
        <f>14/182*100</f>
        <v>7.6923076923076925</v>
      </c>
    </row>
    <row r="11" spans="1:8" x14ac:dyDescent="0.25">
      <c r="A11" s="8">
        <v>1992</v>
      </c>
      <c r="B11" s="11">
        <f>32/183*100</f>
        <v>17.486338797814209</v>
      </c>
      <c r="C11" s="11">
        <f>29/183*100</f>
        <v>15.846994535519126</v>
      </c>
      <c r="D11" s="11">
        <f>31/183*100</f>
        <v>16.939890710382514</v>
      </c>
      <c r="E11" s="11">
        <f>18/183*100</f>
        <v>9.8360655737704921</v>
      </c>
      <c r="F11" s="11">
        <f>27/183*100</f>
        <v>14.754098360655737</v>
      </c>
      <c r="G11" s="11">
        <f>25/183*100</f>
        <v>13.661202185792352</v>
      </c>
      <c r="H11" s="11">
        <f>9/183*100</f>
        <v>4.918032786885246</v>
      </c>
    </row>
    <row r="12" spans="1:8" x14ac:dyDescent="0.25">
      <c r="A12" s="8">
        <v>1993</v>
      </c>
      <c r="B12" s="11">
        <f>14/182*100</f>
        <v>7.6923076923076925</v>
      </c>
      <c r="C12" s="11">
        <f>30/183*100</f>
        <v>16.393442622950818</v>
      </c>
      <c r="D12" s="11">
        <f>26/182*100</f>
        <v>14.285714285714285</v>
      </c>
      <c r="E12" s="11">
        <f>35/182*100</f>
        <v>19.230769230769234</v>
      </c>
      <c r="F12" s="11">
        <f>42/182*100</f>
        <v>23.076923076923077</v>
      </c>
      <c r="G12" s="11">
        <f>14/182*100</f>
        <v>7.6923076923076925</v>
      </c>
      <c r="H12" s="11">
        <f>6/182*100</f>
        <v>3.296703296703297</v>
      </c>
    </row>
    <row r="13" spans="1:8" x14ac:dyDescent="0.25">
      <c r="A13" s="19">
        <v>1994</v>
      </c>
      <c r="B13" s="11">
        <f>32/182*100</f>
        <v>17.582417582417584</v>
      </c>
      <c r="C13" s="11">
        <f>27/182*100</f>
        <v>14.835164835164836</v>
      </c>
      <c r="D13" s="11">
        <f>35/182*100</f>
        <v>19.230769230769234</v>
      </c>
      <c r="E13" s="11">
        <f>19/182*100</f>
        <v>10.43956043956044</v>
      </c>
      <c r="F13" s="11">
        <f>29/182*100</f>
        <v>15.934065934065933</v>
      </c>
      <c r="G13" s="11">
        <f>9/182*100</f>
        <v>4.9450549450549453</v>
      </c>
      <c r="H13" s="11">
        <f>20/182*100</f>
        <v>10.989010989010989</v>
      </c>
    </row>
    <row r="14" spans="1:8" x14ac:dyDescent="0.25">
      <c r="A14" s="19">
        <v>1995</v>
      </c>
      <c r="B14" s="11">
        <f>24/182*100</f>
        <v>13.186813186813188</v>
      </c>
      <c r="C14" s="11">
        <f>29/182*100</f>
        <v>15.934065934065933</v>
      </c>
      <c r="D14" s="11">
        <f>20/182*100</f>
        <v>10.989010989010989</v>
      </c>
      <c r="E14" s="11">
        <f>37/182*100</f>
        <v>20.329670329670328</v>
      </c>
      <c r="F14" s="11">
        <f>51/182*100</f>
        <v>28.021978021978022</v>
      </c>
      <c r="G14" s="11">
        <f>9/182*100</f>
        <v>4.9450549450549453</v>
      </c>
      <c r="H14" s="11">
        <f>6/182*100</f>
        <v>3.296703296703297</v>
      </c>
    </row>
    <row r="15" spans="1:8" x14ac:dyDescent="0.25">
      <c r="A15" s="19">
        <v>1996</v>
      </c>
      <c r="B15" s="11">
        <f>20/183*100</f>
        <v>10.928961748633879</v>
      </c>
      <c r="C15" s="11">
        <f>17/183*100</f>
        <v>9.2896174863387984</v>
      </c>
      <c r="D15" s="11">
        <f>32/183*100</f>
        <v>17.486338797814209</v>
      </c>
      <c r="E15" s="11">
        <f>53/183*100</f>
        <v>28.961748633879779</v>
      </c>
      <c r="F15" s="11">
        <f>37/183*100</f>
        <v>20.21857923497268</v>
      </c>
      <c r="G15" s="11">
        <f>8/183*100</f>
        <v>4.3715846994535523</v>
      </c>
      <c r="H15" s="11">
        <f>11/183*100</f>
        <v>6.0109289617486334</v>
      </c>
    </row>
    <row r="16" spans="1:8" x14ac:dyDescent="0.25">
      <c r="A16" s="19">
        <v>1997</v>
      </c>
      <c r="B16" s="11">
        <f>20/182*100</f>
        <v>10.989010989010989</v>
      </c>
      <c r="C16" s="11">
        <f>27/182*100</f>
        <v>14.835164835164836</v>
      </c>
      <c r="D16" s="11">
        <f>19/182*100</f>
        <v>10.43956043956044</v>
      </c>
      <c r="E16" s="11">
        <f>46/182*100</f>
        <v>25.274725274725274</v>
      </c>
      <c r="F16" s="11">
        <f>42/182*100</f>
        <v>23.076923076923077</v>
      </c>
      <c r="G16" s="11">
        <f>8/182*100</f>
        <v>4.395604395604396</v>
      </c>
      <c r="H16" s="11">
        <f>10/182*100</f>
        <v>5.4945054945054945</v>
      </c>
    </row>
    <row r="17" spans="1:8" x14ac:dyDescent="0.25">
      <c r="A17" s="19">
        <v>1998</v>
      </c>
      <c r="B17" s="11">
        <f>26/182*100</f>
        <v>14.285714285714285</v>
      </c>
      <c r="C17" s="11">
        <f>17/182*100</f>
        <v>9.3406593406593412</v>
      </c>
      <c r="D17" s="11">
        <f>35/182*100</f>
        <v>19.230769230769234</v>
      </c>
      <c r="E17" s="11">
        <f>25/182*100</f>
        <v>13.736263736263737</v>
      </c>
      <c r="F17" s="11">
        <f>32/182*100</f>
        <v>17.582417582417584</v>
      </c>
      <c r="G17" s="11">
        <f>23/182*100</f>
        <v>12.637362637362637</v>
      </c>
      <c r="H17" s="11">
        <f>10/182*100</f>
        <v>5.4945054945054945</v>
      </c>
    </row>
    <row r="18" spans="1:8" x14ac:dyDescent="0.25">
      <c r="A18" s="19">
        <v>1999</v>
      </c>
      <c r="B18" s="11">
        <f>25/182*100</f>
        <v>13.736263736263737</v>
      </c>
      <c r="C18" s="11">
        <f>30/182*100</f>
        <v>16.483516483516482</v>
      </c>
      <c r="D18" s="11">
        <f>22/182*100</f>
        <v>12.087912087912088</v>
      </c>
      <c r="E18" s="11">
        <f>38/182*100</f>
        <v>20.87912087912088</v>
      </c>
      <c r="F18" s="11">
        <f>46/182*100</f>
        <v>25.274725274725274</v>
      </c>
      <c r="G18" s="11">
        <f>9/182*100</f>
        <v>4.9450549450549453</v>
      </c>
      <c r="H18" s="11">
        <f>4/182*100</f>
        <v>2.197802197802198</v>
      </c>
    </row>
    <row r="19" spans="1:8" x14ac:dyDescent="0.25">
      <c r="A19" s="19">
        <v>2000</v>
      </c>
      <c r="B19" s="11">
        <f>41/183*100</f>
        <v>22.404371584699454</v>
      </c>
      <c r="C19" s="11">
        <f>24/183*100</f>
        <v>13.114754098360656</v>
      </c>
      <c r="D19" s="11">
        <f>26/183*100</f>
        <v>14.207650273224044</v>
      </c>
      <c r="E19" s="11">
        <f>27/183*100</f>
        <v>14.754098360655737</v>
      </c>
      <c r="F19" s="11">
        <f>32/183*100</f>
        <v>17.486338797814209</v>
      </c>
      <c r="G19" s="11">
        <f>9/183*100</f>
        <v>4.918032786885246</v>
      </c>
      <c r="H19" s="11">
        <f>6/183*100</f>
        <v>3.278688524590164</v>
      </c>
    </row>
    <row r="20" spans="1:8" x14ac:dyDescent="0.25">
      <c r="A20" s="19">
        <v>2001</v>
      </c>
      <c r="B20" s="11">
        <f>22/182*100</f>
        <v>12.087912087912088</v>
      </c>
      <c r="C20" s="11">
        <f>44/182*100</f>
        <v>24.175824175824175</v>
      </c>
      <c r="D20" s="11">
        <f>32/182*100</f>
        <v>17.582417582417584</v>
      </c>
      <c r="E20" s="11">
        <f>23/182*100</f>
        <v>12.637362637362637</v>
      </c>
      <c r="F20" s="11">
        <f>25/182*100</f>
        <v>13.736263736263737</v>
      </c>
      <c r="G20" s="11">
        <f>12/182*100</f>
        <v>6.593406593406594</v>
      </c>
      <c r="H20" s="11">
        <f>8/182*100</f>
        <v>4.395604395604396</v>
      </c>
    </row>
    <row r="21" spans="1:8" x14ac:dyDescent="0.25">
      <c r="A21" s="19">
        <v>2002</v>
      </c>
      <c r="B21" s="11">
        <f>21/182*100</f>
        <v>11.538461538461538</v>
      </c>
      <c r="C21" s="11">
        <f>21/182*100</f>
        <v>11.538461538461538</v>
      </c>
      <c r="D21" s="11">
        <f>33/182*100</f>
        <v>18.131868131868131</v>
      </c>
      <c r="E21" s="11">
        <f>38/182*100</f>
        <v>20.87912087912088</v>
      </c>
      <c r="F21" s="11">
        <f>47/182*100</f>
        <v>25.824175824175828</v>
      </c>
      <c r="G21" s="11">
        <f>8/182*100</f>
        <v>4.395604395604396</v>
      </c>
      <c r="H21" s="11">
        <f>8/182*100</f>
        <v>4.395604395604396</v>
      </c>
    </row>
    <row r="22" spans="1:8" x14ac:dyDescent="0.25">
      <c r="A22" s="19">
        <v>2003</v>
      </c>
      <c r="B22" s="11">
        <f>27/182*100</f>
        <v>14.835164835164836</v>
      </c>
      <c r="C22" s="11">
        <f>31/182*100</f>
        <v>17.032967032967033</v>
      </c>
      <c r="D22" s="11">
        <f>30/182*100</f>
        <v>16.483516483516482</v>
      </c>
      <c r="E22" s="11">
        <f>35/182*100</f>
        <v>19.230769230769234</v>
      </c>
      <c r="F22" s="11">
        <f>31/182*100</f>
        <v>17.032967032967033</v>
      </c>
      <c r="G22" s="11">
        <f>13/182*100</f>
        <v>7.1428571428571423</v>
      </c>
      <c r="H22" s="11">
        <f>13/182*100</f>
        <v>7.1428571428571423</v>
      </c>
    </row>
    <row r="23" spans="1:8" x14ac:dyDescent="0.25">
      <c r="A23" s="8">
        <v>2004</v>
      </c>
      <c r="B23" s="11">
        <f>45/183*100</f>
        <v>24.590163934426229</v>
      </c>
      <c r="C23" s="11">
        <f>25/183*100</f>
        <v>13.661202185792352</v>
      </c>
      <c r="D23" s="11">
        <f>30/183*100</f>
        <v>16.393442622950818</v>
      </c>
      <c r="E23" s="11">
        <f>28/183*100</f>
        <v>15.300546448087433</v>
      </c>
      <c r="F23" s="11">
        <f>33/183*100</f>
        <v>18.032786885245901</v>
      </c>
      <c r="G23" s="11">
        <f>6/183*100</f>
        <v>3.278688524590164</v>
      </c>
      <c r="H23" s="11">
        <f>5/183*100</f>
        <v>2.7322404371584699</v>
      </c>
    </row>
    <row r="24" spans="1:8" x14ac:dyDescent="0.25">
      <c r="A24" s="8">
        <v>2005</v>
      </c>
      <c r="B24" s="11">
        <f>23/182*100</f>
        <v>12.637362637362637</v>
      </c>
      <c r="C24" s="11">
        <f>44/182*100</f>
        <v>24.175824175824175</v>
      </c>
      <c r="D24" s="11">
        <f>16/182*100</f>
        <v>8.791208791208792</v>
      </c>
      <c r="E24" s="11">
        <f>18/182*100</f>
        <v>9.8901098901098905</v>
      </c>
      <c r="F24" s="11">
        <f>46/182*100</f>
        <v>25.274725274725274</v>
      </c>
      <c r="G24" s="11">
        <f>18/182*100</f>
        <v>9.8901098901098905</v>
      </c>
      <c r="H24" s="11">
        <f>7/182*100</f>
        <v>3.8461538461538463</v>
      </c>
    </row>
    <row r="25" spans="1:8" x14ac:dyDescent="0.25">
      <c r="A25" s="8">
        <v>2006</v>
      </c>
      <c r="B25" s="11">
        <f>24/182*100</f>
        <v>13.186813186813188</v>
      </c>
      <c r="C25" s="11">
        <f>23/182*100</f>
        <v>12.637362637362637</v>
      </c>
      <c r="D25" s="11">
        <f>21/182*100</f>
        <v>11.538461538461538</v>
      </c>
      <c r="E25" s="11">
        <f>34/182*100</f>
        <v>18.681318681318682</v>
      </c>
      <c r="F25" s="11">
        <f>50/182*100</f>
        <v>27.472527472527474</v>
      </c>
      <c r="G25" s="11">
        <f>8/182*100</f>
        <v>4.395604395604396</v>
      </c>
      <c r="H25" s="11">
        <f>12/182*100</f>
        <v>6.593406593406594</v>
      </c>
    </row>
    <row r="26" spans="1:8" x14ac:dyDescent="0.25">
      <c r="A26" s="8">
        <v>2007</v>
      </c>
      <c r="B26" s="11">
        <f>26/182*100</f>
        <v>14.285714285714285</v>
      </c>
      <c r="C26" s="11">
        <f>42/182*100</f>
        <v>23.076923076923077</v>
      </c>
      <c r="D26" s="11">
        <f>27/182*100</f>
        <v>14.835164835164836</v>
      </c>
      <c r="E26" s="11">
        <f>27/182*100</f>
        <v>14.835164835164836</v>
      </c>
      <c r="F26" s="11">
        <f>38/182*100</f>
        <v>20.87912087912088</v>
      </c>
      <c r="G26" s="11">
        <f>3/182*100</f>
        <v>1.6483516483516485</v>
      </c>
      <c r="H26" s="11">
        <f>10/182*100</f>
        <v>5.4945054945054945</v>
      </c>
    </row>
    <row r="27" spans="1:8" x14ac:dyDescent="0.25">
      <c r="A27" s="19">
        <v>2008</v>
      </c>
      <c r="B27" s="11">
        <f>14/183*100</f>
        <v>7.6502732240437163</v>
      </c>
      <c r="C27" s="11">
        <f>23/183*100</f>
        <v>12.568306010928962</v>
      </c>
      <c r="D27" s="11">
        <f>36/183*100</f>
        <v>19.672131147540984</v>
      </c>
      <c r="E27" s="11">
        <f>39/183*100</f>
        <v>21.311475409836063</v>
      </c>
      <c r="F27" s="11">
        <f>48/183*100</f>
        <v>26.229508196721312</v>
      </c>
      <c r="G27" s="11">
        <f>4/183*100</f>
        <v>2.1857923497267762</v>
      </c>
      <c r="H27" s="11">
        <f>7/183*100</f>
        <v>3.8251366120218582</v>
      </c>
    </row>
    <row r="28" spans="1:8" x14ac:dyDescent="0.25">
      <c r="A28" s="8">
        <v>2009</v>
      </c>
      <c r="B28" s="11">
        <f>30/182*100</f>
        <v>16.483516483516482</v>
      </c>
      <c r="C28" s="11">
        <f>18/183*100</f>
        <v>9.8360655737704921</v>
      </c>
      <c r="D28" s="11">
        <f>40/182*100</f>
        <v>21.978021978021978</v>
      </c>
      <c r="E28" s="11">
        <f>39/182*100</f>
        <v>21.428571428571427</v>
      </c>
      <c r="F28" s="11">
        <f>35/182*100</f>
        <v>19.230769230769234</v>
      </c>
      <c r="G28" s="11">
        <f>3/182*100</f>
        <v>1.6483516483516485</v>
      </c>
      <c r="H28" s="11">
        <f>7/182*100</f>
        <v>3.8461538461538463</v>
      </c>
    </row>
    <row r="29" spans="1:8" x14ac:dyDescent="0.25">
      <c r="A29" s="8">
        <v>2010</v>
      </c>
      <c r="B29" s="11">
        <f>31/182*100</f>
        <v>17.032967032967033</v>
      </c>
      <c r="C29" s="11">
        <f>27/182*100</f>
        <v>14.835164835164836</v>
      </c>
      <c r="D29" s="11">
        <f>32/182*100</f>
        <v>17.582417582417584</v>
      </c>
      <c r="E29" s="11">
        <f>22/182*100</f>
        <v>12.087912087912088</v>
      </c>
      <c r="F29" s="11">
        <f>38/182*100</f>
        <v>20.87912087912088</v>
      </c>
      <c r="G29" s="11">
        <f>5/182*100</f>
        <v>2.7472527472527473</v>
      </c>
      <c r="H29" s="11">
        <f>15/182*100</f>
        <v>8.2417582417582409</v>
      </c>
    </row>
    <row r="30" spans="1:8" x14ac:dyDescent="0.25">
      <c r="A30" s="19">
        <v>2011</v>
      </c>
      <c r="B30" s="11">
        <f>21/182*100</f>
        <v>11.538461538461538</v>
      </c>
      <c r="C30" s="11">
        <f>24/182*100</f>
        <v>13.186813186813188</v>
      </c>
      <c r="D30" s="11">
        <f>31/182*100</f>
        <v>17.032967032967033</v>
      </c>
      <c r="E30" s="11">
        <f>44/182*100</f>
        <v>24.175824175824175</v>
      </c>
      <c r="F30" s="11">
        <f>36/182*100</f>
        <v>19.780219780219781</v>
      </c>
      <c r="G30" s="11">
        <f>4/182*100</f>
        <v>2.197802197802198</v>
      </c>
      <c r="H30" s="11">
        <f>11/182*100</f>
        <v>6.0439560439560438</v>
      </c>
    </row>
    <row r="31" spans="1:8" x14ac:dyDescent="0.25">
      <c r="A31" s="8">
        <v>2012</v>
      </c>
      <c r="B31" s="11">
        <f>23/183*100</f>
        <v>12.568306010928962</v>
      </c>
      <c r="C31" s="11">
        <f>31/183*100</f>
        <v>16.939890710382514</v>
      </c>
      <c r="D31" s="11">
        <f>32/183*100</f>
        <v>17.486338797814209</v>
      </c>
      <c r="E31" s="11">
        <f>31/183*100</f>
        <v>16.939890710382514</v>
      </c>
      <c r="F31" s="11">
        <f>41/183*100</f>
        <v>22.404371584699454</v>
      </c>
      <c r="G31" s="11">
        <f>4/183*100</f>
        <v>2.1857923497267762</v>
      </c>
      <c r="H31" s="11">
        <f>5/183*100</f>
        <v>2.7322404371584699</v>
      </c>
    </row>
    <row r="32" spans="1:8" x14ac:dyDescent="0.25">
      <c r="A32" s="8">
        <v>2013</v>
      </c>
      <c r="B32" s="11">
        <f>24/182*100</f>
        <v>13.186813186813188</v>
      </c>
      <c r="C32" s="11">
        <f>21/182*100</f>
        <v>11.538461538461538</v>
      </c>
      <c r="D32" s="11">
        <f>41/182*100</f>
        <v>22.527472527472529</v>
      </c>
      <c r="E32" s="11">
        <f>38/182*100</f>
        <v>20.87912087912088</v>
      </c>
      <c r="F32" s="11">
        <f>44/182*100</f>
        <v>24.175824175824175</v>
      </c>
      <c r="G32" s="12">
        <f>0/182*100</f>
        <v>0</v>
      </c>
      <c r="H32" s="11">
        <f>8/182*100</f>
        <v>4.395604395604396</v>
      </c>
    </row>
    <row r="33" spans="1:26" x14ac:dyDescent="0.25">
      <c r="A33" s="8">
        <v>2014</v>
      </c>
      <c r="B33" s="11">
        <f>14/182*100</f>
        <v>7.6923076923076925</v>
      </c>
      <c r="C33" s="11">
        <f>17/182*100</f>
        <v>9.3406593406593412</v>
      </c>
      <c r="D33" s="11">
        <f>36/182*100</f>
        <v>19.780219780219781</v>
      </c>
      <c r="E33" s="11">
        <f>36/182*100</f>
        <v>19.780219780219781</v>
      </c>
      <c r="F33" s="11">
        <f>42/182*100</f>
        <v>23.076923076923077</v>
      </c>
      <c r="G33" s="11">
        <f>7/182*100</f>
        <v>3.8461538461538463</v>
      </c>
      <c r="H33" s="11">
        <v>13</v>
      </c>
    </row>
    <row r="34" spans="1:26" ht="18.75" x14ac:dyDescent="0.3">
      <c r="A34" s="9" t="s">
        <v>7</v>
      </c>
      <c r="B34" s="10">
        <f t="shared" ref="B34:H34" si="0">AVERAGE(B5:B33)</f>
        <v>14.473316395306218</v>
      </c>
      <c r="C34" s="10">
        <f t="shared" si="0"/>
        <v>14.414095420313624</v>
      </c>
      <c r="D34" s="10">
        <f t="shared" si="0"/>
        <v>16.477925692171031</v>
      </c>
      <c r="E34" s="10">
        <f t="shared" si="0"/>
        <v>18.277849905888345</v>
      </c>
      <c r="F34" s="10">
        <f t="shared" si="0"/>
        <v>20.720922190679111</v>
      </c>
      <c r="G34" s="10">
        <f t="shared" si="0"/>
        <v>5.0333687416785224</v>
      </c>
      <c r="H34" s="10">
        <f t="shared" si="0"/>
        <v>5.444786794136709</v>
      </c>
    </row>
    <row r="35" spans="1:26" ht="18.75" x14ac:dyDescent="0.3">
      <c r="A35" s="27" t="s">
        <v>8</v>
      </c>
      <c r="B35" s="20">
        <f t="shared" ref="B35:H35" si="1">STDEV(B5:B33)</f>
        <v>4.108500441949503</v>
      </c>
      <c r="C35" s="20">
        <f t="shared" si="1"/>
        <v>4.2218601224546015</v>
      </c>
      <c r="D35" s="20">
        <f t="shared" si="1"/>
        <v>4.1604024963697457</v>
      </c>
      <c r="E35" s="20">
        <f t="shared" si="1"/>
        <v>5.0169401519426966</v>
      </c>
      <c r="F35" s="20">
        <f t="shared" si="1"/>
        <v>4.0438643131630361</v>
      </c>
      <c r="G35" s="20">
        <f t="shared" si="1"/>
        <v>3.3947090802600326</v>
      </c>
      <c r="H35" s="20">
        <f t="shared" si="1"/>
        <v>2.5550619083367003</v>
      </c>
    </row>
    <row r="38" spans="1:26" ht="23.25" x14ac:dyDescent="0.35">
      <c r="A38" s="21" t="s">
        <v>49</v>
      </c>
    </row>
    <row r="40" spans="1:26" x14ac:dyDescent="0.25">
      <c r="A40" s="1" t="s">
        <v>0</v>
      </c>
      <c r="B40" s="2" t="s">
        <v>1</v>
      </c>
      <c r="C40" s="3" t="s">
        <v>2</v>
      </c>
      <c r="D40" s="4" t="s">
        <v>3</v>
      </c>
      <c r="E40" s="5" t="s">
        <v>4</v>
      </c>
      <c r="F40" s="5" t="s">
        <v>5</v>
      </c>
      <c r="G40" s="6" t="s">
        <v>6</v>
      </c>
      <c r="H40" s="7" t="s">
        <v>35</v>
      </c>
    </row>
    <row r="41" spans="1:26" x14ac:dyDescent="0.25">
      <c r="A41" s="29">
        <v>2015</v>
      </c>
      <c r="B41" s="11">
        <f>21/182*100</f>
        <v>11.538461538461538</v>
      </c>
      <c r="C41" s="11">
        <f>16/182*100</f>
        <v>8.791208791208792</v>
      </c>
      <c r="D41" s="11">
        <f>54/182*100</f>
        <v>29.670329670329672</v>
      </c>
      <c r="E41" s="11">
        <f>40/182*100</f>
        <v>21.978021978021978</v>
      </c>
      <c r="F41" s="11">
        <f>38/182*100</f>
        <v>20.87912087912088</v>
      </c>
      <c r="G41" s="11">
        <f>7/182*100</f>
        <v>3.8461538461538463</v>
      </c>
      <c r="H41" s="11">
        <f>2/182*100</f>
        <v>1.098901098901099</v>
      </c>
    </row>
    <row r="42" spans="1:26" x14ac:dyDescent="0.25">
      <c r="A42" s="8">
        <v>2016</v>
      </c>
      <c r="B42" s="11">
        <f>31/182*100</f>
        <v>17.032967032967033</v>
      </c>
      <c r="C42" s="11">
        <f>18/182*100</f>
        <v>9.8901098901098905</v>
      </c>
      <c r="D42" s="11">
        <f>41/182*100</f>
        <v>22.527472527472529</v>
      </c>
      <c r="E42" s="11">
        <f>54/182*100</f>
        <v>29.670329670329672</v>
      </c>
      <c r="F42" s="11">
        <f>28/182*100</f>
        <v>15.384615384615385</v>
      </c>
      <c r="G42" s="11">
        <f>4/182*100</f>
        <v>2.197802197802198</v>
      </c>
      <c r="H42" s="11">
        <f>3/182*100</f>
        <v>1.6483516483516485</v>
      </c>
    </row>
    <row r="43" spans="1:26" x14ac:dyDescent="0.25">
      <c r="A43" s="8">
        <v>2017</v>
      </c>
      <c r="B43" s="11">
        <f>34/182*100</f>
        <v>18.681318681318682</v>
      </c>
      <c r="C43" s="11">
        <f>17/182*100</f>
        <v>9.3406593406593412</v>
      </c>
      <c r="D43" s="11">
        <f>44/182*100</f>
        <v>24.175824175824175</v>
      </c>
      <c r="E43" s="11">
        <f>53/182*100</f>
        <v>29.120879120879124</v>
      </c>
      <c r="F43" s="11">
        <f>22/182*100</f>
        <v>12.087912087912088</v>
      </c>
      <c r="G43" s="11">
        <f>5/182*100</f>
        <v>2.7472527472527473</v>
      </c>
      <c r="H43" s="11">
        <f>8/182*100</f>
        <v>4.395604395604396</v>
      </c>
    </row>
    <row r="44" spans="1:26" x14ac:dyDescent="0.25">
      <c r="A44" s="8">
        <v>2018</v>
      </c>
      <c r="B44" s="11">
        <f>34/182*100</f>
        <v>18.681318681318682</v>
      </c>
      <c r="C44" s="11">
        <f>13/182*100</f>
        <v>7.1428571428571423</v>
      </c>
      <c r="D44" s="11">
        <f>37/182*100</f>
        <v>20.329670329670328</v>
      </c>
      <c r="E44" s="11">
        <f>51/182*100</f>
        <v>28.021978021978022</v>
      </c>
      <c r="F44" s="11">
        <f>29/182*100</f>
        <v>15.934065934065933</v>
      </c>
      <c r="G44" s="11">
        <f>6/182*100</f>
        <v>3.296703296703297</v>
      </c>
      <c r="H44" s="11">
        <f>1/182*100</f>
        <v>0.5494505494505495</v>
      </c>
    </row>
    <row r="45" spans="1:26" ht="21" x14ac:dyDescent="0.35">
      <c r="A45" s="8">
        <v>2019</v>
      </c>
      <c r="B45" s="11">
        <f>38/182*100</f>
        <v>20.87912087912088</v>
      </c>
      <c r="C45" s="11">
        <f>13/182*100</f>
        <v>7.1428571428571423</v>
      </c>
      <c r="D45" s="11">
        <f>25/182*100</f>
        <v>13.736263736263737</v>
      </c>
      <c r="E45" s="11">
        <f>47/182*100</f>
        <v>25.824175824175828</v>
      </c>
      <c r="F45" s="11">
        <f>33/182*100</f>
        <v>18.131868131868131</v>
      </c>
      <c r="G45" s="11">
        <f>6/182*100</f>
        <v>3.296703296703297</v>
      </c>
      <c r="H45" s="11">
        <f>6/182*100</f>
        <v>3.296703296703297</v>
      </c>
      <c r="J45" s="25" t="s">
        <v>39</v>
      </c>
    </row>
    <row r="46" spans="1:26" x14ac:dyDescent="0.25">
      <c r="A46" s="8">
        <v>2020</v>
      </c>
      <c r="B46" s="11">
        <f>28/182*100</f>
        <v>15.384615384615385</v>
      </c>
      <c r="C46" s="11">
        <f>27/182*100</f>
        <v>14.835164835164836</v>
      </c>
      <c r="D46" s="11">
        <f>34/182*100</f>
        <v>18.681318681318682</v>
      </c>
      <c r="E46" s="11">
        <f>56/182*100</f>
        <v>30.76923076923077</v>
      </c>
      <c r="F46" s="11">
        <f>21/182*100</f>
        <v>11.538461538461538</v>
      </c>
      <c r="G46" s="11">
        <f>3/182*100</f>
        <v>1.6483516483516485</v>
      </c>
      <c r="H46" s="11">
        <f>4/182*100</f>
        <v>2.197802197802198</v>
      </c>
    </row>
    <row r="47" spans="1:26" ht="15.75" x14ac:dyDescent="0.25">
      <c r="A47" s="8">
        <v>2021</v>
      </c>
      <c r="B47" s="11">
        <f>45/182*100</f>
        <v>24.725274725274726</v>
      </c>
      <c r="C47" s="11">
        <f>18/182*100</f>
        <v>9.8901098901098905</v>
      </c>
      <c r="D47" s="11">
        <f>31/182*100</f>
        <v>17.032967032967033</v>
      </c>
      <c r="E47" s="11">
        <f>37/182*100</f>
        <v>20.329670329670328</v>
      </c>
      <c r="F47" s="11">
        <f>21/182*100</f>
        <v>11.538461538461538</v>
      </c>
      <c r="G47" s="11">
        <f>7/182*100</f>
        <v>3.8461538461538463</v>
      </c>
      <c r="H47" s="11">
        <f>5/182*100</f>
        <v>2.7472527472527473</v>
      </c>
      <c r="J47" s="26" t="s">
        <v>42</v>
      </c>
      <c r="K47" s="26"/>
      <c r="L47" s="26"/>
      <c r="M47" s="26"/>
      <c r="N47" s="26"/>
      <c r="O47" s="26"/>
      <c r="P47" s="26"/>
      <c r="Q47" s="26"/>
      <c r="R47" s="26" t="s">
        <v>44</v>
      </c>
      <c r="S47" s="26"/>
      <c r="T47" s="26"/>
      <c r="U47" s="26"/>
      <c r="V47" s="26"/>
      <c r="W47" s="26"/>
      <c r="X47" s="26"/>
      <c r="Y47" s="26"/>
      <c r="Z47" s="26" t="s">
        <v>46</v>
      </c>
    </row>
    <row r="48" spans="1:26" x14ac:dyDescent="0.25">
      <c r="A48" s="8">
        <v>2022</v>
      </c>
      <c r="B48" s="11">
        <f>28/182*100</f>
        <v>15.384615384615385</v>
      </c>
      <c r="C48" s="11">
        <f>24/182*100</f>
        <v>13.186813186813188</v>
      </c>
      <c r="D48" s="11">
        <f>23/182*100</f>
        <v>12.637362637362637</v>
      </c>
      <c r="E48" s="11">
        <f>44/182*100</f>
        <v>24.175824175824175</v>
      </c>
      <c r="F48" s="11">
        <f>29/182*100</f>
        <v>15.934065934065933</v>
      </c>
      <c r="G48" s="11">
        <f>8/182*100</f>
        <v>4.395604395604396</v>
      </c>
      <c r="H48" s="11">
        <f>15/182*100</f>
        <v>8.2417582417582409</v>
      </c>
    </row>
    <row r="49" spans="1:8" x14ac:dyDescent="0.25">
      <c r="A49" s="8">
        <v>2023</v>
      </c>
      <c r="B49" s="11">
        <f>39/182*100</f>
        <v>21.428571428571427</v>
      </c>
      <c r="C49" s="11">
        <f>26/183*100</f>
        <v>14.207650273224044</v>
      </c>
      <c r="D49" s="11">
        <f>24/182*100</f>
        <v>13.186813186813188</v>
      </c>
      <c r="E49" s="11">
        <f>50/182*100</f>
        <v>27.472527472527474</v>
      </c>
      <c r="F49" s="11">
        <f>26/182*100</f>
        <v>14.285714285714285</v>
      </c>
      <c r="G49" s="11">
        <f>4/182*100</f>
        <v>2.197802197802198</v>
      </c>
      <c r="H49" s="11">
        <f>7/182*100</f>
        <v>3.8461538461538463</v>
      </c>
    </row>
    <row r="50" spans="1:8" x14ac:dyDescent="0.25">
      <c r="A50" s="8">
        <v>2024</v>
      </c>
      <c r="B50" s="11">
        <f>38/182*100</f>
        <v>20.87912087912088</v>
      </c>
      <c r="C50" s="11">
        <f>14/182*100</f>
        <v>7.6923076923076925</v>
      </c>
      <c r="D50" s="11">
        <f>27/182*100</f>
        <v>14.835164835164836</v>
      </c>
      <c r="E50" s="11">
        <f>50/182*100</f>
        <v>27.472527472527474</v>
      </c>
      <c r="F50" s="11">
        <f>41/182*100</f>
        <v>22.527472527472529</v>
      </c>
      <c r="G50" s="11">
        <f>3/182*100</f>
        <v>1.6483516483516485</v>
      </c>
      <c r="H50" s="11">
        <f>5/182*100</f>
        <v>2.7472527472527473</v>
      </c>
    </row>
    <row r="51" spans="1:8" x14ac:dyDescent="0.25">
      <c r="A51" s="8">
        <v>2025</v>
      </c>
      <c r="B51" s="11">
        <f>31/182*100</f>
        <v>17.032967032967033</v>
      </c>
      <c r="C51" s="11">
        <f>29/182*100</f>
        <v>15.934065934065933</v>
      </c>
      <c r="D51" s="11">
        <f>25/182*100</f>
        <v>13.736263736263737</v>
      </c>
      <c r="E51" s="11">
        <f>48/182*100</f>
        <v>26.373626373626376</v>
      </c>
      <c r="F51" s="11">
        <f>33/182*100</f>
        <v>18.131868131868131</v>
      </c>
      <c r="G51" s="11">
        <f>7/182*100</f>
        <v>3.8461538461538463</v>
      </c>
      <c r="H51" s="11">
        <f>3/182*100</f>
        <v>1.6483516483516485</v>
      </c>
    </row>
    <row r="52" spans="1:8" x14ac:dyDescent="0.25">
      <c r="A52" s="8">
        <v>2026</v>
      </c>
      <c r="B52" s="11">
        <f>26/182*100</f>
        <v>14.285714285714285</v>
      </c>
      <c r="C52" s="11">
        <f>27/182*100</f>
        <v>14.835164835164836</v>
      </c>
      <c r="D52" s="11">
        <f>27/182*100</f>
        <v>14.835164835164836</v>
      </c>
      <c r="E52" s="11">
        <f>50/182*100</f>
        <v>27.472527472527474</v>
      </c>
      <c r="F52" s="11">
        <f>45/182*100</f>
        <v>24.725274725274726</v>
      </c>
      <c r="G52" s="11">
        <f>1/182*100</f>
        <v>0.5494505494505495</v>
      </c>
      <c r="H52" s="11">
        <f>4/182*100</f>
        <v>2.197802197802198</v>
      </c>
    </row>
    <row r="53" spans="1:8" x14ac:dyDescent="0.25">
      <c r="A53" s="8">
        <v>2027</v>
      </c>
      <c r="B53" s="11">
        <f>43/182*100</f>
        <v>23.626373626373624</v>
      </c>
      <c r="C53" s="11">
        <f>22/182*100</f>
        <v>12.087912087912088</v>
      </c>
      <c r="D53" s="11">
        <f>33/182*100</f>
        <v>18.131868131868131</v>
      </c>
      <c r="E53" s="11">
        <f>40/182*100</f>
        <v>21.978021978021978</v>
      </c>
      <c r="F53" s="11">
        <f>27/182*100</f>
        <v>14.835164835164836</v>
      </c>
      <c r="G53" s="11">
        <f>9/182*100</f>
        <v>4.9450549450549453</v>
      </c>
      <c r="H53" s="11">
        <f>0/182*100</f>
        <v>0</v>
      </c>
    </row>
    <row r="54" spans="1:8" x14ac:dyDescent="0.25">
      <c r="A54" s="8">
        <v>2028</v>
      </c>
      <c r="B54" s="11">
        <f>35/182*100</f>
        <v>19.230769230769234</v>
      </c>
      <c r="C54" s="11">
        <f>24/182*100</f>
        <v>13.186813186813188</v>
      </c>
      <c r="D54" s="11">
        <f>32/182*100</f>
        <v>17.582417582417584</v>
      </c>
      <c r="E54" s="11">
        <f>45/182*100</f>
        <v>24.725274725274726</v>
      </c>
      <c r="F54" s="11">
        <f>28/182*182</f>
        <v>28</v>
      </c>
      <c r="G54" s="11">
        <f>5/182*100</f>
        <v>2.7472527472527473</v>
      </c>
      <c r="H54" s="11">
        <f>6/182*100</f>
        <v>3.296703296703297</v>
      </c>
    </row>
    <row r="55" spans="1:8" x14ac:dyDescent="0.25">
      <c r="A55" s="8">
        <v>2029</v>
      </c>
      <c r="B55" s="11">
        <f>38/182*100</f>
        <v>20.87912087912088</v>
      </c>
      <c r="C55" s="11">
        <f>11/182*100</f>
        <v>6.0439560439560438</v>
      </c>
      <c r="D55" s="11">
        <f>36/182*100</f>
        <v>19.780219780219781</v>
      </c>
      <c r="E55" s="11">
        <f>44/182*100</f>
        <v>24.175824175824175</v>
      </c>
      <c r="F55" s="11">
        <f>35/182*100</f>
        <v>19.230769230769234</v>
      </c>
      <c r="G55" s="11">
        <f>6/182*100</f>
        <v>3.296703296703297</v>
      </c>
      <c r="H55" s="11">
        <f>6/182*100</f>
        <v>3.296703296703297</v>
      </c>
    </row>
    <row r="56" spans="1:8" x14ac:dyDescent="0.25">
      <c r="A56" s="8">
        <v>2030</v>
      </c>
      <c r="B56" s="11">
        <f>46/182*100</f>
        <v>25.274725274725274</v>
      </c>
      <c r="C56" s="11">
        <f>15/182*100</f>
        <v>8.2417582417582409</v>
      </c>
      <c r="D56" s="11">
        <f>25/182*100</f>
        <v>13.736263736263737</v>
      </c>
      <c r="E56" s="11">
        <f>47/182*100</f>
        <v>25.824175824175828</v>
      </c>
      <c r="F56" s="11">
        <f>32/182*100</f>
        <v>17.582417582417584</v>
      </c>
      <c r="G56" s="11">
        <f>4/182*100</f>
        <v>2.197802197802198</v>
      </c>
      <c r="H56" s="11">
        <f>8/182*100</f>
        <v>4.395604395604396</v>
      </c>
    </row>
    <row r="57" spans="1:8" x14ac:dyDescent="0.25">
      <c r="A57" s="8">
        <v>2031</v>
      </c>
      <c r="B57" s="11">
        <f>38/182*100</f>
        <v>20.87912087912088</v>
      </c>
      <c r="C57" s="11">
        <f>9/182*100</f>
        <v>4.9450549450549453</v>
      </c>
      <c r="D57" s="11">
        <f>36/182*100</f>
        <v>19.780219780219781</v>
      </c>
      <c r="E57" s="11">
        <f>42/182*100</f>
        <v>23.076923076923077</v>
      </c>
      <c r="F57" s="11">
        <f>36/182*100</f>
        <v>19.780219780219781</v>
      </c>
      <c r="G57" s="11">
        <f>4/182*100</f>
        <v>2.197802197802198</v>
      </c>
      <c r="H57" s="11">
        <f>8/182*100</f>
        <v>4.395604395604396</v>
      </c>
    </row>
    <row r="58" spans="1:8" x14ac:dyDescent="0.25">
      <c r="A58" s="8">
        <v>2032</v>
      </c>
      <c r="B58" s="11">
        <f>53/182*100</f>
        <v>29.120879120879124</v>
      </c>
      <c r="C58" s="11">
        <f>14/182*100</f>
        <v>7.6923076923076925</v>
      </c>
      <c r="D58" s="11">
        <f>20/182*100</f>
        <v>10.989010989010989</v>
      </c>
      <c r="E58" s="11">
        <f>35/182*100</f>
        <v>19.230769230769234</v>
      </c>
      <c r="F58" s="11">
        <f>35/182*100</f>
        <v>19.230769230769234</v>
      </c>
      <c r="G58" s="11">
        <f>10/182*100</f>
        <v>5.4945054945054945</v>
      </c>
      <c r="H58" s="11">
        <f>11/182*100</f>
        <v>6.0439560439560438</v>
      </c>
    </row>
    <row r="59" spans="1:8" x14ac:dyDescent="0.25">
      <c r="A59" s="8">
        <v>2033</v>
      </c>
      <c r="B59" s="11">
        <f>34/182*100</f>
        <v>18.681318681318682</v>
      </c>
      <c r="C59" s="11">
        <f>10/182*100</f>
        <v>5.4945054945054945</v>
      </c>
      <c r="D59" s="11">
        <f>26/182*100</f>
        <v>14.285714285714285</v>
      </c>
      <c r="E59" s="11">
        <f>57/182*100</f>
        <v>31.318681318681318</v>
      </c>
      <c r="F59" s="11">
        <f>34/182*100</f>
        <v>18.681318681318682</v>
      </c>
      <c r="G59" s="11">
        <f>5/182*100</f>
        <v>2.7472527472527473</v>
      </c>
      <c r="H59" s="11">
        <f>4/182*100</f>
        <v>2.197802197802198</v>
      </c>
    </row>
    <row r="60" spans="1:8" x14ac:dyDescent="0.25">
      <c r="A60" s="8">
        <v>2034</v>
      </c>
      <c r="B60" s="11">
        <f>30/182*100</f>
        <v>16.483516483516482</v>
      </c>
      <c r="C60" s="11">
        <f>26/182*100</f>
        <v>14.285714285714285</v>
      </c>
      <c r="D60" s="11">
        <f>18/182*100</f>
        <v>9.8901098901098905</v>
      </c>
      <c r="E60" s="11">
        <f>24/182*100</f>
        <v>13.186813186813188</v>
      </c>
      <c r="F60" s="11">
        <f>65/182*100</f>
        <v>35.714285714285715</v>
      </c>
      <c r="G60" s="11">
        <f>5/182*100</f>
        <v>2.7472527472527473</v>
      </c>
      <c r="H60" s="11">
        <f>7/182*100</f>
        <v>3.8461538461538463</v>
      </c>
    </row>
    <row r="61" spans="1:8" x14ac:dyDescent="0.25">
      <c r="A61" s="8">
        <v>2035</v>
      </c>
      <c r="B61" s="11">
        <f>42/182*100</f>
        <v>23.076923076923077</v>
      </c>
      <c r="C61" s="11">
        <f>17/182*100</f>
        <v>9.3406593406593412</v>
      </c>
      <c r="D61" s="11">
        <f>38/182*100</f>
        <v>20.87912087912088</v>
      </c>
      <c r="E61" s="11">
        <f>53/182*100</f>
        <v>29.120879120879124</v>
      </c>
      <c r="F61" s="11">
        <f>24/182*100</f>
        <v>13.186813186813188</v>
      </c>
      <c r="G61" s="11">
        <f>2/182*100</f>
        <v>1.098901098901099</v>
      </c>
      <c r="H61" s="11">
        <f>0/182*100</f>
        <v>0</v>
      </c>
    </row>
    <row r="62" spans="1:8" x14ac:dyDescent="0.25">
      <c r="A62" s="8">
        <v>2036</v>
      </c>
      <c r="B62" s="11">
        <f>48/182*100</f>
        <v>26.373626373626376</v>
      </c>
      <c r="C62" s="11">
        <f>18/182*100</f>
        <v>9.8901098901098905</v>
      </c>
      <c r="D62" s="11">
        <f>18/182*100</f>
        <v>9.8901098901098905</v>
      </c>
      <c r="E62" s="11">
        <f>40/182*100</f>
        <v>21.978021978021978</v>
      </c>
      <c r="F62" s="11">
        <f>34/182*100</f>
        <v>18.681318681318682</v>
      </c>
      <c r="G62" s="11">
        <f>8/182*100</f>
        <v>4.395604395604396</v>
      </c>
      <c r="H62" s="11">
        <f>7/182*100</f>
        <v>3.8461538461538463</v>
      </c>
    </row>
    <row r="63" spans="1:8" x14ac:dyDescent="0.25">
      <c r="A63" s="8">
        <v>2037</v>
      </c>
      <c r="B63" s="11">
        <f>55/182*100</f>
        <v>30.219780219780219</v>
      </c>
      <c r="C63" s="11">
        <f>16/182*100</f>
        <v>8.791208791208792</v>
      </c>
      <c r="D63" s="11">
        <f>26/182*100</f>
        <v>14.285714285714285</v>
      </c>
      <c r="E63" s="11">
        <f>42/182*100</f>
        <v>23.076923076923077</v>
      </c>
      <c r="F63" s="11">
        <f>33/182*100</f>
        <v>18.131868131868131</v>
      </c>
      <c r="G63" s="11">
        <f>4/182*100</f>
        <v>2.197802197802198</v>
      </c>
      <c r="H63" s="11">
        <f>2/182*100</f>
        <v>1.098901098901099</v>
      </c>
    </row>
    <row r="64" spans="1:8" x14ac:dyDescent="0.25">
      <c r="A64" s="8">
        <v>2038</v>
      </c>
      <c r="B64" s="11">
        <f>58/182*100</f>
        <v>31.868131868131865</v>
      </c>
      <c r="C64" s="11">
        <f>14/182*100</f>
        <v>7.6923076923076925</v>
      </c>
      <c r="D64" s="11">
        <f>18/182*100</f>
        <v>9.8901098901098905</v>
      </c>
      <c r="E64" s="11">
        <f>27/182*100</f>
        <v>14.835164835164836</v>
      </c>
      <c r="F64" s="11">
        <f>35/182*100</f>
        <v>19.230769230769234</v>
      </c>
      <c r="G64" s="11">
        <f>12/182*100</f>
        <v>6.593406593406594</v>
      </c>
      <c r="H64" s="11">
        <f>11/182*100</f>
        <v>6.0439560439560438</v>
      </c>
    </row>
    <row r="65" spans="1:26" ht="15.75" x14ac:dyDescent="0.25">
      <c r="A65" s="8">
        <v>2039</v>
      </c>
      <c r="B65" s="11">
        <f>41/182*100</f>
        <v>22.527472527472529</v>
      </c>
      <c r="C65" s="11">
        <f>24/182*100</f>
        <v>13.186813186813188</v>
      </c>
      <c r="D65" s="11">
        <f>14/182*100</f>
        <v>7.6923076923076925</v>
      </c>
      <c r="E65" s="11">
        <f>32/182*100</f>
        <v>17.582417582417584</v>
      </c>
      <c r="F65" s="11">
        <f>51/182*100</f>
        <v>28.021978021978022</v>
      </c>
      <c r="G65" s="11">
        <f>7/182*100</f>
        <v>3.8461538461538463</v>
      </c>
      <c r="H65" s="11">
        <f>9/182*100</f>
        <v>4.9450549450549453</v>
      </c>
      <c r="J65" s="26" t="s">
        <v>43</v>
      </c>
      <c r="K65" s="26"/>
      <c r="L65" s="26"/>
      <c r="M65" s="26"/>
      <c r="N65" s="26"/>
      <c r="O65" s="26"/>
      <c r="P65" s="26"/>
      <c r="Q65" s="26"/>
      <c r="R65" s="26" t="s">
        <v>45</v>
      </c>
      <c r="S65" s="26"/>
      <c r="T65" s="26"/>
      <c r="U65" s="26"/>
      <c r="V65" s="26"/>
      <c r="W65" s="26"/>
      <c r="X65" s="26"/>
      <c r="Y65" s="26"/>
      <c r="Z65" s="26" t="s">
        <v>26</v>
      </c>
    </row>
    <row r="66" spans="1:26" x14ac:dyDescent="0.25">
      <c r="A66" s="8">
        <v>2040</v>
      </c>
      <c r="B66" s="11">
        <f>43/182*100</f>
        <v>23.626373626373624</v>
      </c>
      <c r="C66" s="11">
        <f>18/182*100</f>
        <v>9.8901098901098905</v>
      </c>
      <c r="D66" s="11">
        <f>35/182*100</f>
        <v>19.230769230769234</v>
      </c>
      <c r="E66" s="11">
        <f>33/182*100</f>
        <v>18.131868131868131</v>
      </c>
      <c r="F66" s="11">
        <f>35/182*100</f>
        <v>19.230769230769234</v>
      </c>
      <c r="G66" s="11">
        <f>9/182*100</f>
        <v>4.9450549450549453</v>
      </c>
      <c r="H66" s="11">
        <f>2/182*100</f>
        <v>1.098901098901099</v>
      </c>
    </row>
    <row r="67" spans="1:26" x14ac:dyDescent="0.25">
      <c r="A67" s="8">
        <v>2041</v>
      </c>
      <c r="B67" s="11">
        <f>49/182*100</f>
        <v>26.923076923076923</v>
      </c>
      <c r="C67" s="11">
        <f>18/182*100</f>
        <v>9.8901098901098905</v>
      </c>
      <c r="D67" s="11">
        <f>18/182*100</f>
        <v>9.8901098901098905</v>
      </c>
      <c r="E67" s="11">
        <f>28/182*100</f>
        <v>15.384615384615385</v>
      </c>
      <c r="F67" s="11">
        <f>35/182*100</f>
        <v>19.230769230769234</v>
      </c>
      <c r="G67" s="11">
        <f>9/182*100</f>
        <v>4.9450549450549453</v>
      </c>
      <c r="H67" s="11">
        <f>19/182*100</f>
        <v>10.43956043956044</v>
      </c>
    </row>
    <row r="68" spans="1:26" x14ac:dyDescent="0.25">
      <c r="A68" s="8">
        <v>2042</v>
      </c>
      <c r="B68" s="11">
        <f>44/182*100</f>
        <v>24.175824175824175</v>
      </c>
      <c r="C68" s="11">
        <f>21/182*100</f>
        <v>11.538461538461538</v>
      </c>
      <c r="D68" s="11">
        <f>15/182*100</f>
        <v>8.2417582417582409</v>
      </c>
      <c r="E68" s="11">
        <f>41/182*100</f>
        <v>22.527472527472529</v>
      </c>
      <c r="F68" s="11">
        <f>43/182*100</f>
        <v>23.626373626373624</v>
      </c>
      <c r="G68" s="11">
        <f>6/182*100</f>
        <v>3.296703296703297</v>
      </c>
      <c r="H68" s="11">
        <f>9/182*100</f>
        <v>4.9450549450549453</v>
      </c>
    </row>
    <row r="69" spans="1:26" x14ac:dyDescent="0.25">
      <c r="A69" s="8">
        <v>2043</v>
      </c>
      <c r="B69" s="11">
        <f>48/182*100</f>
        <v>26.373626373626376</v>
      </c>
      <c r="C69" s="11">
        <f>18/182*100</f>
        <v>9.8901098901098905</v>
      </c>
      <c r="D69" s="11">
        <f>25/182*100</f>
        <v>13.736263736263737</v>
      </c>
      <c r="E69" s="11">
        <f>37/182*100</f>
        <v>20.329670329670328</v>
      </c>
      <c r="F69" s="11">
        <f>35/182*100</f>
        <v>19.230769230769234</v>
      </c>
      <c r="G69" s="11">
        <f>11/182*100</f>
        <v>6.0439560439560438</v>
      </c>
      <c r="H69" s="11">
        <f>6/182*100</f>
        <v>3.296703296703297</v>
      </c>
    </row>
    <row r="70" spans="1:26" x14ac:dyDescent="0.25">
      <c r="A70" s="8">
        <v>2044</v>
      </c>
      <c r="B70" s="11">
        <f>39/182*100</f>
        <v>21.428571428571427</v>
      </c>
      <c r="C70" s="11">
        <f>31/182*100</f>
        <v>17.032967032967033</v>
      </c>
      <c r="D70" s="11">
        <f>9/182*100</f>
        <v>4.9450549450549453</v>
      </c>
      <c r="E70" s="11">
        <f>41/182*100</f>
        <v>22.527472527472529</v>
      </c>
      <c r="F70" s="11">
        <f>42/182*100</f>
        <v>23.076923076923077</v>
      </c>
      <c r="G70" s="11">
        <f>5/182*100</f>
        <v>2.7472527472527473</v>
      </c>
      <c r="H70" s="11">
        <f>5/182*100</f>
        <v>2.7472527472527473</v>
      </c>
    </row>
    <row r="71" spans="1:26" x14ac:dyDescent="0.25">
      <c r="A71" s="8">
        <v>2045</v>
      </c>
      <c r="B71" s="11">
        <f>39/182*100</f>
        <v>21.428571428571427</v>
      </c>
      <c r="C71" s="11">
        <f>7/182*100</f>
        <v>3.8461538461538463</v>
      </c>
      <c r="D71" s="11">
        <f>27/182*100</f>
        <v>14.835164835164836</v>
      </c>
      <c r="E71" s="11">
        <f>45/182*100</f>
        <v>24.725274725274726</v>
      </c>
      <c r="F71" s="11">
        <f>47/182*100</f>
        <v>25.824175824175828</v>
      </c>
      <c r="G71" s="11">
        <f>4/182*100</f>
        <v>2.197802197802198</v>
      </c>
      <c r="H71" s="11">
        <f>2/182*100</f>
        <v>1.098901098901099</v>
      </c>
    </row>
    <row r="72" spans="1:26" x14ac:dyDescent="0.25">
      <c r="A72" s="8">
        <v>2046</v>
      </c>
      <c r="B72" s="11">
        <f>43/182*100</f>
        <v>23.626373626373624</v>
      </c>
      <c r="C72" s="11">
        <f>14/182*100</f>
        <v>7.6923076923076925</v>
      </c>
      <c r="D72" s="11">
        <f>27/182*100</f>
        <v>14.835164835164836</v>
      </c>
      <c r="E72" s="11">
        <f>37/182*100</f>
        <v>20.329670329670328</v>
      </c>
      <c r="F72" s="11">
        <f>35/182*100</f>
        <v>19.230769230769234</v>
      </c>
      <c r="G72" s="11">
        <f>8/182*100</f>
        <v>4.395604395604396</v>
      </c>
      <c r="H72" s="11">
        <f>10/182*100</f>
        <v>5.4945054945054945</v>
      </c>
    </row>
    <row r="73" spans="1:26" x14ac:dyDescent="0.25">
      <c r="A73" s="8">
        <v>2047</v>
      </c>
      <c r="B73" s="11">
        <f>30/182*100</f>
        <v>16.483516483516482</v>
      </c>
      <c r="C73" s="11">
        <f>23/182*100</f>
        <v>12.637362637362637</v>
      </c>
      <c r="D73" s="11">
        <f>19/182*100</f>
        <v>10.43956043956044</v>
      </c>
      <c r="E73" s="11">
        <f>36/182*100</f>
        <v>19.780219780219781</v>
      </c>
      <c r="F73" s="11">
        <f>36/182*100</f>
        <v>19.780219780219781</v>
      </c>
      <c r="G73" s="11">
        <f>9/182*100</f>
        <v>4.9450549450549453</v>
      </c>
      <c r="H73" s="11">
        <f>20/182*100</f>
        <v>10.989010989010989</v>
      </c>
    </row>
    <row r="74" spans="1:26" x14ac:dyDescent="0.25">
      <c r="A74" s="8">
        <v>2048</v>
      </c>
      <c r="B74" s="11">
        <f>54/182*100</f>
        <v>29.670329670329672</v>
      </c>
      <c r="C74" s="11">
        <f>23/182*100</f>
        <v>12.637362637362637</v>
      </c>
      <c r="D74" s="11">
        <f>21/182*100</f>
        <v>11.538461538461538</v>
      </c>
      <c r="E74" s="11">
        <f>45/182*100</f>
        <v>24.725274725274726</v>
      </c>
      <c r="F74" s="11">
        <f>26/182*100</f>
        <v>14.285714285714285</v>
      </c>
      <c r="G74" s="11">
        <f>5/182*100</f>
        <v>2.7472527472527473</v>
      </c>
      <c r="H74" s="11">
        <f>8/182*100</f>
        <v>4.395604395604396</v>
      </c>
    </row>
    <row r="75" spans="1:26" x14ac:dyDescent="0.25">
      <c r="A75" s="8">
        <v>2049</v>
      </c>
      <c r="B75" s="11">
        <f>47/182*100</f>
        <v>25.824175824175828</v>
      </c>
      <c r="C75" s="11">
        <f>21/182*100</f>
        <v>11.538461538461538</v>
      </c>
      <c r="D75" s="11">
        <f>26/182*100</f>
        <v>14.285714285714285</v>
      </c>
      <c r="E75" s="11">
        <f>41/182*100</f>
        <v>22.527472527472529</v>
      </c>
      <c r="F75" s="11">
        <f>32/182*100</f>
        <v>17.582417582417584</v>
      </c>
      <c r="G75" s="11">
        <f>6/182*100</f>
        <v>3.296703296703297</v>
      </c>
      <c r="H75" s="11">
        <f>9/182*100</f>
        <v>4.9450549450549453</v>
      </c>
    </row>
    <row r="76" spans="1:26" x14ac:dyDescent="0.25">
      <c r="A76" s="8">
        <v>2050</v>
      </c>
      <c r="B76" s="11">
        <f>40/182*100</f>
        <v>21.978021978021978</v>
      </c>
      <c r="C76" s="11">
        <f>14/182*100</f>
        <v>7.6923076923076925</v>
      </c>
      <c r="D76" s="11">
        <f>29/182*100</f>
        <v>15.934065934065933</v>
      </c>
      <c r="E76" s="11">
        <f>43/182*100</f>
        <v>23.626373626373624</v>
      </c>
      <c r="F76" s="11">
        <f>32/182*100</f>
        <v>17.582417582417584</v>
      </c>
      <c r="G76" s="11">
        <f>5/182*100</f>
        <v>2.7472527472527473</v>
      </c>
      <c r="H76" s="11">
        <f>19/182*100</f>
        <v>10.43956043956044</v>
      </c>
    </row>
    <row r="77" spans="1:26" x14ac:dyDescent="0.25">
      <c r="A77" s="8">
        <v>2051</v>
      </c>
      <c r="B77" s="11">
        <f>49/182*100</f>
        <v>26.923076923076923</v>
      </c>
      <c r="C77" s="11">
        <f>23/182*100</f>
        <v>12.637362637362637</v>
      </c>
      <c r="D77" s="11">
        <f>18/182*100</f>
        <v>9.8901098901098905</v>
      </c>
      <c r="E77" s="11">
        <f>27/182*100</f>
        <v>14.835164835164836</v>
      </c>
      <c r="F77" s="11">
        <f>29/182*100</f>
        <v>15.934065934065933</v>
      </c>
      <c r="G77" s="11">
        <f>14/182*100</f>
        <v>7.6923076923076925</v>
      </c>
      <c r="H77" s="11">
        <f>8/182*100</f>
        <v>4.395604395604396</v>
      </c>
    </row>
    <row r="78" spans="1:26" x14ac:dyDescent="0.25">
      <c r="A78" s="8">
        <v>2052</v>
      </c>
      <c r="B78" s="11">
        <f>62/182*100</f>
        <v>34.065934065934066</v>
      </c>
      <c r="C78" s="11">
        <f>9/182*100</f>
        <v>4.9450549450549453</v>
      </c>
      <c r="D78" s="11">
        <f>25/182*100</f>
        <v>13.736263736263737</v>
      </c>
      <c r="E78" s="11">
        <f>37/182*100</f>
        <v>20.329670329670328</v>
      </c>
      <c r="F78" s="11">
        <f t="shared" ref="F78:F79" si="2">32/182*100</f>
        <v>17.582417582417584</v>
      </c>
      <c r="G78" s="11">
        <f>7/182*100</f>
        <v>3.8461538461538463</v>
      </c>
      <c r="H78" s="11">
        <f>5/182*100</f>
        <v>2.7472527472527473</v>
      </c>
    </row>
    <row r="79" spans="1:26" x14ac:dyDescent="0.25">
      <c r="A79" s="8">
        <v>2053</v>
      </c>
      <c r="B79" s="11">
        <f>36/182*100</f>
        <v>19.780219780219781</v>
      </c>
      <c r="C79" s="11">
        <f>27/182*100</f>
        <v>14.835164835164836</v>
      </c>
      <c r="D79" s="11">
        <f>27/182*100</f>
        <v>14.835164835164836</v>
      </c>
      <c r="E79" s="11">
        <f>51/182*100</f>
        <v>28.021978021978022</v>
      </c>
      <c r="F79" s="11">
        <f t="shared" si="2"/>
        <v>17.582417582417584</v>
      </c>
      <c r="G79" s="11">
        <f>2/182*100</f>
        <v>1.098901098901099</v>
      </c>
      <c r="H79" s="11">
        <f>2/182*100</f>
        <v>1.098901098901099</v>
      </c>
    </row>
    <row r="80" spans="1:26" x14ac:dyDescent="0.25">
      <c r="A80" s="8">
        <v>2054</v>
      </c>
      <c r="B80" s="11">
        <f>48/182*100</f>
        <v>26.373626373626376</v>
      </c>
      <c r="C80" s="11">
        <f>30/182*100</f>
        <v>16.483516483516482</v>
      </c>
      <c r="D80" s="11">
        <f>19/182*100</f>
        <v>10.43956043956044</v>
      </c>
      <c r="E80" s="11">
        <f>24/182*100</f>
        <v>13.186813186813188</v>
      </c>
      <c r="F80" s="11">
        <f>37/182*100</f>
        <v>20.329670329670328</v>
      </c>
      <c r="G80" s="11">
        <f>13/182*100</f>
        <v>7.1428571428571423</v>
      </c>
      <c r="H80" s="11">
        <f>6/182*100</f>
        <v>3.296703296703297</v>
      </c>
    </row>
    <row r="81" spans="1:8" x14ac:dyDescent="0.25">
      <c r="A81" s="8">
        <v>2055</v>
      </c>
      <c r="B81" s="11">
        <f>37/182*100</f>
        <v>20.329670329670328</v>
      </c>
      <c r="C81" s="11">
        <f>23/182*100</f>
        <v>12.637362637362637</v>
      </c>
      <c r="D81" s="11">
        <f>17/182*100</f>
        <v>9.3406593406593412</v>
      </c>
      <c r="E81" s="11">
        <f>49/182*100</f>
        <v>26.923076923076923</v>
      </c>
      <c r="F81" s="11">
        <f>30/182*100</f>
        <v>16.483516483516482</v>
      </c>
      <c r="G81" s="11">
        <f>7/182*100</f>
        <v>3.8461538461538463</v>
      </c>
      <c r="H81" s="11">
        <f>7/182*100</f>
        <v>3.8461538461538463</v>
      </c>
    </row>
    <row r="82" spans="1:8" x14ac:dyDescent="0.25">
      <c r="A82" s="8">
        <v>2056</v>
      </c>
      <c r="B82" s="11">
        <f>38/182*100</f>
        <v>20.87912087912088</v>
      </c>
      <c r="C82" s="11">
        <f>28/182*100</f>
        <v>15.384615384615385</v>
      </c>
      <c r="D82" s="11">
        <f>32/182*100</f>
        <v>17.582417582417584</v>
      </c>
      <c r="E82" s="11">
        <f>37/182*100</f>
        <v>20.329670329670328</v>
      </c>
      <c r="F82" s="11">
        <f>31/182*100</f>
        <v>17.032967032967033</v>
      </c>
      <c r="G82" s="11">
        <f>6/182*100</f>
        <v>3.296703296703297</v>
      </c>
      <c r="H82" s="11">
        <f>3/182*100</f>
        <v>1.6483516483516485</v>
      </c>
    </row>
    <row r="83" spans="1:8" x14ac:dyDescent="0.25">
      <c r="A83" s="8">
        <v>2057</v>
      </c>
      <c r="B83" s="11">
        <f>61/182*100</f>
        <v>33.516483516483511</v>
      </c>
      <c r="C83" s="11">
        <f>22/182*100</f>
        <v>12.087912087912088</v>
      </c>
      <c r="D83" s="11">
        <f>16/182*100</f>
        <v>8.791208791208792</v>
      </c>
      <c r="E83" s="11">
        <f>28/182*100</f>
        <v>15.384615384615385</v>
      </c>
      <c r="F83" s="11">
        <f>33/182*100</f>
        <v>18.131868131868131</v>
      </c>
      <c r="G83" s="11">
        <f>6/182*100</f>
        <v>3.296703296703297</v>
      </c>
      <c r="H83" s="11">
        <f>5/182*100</f>
        <v>2.7472527472527473</v>
      </c>
    </row>
    <row r="84" spans="1:8" x14ac:dyDescent="0.25">
      <c r="A84" s="8">
        <v>2058</v>
      </c>
      <c r="B84" s="11">
        <f>53/182*100</f>
        <v>29.120879120879124</v>
      </c>
      <c r="C84" s="11">
        <f>19/182*100</f>
        <v>10.43956043956044</v>
      </c>
      <c r="D84" s="11">
        <f>29/182*100</f>
        <v>15.934065934065933</v>
      </c>
      <c r="E84" s="11">
        <f>29/182*100</f>
        <v>15.934065934065933</v>
      </c>
      <c r="F84" s="11">
        <f>34/182*100</f>
        <v>18.681318681318682</v>
      </c>
      <c r="G84" s="11">
        <f>6/182*100</f>
        <v>3.296703296703297</v>
      </c>
      <c r="H84" s="11">
        <f>6/182*100</f>
        <v>3.296703296703297</v>
      </c>
    </row>
    <row r="85" spans="1:8" x14ac:dyDescent="0.25">
      <c r="A85" s="8">
        <v>2059</v>
      </c>
      <c r="B85" s="11">
        <f>52/182*100</f>
        <v>28.571428571428569</v>
      </c>
      <c r="C85" s="11">
        <f>25/182*100</f>
        <v>13.736263736263737</v>
      </c>
      <c r="D85" s="11">
        <f>15/182*100</f>
        <v>8.2417582417582409</v>
      </c>
      <c r="E85" s="11">
        <f>33/182*100</f>
        <v>18.131868131868131</v>
      </c>
      <c r="F85" s="11">
        <f>29/182*100</f>
        <v>15.934065934065933</v>
      </c>
      <c r="G85" s="11">
        <f>7/182*100</f>
        <v>3.8461538461538463</v>
      </c>
      <c r="H85" s="11">
        <f>10/182*100</f>
        <v>5.4945054945054945</v>
      </c>
    </row>
    <row r="86" spans="1:8" x14ac:dyDescent="0.25">
      <c r="A86" s="8">
        <v>2060</v>
      </c>
      <c r="B86" s="11">
        <f>21/182*100</f>
        <v>11.538461538461538</v>
      </c>
      <c r="C86" s="11">
        <f>33/182*100</f>
        <v>18.131868131868131</v>
      </c>
      <c r="D86" s="11">
        <f>27/182*100</f>
        <v>14.835164835164836</v>
      </c>
      <c r="E86" s="11">
        <f>36/182*100</f>
        <v>19.780219780219781</v>
      </c>
      <c r="F86" s="11">
        <f>46/182*100</f>
        <v>25.274725274725274</v>
      </c>
      <c r="G86" s="11">
        <f>3/182*100</f>
        <v>1.6483516483516485</v>
      </c>
      <c r="H86" s="11">
        <f>3/182*100</f>
        <v>1.6483516483516485</v>
      </c>
    </row>
    <row r="87" spans="1:8" x14ac:dyDescent="0.25">
      <c r="A87" s="8">
        <v>2061</v>
      </c>
      <c r="B87" s="11">
        <f>28/182*100</f>
        <v>15.384615384615385</v>
      </c>
      <c r="C87" s="11">
        <f>15/182*100</f>
        <v>8.2417582417582409</v>
      </c>
      <c r="D87" s="11">
        <f>25/182*100</f>
        <v>13.736263736263737</v>
      </c>
      <c r="E87" s="11">
        <f>37/182*100</f>
        <v>20.329670329670328</v>
      </c>
      <c r="F87" s="11">
        <f>52/182*100</f>
        <v>28.571428571428569</v>
      </c>
      <c r="G87" s="11">
        <f>3/182*100</f>
        <v>1.6483516483516485</v>
      </c>
      <c r="H87" s="11">
        <f>10/182*100</f>
        <v>5.4945054945054945</v>
      </c>
    </row>
    <row r="88" spans="1:8" x14ac:dyDescent="0.25">
      <c r="A88" s="8">
        <v>2062</v>
      </c>
      <c r="B88" s="11">
        <f>52/182*100</f>
        <v>28.571428571428569</v>
      </c>
      <c r="C88" s="11">
        <f>20/182*100</f>
        <v>10.989010989010989</v>
      </c>
      <c r="D88" s="11">
        <f>30/182*100</f>
        <v>16.483516483516482</v>
      </c>
      <c r="E88" s="11">
        <f>27/182*100</f>
        <v>14.835164835164836</v>
      </c>
      <c r="F88" s="11">
        <f>35/182*100</f>
        <v>19.230769230769234</v>
      </c>
      <c r="G88" s="11">
        <f>13/182*100</f>
        <v>7.1428571428571423</v>
      </c>
      <c r="H88" s="11">
        <f>1/182*100</f>
        <v>0.5494505494505495</v>
      </c>
    </row>
    <row r="89" spans="1:8" x14ac:dyDescent="0.25">
      <c r="A89" s="8">
        <v>2063</v>
      </c>
      <c r="B89" s="11">
        <f>48/182*100</f>
        <v>26.373626373626376</v>
      </c>
      <c r="C89" s="11">
        <f>13/182*100</f>
        <v>7.1428571428571423</v>
      </c>
      <c r="D89" s="11">
        <f>22/182*100</f>
        <v>12.087912087912088</v>
      </c>
      <c r="E89" s="11">
        <f>52/182*100</f>
        <v>28.571428571428569</v>
      </c>
      <c r="F89" s="11">
        <f>38/182*100</f>
        <v>20.87912087912088</v>
      </c>
      <c r="G89" s="11">
        <f>2/182*100</f>
        <v>1.098901098901099</v>
      </c>
      <c r="H89" s="11">
        <f>2/182*100</f>
        <v>1.098901098901099</v>
      </c>
    </row>
    <row r="90" spans="1:8" x14ac:dyDescent="0.25">
      <c r="A90" s="8">
        <v>2064</v>
      </c>
      <c r="B90" s="11">
        <f>50/182*100</f>
        <v>27.472527472527474</v>
      </c>
      <c r="C90" s="11">
        <f>9/182*100</f>
        <v>4.9450549450549453</v>
      </c>
      <c r="D90" s="11">
        <f>43/182*100</f>
        <v>23.626373626373624</v>
      </c>
      <c r="E90" s="11">
        <f>32/182*100</f>
        <v>17.582417582417584</v>
      </c>
      <c r="F90" s="11">
        <f>38/182*100</f>
        <v>20.87912087912088</v>
      </c>
      <c r="G90" s="11">
        <f>2/182*100</f>
        <v>1.098901098901099</v>
      </c>
      <c r="H90" s="11">
        <f>3/182*100</f>
        <v>1.6483516483516485</v>
      </c>
    </row>
    <row r="91" spans="1:8" ht="18.75" x14ac:dyDescent="0.3">
      <c r="A91" s="12" t="s">
        <v>36</v>
      </c>
      <c r="B91" s="10">
        <f t="shared" ref="B91:H91" si="3">AVERAGE(B42:B76)</f>
        <v>22.119309262166407</v>
      </c>
      <c r="C91" s="10">
        <f t="shared" si="3"/>
        <v>10.264645580804832</v>
      </c>
      <c r="D91" s="10">
        <f t="shared" si="3"/>
        <v>14.583987441130299</v>
      </c>
      <c r="E91" s="10">
        <f t="shared" si="3"/>
        <v>23.469387755102048</v>
      </c>
      <c r="F91" s="10">
        <f t="shared" si="3"/>
        <v>19.120251177394046</v>
      </c>
      <c r="G91" s="10">
        <f t="shared" si="3"/>
        <v>3.3281004709576143</v>
      </c>
      <c r="H91" s="10">
        <f t="shared" si="3"/>
        <v>3.90894819466248</v>
      </c>
    </row>
    <row r="92" spans="1:8" ht="18.75" x14ac:dyDescent="0.3">
      <c r="A92" s="19" t="s">
        <v>40</v>
      </c>
      <c r="B92" s="20"/>
      <c r="C92" s="20"/>
      <c r="D92" s="20"/>
      <c r="E92" s="20"/>
      <c r="F92" s="20"/>
      <c r="G92" s="20"/>
      <c r="H92" s="20"/>
    </row>
    <row r="93" spans="1:8" ht="18.75" x14ac:dyDescent="0.3">
      <c r="A93" s="12" t="s">
        <v>37</v>
      </c>
      <c r="B93" s="10">
        <f t="shared" ref="B93:H93" si="4">STDEV(B42:B76)</f>
        <v>4.496148996167908</v>
      </c>
      <c r="C93" s="10">
        <f t="shared" si="4"/>
        <v>3.2825110504816197</v>
      </c>
      <c r="D93" s="10">
        <f t="shared" si="4"/>
        <v>4.4284945504266808</v>
      </c>
      <c r="E93" s="10">
        <f t="shared" si="4"/>
        <v>4.5005479739482839</v>
      </c>
      <c r="F93" s="10">
        <f t="shared" si="4"/>
        <v>5.0519101811614977</v>
      </c>
      <c r="G93" s="10">
        <f t="shared" si="4"/>
        <v>1.390924419461631</v>
      </c>
      <c r="H93" s="10">
        <f t="shared" si="4"/>
        <v>2.7658434606831137</v>
      </c>
    </row>
    <row r="94" spans="1:8" ht="18.75" x14ac:dyDescent="0.3">
      <c r="A94" s="12" t="s">
        <v>41</v>
      </c>
      <c r="B94" s="20"/>
      <c r="C94" s="20"/>
      <c r="D94" s="20"/>
      <c r="E94" s="20"/>
      <c r="F94" s="20"/>
      <c r="G94" s="20"/>
      <c r="H94" s="20"/>
    </row>
    <row r="95" spans="1:8" x14ac:dyDescent="0.25">
      <c r="B95" t="s">
        <v>1</v>
      </c>
      <c r="C95" t="s">
        <v>51</v>
      </c>
      <c r="D95" t="s">
        <v>3</v>
      </c>
      <c r="E95" t="s">
        <v>10</v>
      </c>
      <c r="F95" t="s">
        <v>5</v>
      </c>
      <c r="G95" t="s">
        <v>52</v>
      </c>
      <c r="H95" t="s">
        <v>53</v>
      </c>
    </row>
    <row r="97" spans="1:3" x14ac:dyDescent="0.25">
      <c r="A97" s="1" t="s">
        <v>0</v>
      </c>
      <c r="B97" s="13" t="s">
        <v>9</v>
      </c>
      <c r="C97" s="13" t="s">
        <v>10</v>
      </c>
    </row>
    <row r="98" spans="1:3" x14ac:dyDescent="0.25">
      <c r="A98" s="30">
        <v>2015</v>
      </c>
      <c r="B98" s="11">
        <f t="shared" ref="B98:B140" si="5">B41+D41+F41</f>
        <v>62.087912087912088</v>
      </c>
      <c r="C98" s="11">
        <f>54/182*100</f>
        <v>29.670329670329672</v>
      </c>
    </row>
    <row r="99" spans="1:3" x14ac:dyDescent="0.25">
      <c r="A99" s="23">
        <v>2016</v>
      </c>
      <c r="B99" s="11">
        <f t="shared" si="5"/>
        <v>54.945054945054949</v>
      </c>
      <c r="C99" s="11">
        <f>54/182*100</f>
        <v>29.670329670329672</v>
      </c>
    </row>
    <row r="100" spans="1:3" x14ac:dyDescent="0.25">
      <c r="A100" s="23">
        <f t="shared" ref="A100:A140" si="6">A99+1</f>
        <v>2017</v>
      </c>
      <c r="B100" s="11">
        <f t="shared" si="5"/>
        <v>54.945054945054949</v>
      </c>
      <c r="C100" s="11">
        <f>53/182*100</f>
        <v>29.120879120879124</v>
      </c>
    </row>
    <row r="101" spans="1:3" x14ac:dyDescent="0.25">
      <c r="A101" s="23">
        <f t="shared" si="6"/>
        <v>2018</v>
      </c>
      <c r="B101" s="11">
        <f t="shared" si="5"/>
        <v>54.945054945054942</v>
      </c>
      <c r="C101" s="11">
        <f>51/182*100</f>
        <v>28.021978021978022</v>
      </c>
    </row>
    <row r="102" spans="1:3" x14ac:dyDescent="0.25">
      <c r="A102" s="23">
        <f t="shared" si="6"/>
        <v>2019</v>
      </c>
      <c r="B102" s="11">
        <f t="shared" si="5"/>
        <v>52.747252747252745</v>
      </c>
      <c r="C102" s="11">
        <f>47/182*100</f>
        <v>25.824175824175828</v>
      </c>
    </row>
    <row r="103" spans="1:3" x14ac:dyDescent="0.25">
      <c r="A103" s="23">
        <f t="shared" si="6"/>
        <v>2020</v>
      </c>
      <c r="B103" s="11">
        <f t="shared" si="5"/>
        <v>45.604395604395606</v>
      </c>
      <c r="C103" s="11">
        <f>56/182*100</f>
        <v>30.76923076923077</v>
      </c>
    </row>
    <row r="104" spans="1:3" x14ac:dyDescent="0.25">
      <c r="A104" s="23">
        <f t="shared" si="6"/>
        <v>2021</v>
      </c>
      <c r="B104" s="11">
        <f t="shared" si="5"/>
        <v>53.296703296703299</v>
      </c>
      <c r="C104" s="11">
        <f>37/182*100</f>
        <v>20.329670329670328</v>
      </c>
    </row>
    <row r="105" spans="1:3" x14ac:dyDescent="0.25">
      <c r="A105" s="23">
        <f t="shared" si="6"/>
        <v>2022</v>
      </c>
      <c r="B105" s="11">
        <f t="shared" si="5"/>
        <v>43.956043956043956</v>
      </c>
      <c r="C105" s="11">
        <f>44/182*100</f>
        <v>24.175824175824175</v>
      </c>
    </row>
    <row r="106" spans="1:3" x14ac:dyDescent="0.25">
      <c r="A106" s="23">
        <f t="shared" si="6"/>
        <v>2023</v>
      </c>
      <c r="B106" s="11">
        <f t="shared" si="5"/>
        <v>48.901098901098898</v>
      </c>
      <c r="C106" s="11">
        <f>50/182*100</f>
        <v>27.472527472527474</v>
      </c>
    </row>
    <row r="107" spans="1:3" x14ac:dyDescent="0.25">
      <c r="A107" s="23">
        <f t="shared" si="6"/>
        <v>2024</v>
      </c>
      <c r="B107" s="11">
        <f t="shared" si="5"/>
        <v>58.241758241758248</v>
      </c>
      <c r="C107" s="11">
        <f>50/182*100</f>
        <v>27.472527472527474</v>
      </c>
    </row>
    <row r="108" spans="1:3" x14ac:dyDescent="0.25">
      <c r="A108" s="23">
        <f t="shared" si="6"/>
        <v>2025</v>
      </c>
      <c r="B108" s="11">
        <f t="shared" si="5"/>
        <v>48.901098901098905</v>
      </c>
      <c r="C108" s="11">
        <f>48/182*100</f>
        <v>26.373626373626376</v>
      </c>
    </row>
    <row r="109" spans="1:3" x14ac:dyDescent="0.25">
      <c r="A109" s="23">
        <f t="shared" si="6"/>
        <v>2026</v>
      </c>
      <c r="B109" s="11">
        <f t="shared" si="5"/>
        <v>53.846153846153847</v>
      </c>
      <c r="C109" s="11">
        <f>50/182*100</f>
        <v>27.472527472527474</v>
      </c>
    </row>
    <row r="110" spans="1:3" x14ac:dyDescent="0.25">
      <c r="A110" s="23">
        <f t="shared" si="6"/>
        <v>2027</v>
      </c>
      <c r="B110" s="11">
        <f t="shared" si="5"/>
        <v>56.593406593406584</v>
      </c>
      <c r="C110" s="11">
        <f>40/182*100</f>
        <v>21.978021978021978</v>
      </c>
    </row>
    <row r="111" spans="1:3" x14ac:dyDescent="0.25">
      <c r="A111" s="23">
        <f t="shared" si="6"/>
        <v>2028</v>
      </c>
      <c r="B111" s="11">
        <f t="shared" si="5"/>
        <v>64.813186813186817</v>
      </c>
      <c r="C111" s="11">
        <f>45/182*100</f>
        <v>24.725274725274726</v>
      </c>
    </row>
    <row r="112" spans="1:3" x14ac:dyDescent="0.25">
      <c r="A112" s="23">
        <f t="shared" si="6"/>
        <v>2029</v>
      </c>
      <c r="B112" s="11">
        <f t="shared" si="5"/>
        <v>59.890109890109891</v>
      </c>
      <c r="C112" s="11">
        <f>44/182*100</f>
        <v>24.175824175824175</v>
      </c>
    </row>
    <row r="113" spans="1:3" x14ac:dyDescent="0.25">
      <c r="A113" s="23">
        <f t="shared" si="6"/>
        <v>2030</v>
      </c>
      <c r="B113" s="11">
        <f t="shared" si="5"/>
        <v>56.593406593406591</v>
      </c>
      <c r="C113" s="11">
        <f>47/182*100</f>
        <v>25.824175824175828</v>
      </c>
    </row>
    <row r="114" spans="1:3" x14ac:dyDescent="0.25">
      <c r="A114" s="23">
        <f t="shared" si="6"/>
        <v>2031</v>
      </c>
      <c r="B114" s="11">
        <f t="shared" si="5"/>
        <v>60.439560439560438</v>
      </c>
      <c r="C114" s="11">
        <f>42/182*100</f>
        <v>23.076923076923077</v>
      </c>
    </row>
    <row r="115" spans="1:3" x14ac:dyDescent="0.25">
      <c r="A115" s="23">
        <f t="shared" si="6"/>
        <v>2032</v>
      </c>
      <c r="B115" s="11">
        <f t="shared" si="5"/>
        <v>59.34065934065935</v>
      </c>
      <c r="C115" s="11">
        <f>35/182*100</f>
        <v>19.230769230769234</v>
      </c>
    </row>
    <row r="116" spans="1:3" x14ac:dyDescent="0.25">
      <c r="A116" s="23">
        <f t="shared" si="6"/>
        <v>2033</v>
      </c>
      <c r="B116" s="11">
        <f t="shared" si="5"/>
        <v>51.64835164835165</v>
      </c>
      <c r="C116" s="11">
        <f>57/182*100</f>
        <v>31.318681318681318</v>
      </c>
    </row>
    <row r="117" spans="1:3" x14ac:dyDescent="0.25">
      <c r="A117" s="23">
        <f t="shared" si="6"/>
        <v>2034</v>
      </c>
      <c r="B117" s="11">
        <f t="shared" si="5"/>
        <v>62.087912087912088</v>
      </c>
      <c r="C117" s="11">
        <f>24/182*100</f>
        <v>13.186813186813188</v>
      </c>
    </row>
    <row r="118" spans="1:3" x14ac:dyDescent="0.25">
      <c r="A118" s="23">
        <f t="shared" si="6"/>
        <v>2035</v>
      </c>
      <c r="B118" s="11">
        <f t="shared" si="5"/>
        <v>57.142857142857146</v>
      </c>
      <c r="C118" s="11">
        <f>53/182*100</f>
        <v>29.120879120879124</v>
      </c>
    </row>
    <row r="119" spans="1:3" x14ac:dyDescent="0.25">
      <c r="A119" s="23">
        <f t="shared" si="6"/>
        <v>2036</v>
      </c>
      <c r="B119" s="11">
        <f t="shared" si="5"/>
        <v>54.945054945054949</v>
      </c>
      <c r="C119" s="11">
        <f>40/182*100</f>
        <v>21.978021978021978</v>
      </c>
    </row>
    <row r="120" spans="1:3" x14ac:dyDescent="0.25">
      <c r="A120" s="23">
        <f t="shared" si="6"/>
        <v>2037</v>
      </c>
      <c r="B120" s="11">
        <f t="shared" si="5"/>
        <v>62.637362637362635</v>
      </c>
      <c r="C120" s="11">
        <f>42/182*100</f>
        <v>23.076923076923077</v>
      </c>
    </row>
    <row r="121" spans="1:3" x14ac:dyDescent="0.25">
      <c r="A121" s="23">
        <f t="shared" si="6"/>
        <v>2038</v>
      </c>
      <c r="B121" s="11">
        <f t="shared" si="5"/>
        <v>60.989010989010985</v>
      </c>
      <c r="C121" s="11">
        <f>27/182*100</f>
        <v>14.835164835164836</v>
      </c>
    </row>
    <row r="122" spans="1:3" x14ac:dyDescent="0.25">
      <c r="A122" s="23">
        <f t="shared" si="6"/>
        <v>2039</v>
      </c>
      <c r="B122" s="11">
        <f t="shared" si="5"/>
        <v>58.241758241758248</v>
      </c>
      <c r="C122" s="11">
        <f>32/182*100</f>
        <v>17.582417582417584</v>
      </c>
    </row>
    <row r="123" spans="1:3" x14ac:dyDescent="0.25">
      <c r="A123" s="23">
        <f t="shared" si="6"/>
        <v>2040</v>
      </c>
      <c r="B123" s="11">
        <f t="shared" si="5"/>
        <v>62.087912087912095</v>
      </c>
      <c r="C123" s="11">
        <f>33/182*100</f>
        <v>18.131868131868131</v>
      </c>
    </row>
    <row r="124" spans="1:3" x14ac:dyDescent="0.25">
      <c r="A124" s="23">
        <f t="shared" si="6"/>
        <v>2041</v>
      </c>
      <c r="B124" s="11">
        <f t="shared" si="5"/>
        <v>56.043956043956051</v>
      </c>
      <c r="C124" s="11">
        <f>28/182*100</f>
        <v>15.384615384615385</v>
      </c>
    </row>
    <row r="125" spans="1:3" x14ac:dyDescent="0.25">
      <c r="A125" s="23">
        <f t="shared" si="6"/>
        <v>2042</v>
      </c>
      <c r="B125" s="11">
        <f t="shared" si="5"/>
        <v>56.043956043956044</v>
      </c>
      <c r="C125" s="11">
        <f>41/182*100</f>
        <v>22.527472527472529</v>
      </c>
    </row>
    <row r="126" spans="1:3" x14ac:dyDescent="0.25">
      <c r="A126" s="23">
        <f t="shared" si="6"/>
        <v>2043</v>
      </c>
      <c r="B126" s="11">
        <f t="shared" si="5"/>
        <v>59.34065934065935</v>
      </c>
      <c r="C126" s="11">
        <f>37/182*100</f>
        <v>20.329670329670328</v>
      </c>
    </row>
    <row r="127" spans="1:3" x14ac:dyDescent="0.25">
      <c r="A127" s="23">
        <f t="shared" si="6"/>
        <v>2044</v>
      </c>
      <c r="B127" s="11">
        <f t="shared" si="5"/>
        <v>49.450549450549445</v>
      </c>
      <c r="C127" s="11">
        <f>41/182*100</f>
        <v>22.527472527472529</v>
      </c>
    </row>
    <row r="128" spans="1:3" x14ac:dyDescent="0.25">
      <c r="A128" s="23">
        <f t="shared" si="6"/>
        <v>2045</v>
      </c>
      <c r="B128" s="11">
        <f t="shared" si="5"/>
        <v>62.087912087912088</v>
      </c>
      <c r="C128" s="11">
        <f>45/182*100</f>
        <v>24.725274725274726</v>
      </c>
    </row>
    <row r="129" spans="1:3" x14ac:dyDescent="0.25">
      <c r="A129" s="23">
        <f t="shared" si="6"/>
        <v>2046</v>
      </c>
      <c r="B129" s="11">
        <f t="shared" si="5"/>
        <v>57.692307692307693</v>
      </c>
      <c r="C129" s="11">
        <f>37/182*100</f>
        <v>20.329670329670328</v>
      </c>
    </row>
    <row r="130" spans="1:3" x14ac:dyDescent="0.25">
      <c r="A130" s="23">
        <f t="shared" si="6"/>
        <v>2047</v>
      </c>
      <c r="B130" s="11">
        <f t="shared" si="5"/>
        <v>46.703296703296701</v>
      </c>
      <c r="C130" s="11">
        <f>36/182*100</f>
        <v>19.780219780219781</v>
      </c>
    </row>
    <row r="131" spans="1:3" x14ac:dyDescent="0.25">
      <c r="A131" s="23">
        <f t="shared" si="6"/>
        <v>2048</v>
      </c>
      <c r="B131" s="11">
        <f t="shared" si="5"/>
        <v>55.494505494505496</v>
      </c>
      <c r="C131" s="11">
        <f>45/182*100</f>
        <v>24.725274725274726</v>
      </c>
    </row>
    <row r="132" spans="1:3" x14ac:dyDescent="0.25">
      <c r="A132" s="23">
        <f t="shared" si="6"/>
        <v>2049</v>
      </c>
      <c r="B132" s="11">
        <f t="shared" si="5"/>
        <v>57.692307692307701</v>
      </c>
      <c r="C132" s="11">
        <f>41/182*100</f>
        <v>22.527472527472529</v>
      </c>
    </row>
    <row r="133" spans="1:3" x14ac:dyDescent="0.25">
      <c r="A133" s="23">
        <f t="shared" si="6"/>
        <v>2050</v>
      </c>
      <c r="B133" s="11">
        <f t="shared" si="5"/>
        <v>55.494505494505496</v>
      </c>
      <c r="C133" s="11">
        <f>43/182*100</f>
        <v>23.626373626373624</v>
      </c>
    </row>
    <row r="134" spans="1:3" x14ac:dyDescent="0.25">
      <c r="A134" s="23">
        <f t="shared" si="6"/>
        <v>2051</v>
      </c>
      <c r="B134" s="11">
        <f t="shared" si="5"/>
        <v>52.747252747252752</v>
      </c>
      <c r="C134" s="11">
        <f>27/182*100</f>
        <v>14.835164835164836</v>
      </c>
    </row>
    <row r="135" spans="1:3" x14ac:dyDescent="0.25">
      <c r="A135" s="23">
        <f t="shared" si="6"/>
        <v>2052</v>
      </c>
      <c r="B135" s="11">
        <f t="shared" si="5"/>
        <v>65.384615384615387</v>
      </c>
      <c r="C135" s="11">
        <f>37/182*100</f>
        <v>20.329670329670328</v>
      </c>
    </row>
    <row r="136" spans="1:3" x14ac:dyDescent="0.25">
      <c r="A136" s="23">
        <f t="shared" si="6"/>
        <v>2053</v>
      </c>
      <c r="B136" s="11">
        <f t="shared" si="5"/>
        <v>52.197802197802197</v>
      </c>
      <c r="C136" s="11">
        <f>51/182*100</f>
        <v>28.021978021978022</v>
      </c>
    </row>
    <row r="137" spans="1:3" x14ac:dyDescent="0.25">
      <c r="A137" s="23">
        <f t="shared" si="6"/>
        <v>2054</v>
      </c>
      <c r="B137" s="11">
        <f t="shared" si="5"/>
        <v>57.142857142857146</v>
      </c>
      <c r="C137" s="11">
        <f>24/182*100</f>
        <v>13.186813186813188</v>
      </c>
    </row>
    <row r="138" spans="1:3" x14ac:dyDescent="0.25">
      <c r="A138" s="23">
        <f t="shared" si="6"/>
        <v>2055</v>
      </c>
      <c r="B138" s="11">
        <f t="shared" si="5"/>
        <v>46.153846153846153</v>
      </c>
      <c r="C138" s="11">
        <f>49/182*100</f>
        <v>26.923076923076923</v>
      </c>
    </row>
    <row r="139" spans="1:3" x14ac:dyDescent="0.25">
      <c r="A139" s="23">
        <f t="shared" si="6"/>
        <v>2056</v>
      </c>
      <c r="B139" s="11">
        <f t="shared" si="5"/>
        <v>55.494505494505503</v>
      </c>
      <c r="C139" s="11">
        <f>39/182*100</f>
        <v>21.428571428571427</v>
      </c>
    </row>
    <row r="140" spans="1:3" x14ac:dyDescent="0.25">
      <c r="A140" s="23">
        <f t="shared" si="6"/>
        <v>2057</v>
      </c>
      <c r="B140" s="11">
        <f t="shared" si="5"/>
        <v>60.439560439560438</v>
      </c>
      <c r="C140" s="11">
        <f>28/182*100</f>
        <v>15.384615384615385</v>
      </c>
    </row>
    <row r="141" spans="1:3" x14ac:dyDescent="0.25">
      <c r="A141" s="23">
        <v>2058</v>
      </c>
      <c r="B141" s="11">
        <f t="shared" ref="B141:B147" si="7">B84+D84+F84</f>
        <v>63.736263736263737</v>
      </c>
      <c r="C141" s="11">
        <f>29/182*100</f>
        <v>15.934065934065933</v>
      </c>
    </row>
    <row r="142" spans="1:3" x14ac:dyDescent="0.25">
      <c r="A142" s="23">
        <v>2059</v>
      </c>
      <c r="B142" s="11">
        <f t="shared" si="7"/>
        <v>52.747252747252745</v>
      </c>
      <c r="C142" s="11">
        <f>33/182*100</f>
        <v>18.131868131868131</v>
      </c>
    </row>
    <row r="143" spans="1:3" x14ac:dyDescent="0.25">
      <c r="A143" s="23">
        <v>2060</v>
      </c>
      <c r="B143" s="11">
        <f t="shared" si="7"/>
        <v>51.64835164835165</v>
      </c>
      <c r="C143" s="11">
        <f>36/182*100</f>
        <v>19.780219780219781</v>
      </c>
    </row>
    <row r="144" spans="1:3" x14ac:dyDescent="0.25">
      <c r="A144" s="23">
        <v>2061</v>
      </c>
      <c r="B144" s="11">
        <f t="shared" si="7"/>
        <v>57.692307692307693</v>
      </c>
      <c r="C144" s="11">
        <f>37/182*100</f>
        <v>20.329670329670328</v>
      </c>
    </row>
    <row r="145" spans="1:3" x14ac:dyDescent="0.25">
      <c r="A145" s="23">
        <v>2062</v>
      </c>
      <c r="B145" s="11">
        <f t="shared" si="7"/>
        <v>64.285714285714278</v>
      </c>
      <c r="C145" s="11">
        <f>27/182*100</f>
        <v>14.835164835164836</v>
      </c>
    </row>
    <row r="146" spans="1:3" x14ac:dyDescent="0.25">
      <c r="A146" s="23">
        <v>2063</v>
      </c>
      <c r="B146" s="11">
        <f t="shared" si="7"/>
        <v>59.340659340659343</v>
      </c>
      <c r="C146" s="11">
        <f>52/182*100</f>
        <v>28.571428571428569</v>
      </c>
    </row>
    <row r="147" spans="1:3" x14ac:dyDescent="0.25">
      <c r="A147" s="23">
        <v>2064</v>
      </c>
      <c r="B147" s="11">
        <f t="shared" si="7"/>
        <v>71.978021978021971</v>
      </c>
      <c r="C147" s="11">
        <f>32/182*100</f>
        <v>17.582417582417584</v>
      </c>
    </row>
    <row r="149" spans="1:3" ht="23.25" x14ac:dyDescent="0.35">
      <c r="B149" s="21"/>
    </row>
    <row r="161" spans="2:10" ht="23.25" x14ac:dyDescent="0.35">
      <c r="B161" s="21"/>
    </row>
    <row r="170" spans="2:10" ht="21" x14ac:dyDescent="0.35">
      <c r="D170" s="28"/>
      <c r="E170" s="28"/>
      <c r="F170" s="28"/>
      <c r="G170" s="28"/>
      <c r="H170" s="28"/>
      <c r="I170" s="28"/>
      <c r="J170" s="28"/>
    </row>
    <row r="171" spans="2:10" ht="21" x14ac:dyDescent="0.35">
      <c r="D171" s="28"/>
      <c r="E171" s="28"/>
      <c r="F171" s="28"/>
      <c r="G171" s="28"/>
      <c r="H171" s="28"/>
      <c r="I171" s="28"/>
      <c r="J171" s="28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21" sqref="J21"/>
    </sheetView>
  </sheetViews>
  <sheetFormatPr defaultRowHeight="15" x14ac:dyDescent="0.25"/>
  <sheetData>
    <row r="1" spans="1:9" x14ac:dyDescent="0.25">
      <c r="A1" t="s">
        <v>11</v>
      </c>
    </row>
    <row r="2" spans="1:9" ht="15.75" thickBot="1" x14ac:dyDescent="0.3"/>
    <row r="3" spans="1:9" x14ac:dyDescent="0.25">
      <c r="A3" s="17" t="s">
        <v>12</v>
      </c>
      <c r="B3" s="17"/>
    </row>
    <row r="4" spans="1:9" x14ac:dyDescent="0.25">
      <c r="A4" s="14" t="s">
        <v>13</v>
      </c>
      <c r="B4" s="14">
        <v>0.20524864737947351</v>
      </c>
    </row>
    <row r="5" spans="1:9" x14ac:dyDescent="0.25">
      <c r="A5" s="14" t="s">
        <v>14</v>
      </c>
      <c r="B5" s="14">
        <v>4.2127007251103465E-2</v>
      </c>
      <c r="C5" s="33">
        <f>SQRT(0.042127)</f>
        <v>0.20524862971527971</v>
      </c>
    </row>
    <row r="6" spans="1:9" x14ac:dyDescent="0.25">
      <c r="A6" s="14" t="s">
        <v>15</v>
      </c>
      <c r="B6" s="14">
        <v>2.2171319902168123E-2</v>
      </c>
    </row>
    <row r="7" spans="1:9" x14ac:dyDescent="0.25">
      <c r="A7" s="14" t="s">
        <v>16</v>
      </c>
      <c r="B7" s="14">
        <v>14.414874072318124</v>
      </c>
    </row>
    <row r="8" spans="1:9" ht="15.75" thickBot="1" x14ac:dyDescent="0.3">
      <c r="A8" s="15" t="s">
        <v>17</v>
      </c>
      <c r="B8" s="15">
        <v>50</v>
      </c>
    </row>
    <row r="10" spans="1:9" ht="15.75" thickBot="1" x14ac:dyDescent="0.3">
      <c r="A10" t="s">
        <v>18</v>
      </c>
    </row>
    <row r="11" spans="1:9" x14ac:dyDescent="0.25">
      <c r="A11" s="16"/>
      <c r="B11" s="16" t="s">
        <v>23</v>
      </c>
      <c r="C11" s="16" t="s">
        <v>24</v>
      </c>
      <c r="D11" s="16" t="s">
        <v>25</v>
      </c>
      <c r="E11" s="16" t="s">
        <v>26</v>
      </c>
      <c r="F11" s="16" t="s">
        <v>27</v>
      </c>
    </row>
    <row r="12" spans="1:9" x14ac:dyDescent="0.25">
      <c r="A12" s="14" t="s">
        <v>19</v>
      </c>
      <c r="B12" s="14">
        <v>1</v>
      </c>
      <c r="C12" s="14">
        <v>438.64746300211482</v>
      </c>
      <c r="D12" s="14">
        <v>438.64746300211482</v>
      </c>
      <c r="E12" s="14">
        <v>2.111027624079858</v>
      </c>
      <c r="F12" s="14">
        <v>0.15274768554769358</v>
      </c>
    </row>
    <row r="13" spans="1:9" x14ac:dyDescent="0.25">
      <c r="A13" s="14" t="s">
        <v>20</v>
      </c>
      <c r="B13" s="14">
        <v>48</v>
      </c>
      <c r="C13" s="14">
        <v>9973.8525369978852</v>
      </c>
      <c r="D13" s="14">
        <v>207.78859452078927</v>
      </c>
      <c r="E13" s="14"/>
      <c r="F13" s="14"/>
    </row>
    <row r="14" spans="1:9" ht="15.75" thickBot="1" x14ac:dyDescent="0.3">
      <c r="A14" s="15" t="s">
        <v>21</v>
      </c>
      <c r="B14" s="15">
        <v>49</v>
      </c>
      <c r="C14" s="15">
        <v>10412.5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28</v>
      </c>
      <c r="C16" s="16" t="s">
        <v>16</v>
      </c>
      <c r="D16" s="16" t="s">
        <v>29</v>
      </c>
      <c r="E16" s="16" t="s">
        <v>30</v>
      </c>
      <c r="F16" s="16" t="s">
        <v>31</v>
      </c>
      <c r="G16" s="16" t="s">
        <v>32</v>
      </c>
      <c r="H16" s="16" t="s">
        <v>33</v>
      </c>
      <c r="I16" s="16" t="s">
        <v>34</v>
      </c>
    </row>
    <row r="17" spans="1:9" x14ac:dyDescent="0.25">
      <c r="A17" s="14" t="s">
        <v>22</v>
      </c>
      <c r="B17" s="14">
        <v>2029.677378435518</v>
      </c>
      <c r="C17" s="14">
        <v>7.061195132405425</v>
      </c>
      <c r="D17" s="14">
        <v>287.4410550022713</v>
      </c>
      <c r="E17" s="14">
        <v>2.4692923946244389E-79</v>
      </c>
      <c r="F17" s="14">
        <v>2015.4798940719365</v>
      </c>
      <c r="G17" s="14">
        <v>2043.8748627990994</v>
      </c>
      <c r="H17" s="14">
        <v>2015.4798940719365</v>
      </c>
      <c r="I17" s="14">
        <v>2043.8748627990994</v>
      </c>
    </row>
    <row r="18" spans="1:9" ht="15.75" thickBot="1" x14ac:dyDescent="0.3">
      <c r="A18" s="15" t="s">
        <v>1</v>
      </c>
      <c r="B18" s="15">
        <v>0.43816596194503177</v>
      </c>
      <c r="C18" s="15">
        <v>0.30157246027503049</v>
      </c>
      <c r="D18" s="15">
        <v>1.4529375843716952</v>
      </c>
      <c r="E18" s="18">
        <v>0.15274768554769305</v>
      </c>
      <c r="F18" s="15">
        <v>-0.16818610862619732</v>
      </c>
      <c r="G18" s="15">
        <v>1.0445180325162609</v>
      </c>
      <c r="H18" s="15">
        <v>-0.16818610862619732</v>
      </c>
      <c r="I18" s="15">
        <v>1.0445180325162609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20" sqref="E20"/>
    </sheetView>
  </sheetViews>
  <sheetFormatPr defaultRowHeight="15" x14ac:dyDescent="0.25"/>
  <sheetData>
    <row r="1" spans="1:9" x14ac:dyDescent="0.25">
      <c r="A1" t="s">
        <v>11</v>
      </c>
    </row>
    <row r="2" spans="1:9" ht="15.75" thickBot="1" x14ac:dyDescent="0.3"/>
    <row r="3" spans="1:9" x14ac:dyDescent="0.25">
      <c r="A3" s="17" t="s">
        <v>12</v>
      </c>
      <c r="B3" s="17"/>
    </row>
    <row r="4" spans="1:9" x14ac:dyDescent="0.25">
      <c r="A4" s="14" t="s">
        <v>13</v>
      </c>
      <c r="B4" s="14">
        <v>5.4722334164417297E-2</v>
      </c>
    </row>
    <row r="5" spans="1:9" x14ac:dyDescent="0.25">
      <c r="A5" s="14" t="s">
        <v>14</v>
      </c>
      <c r="B5" s="14">
        <v>2.9945338564021525E-3</v>
      </c>
      <c r="C5" s="33">
        <f>SQRT(0.002995)</f>
        <v>5.4726593170048507E-2</v>
      </c>
    </row>
    <row r="6" spans="1:9" x14ac:dyDescent="0.25">
      <c r="A6" s="14" t="s">
        <v>15</v>
      </c>
      <c r="B6" s="14">
        <v>-1.7776413354922801E-2</v>
      </c>
    </row>
    <row r="7" spans="1:9" x14ac:dyDescent="0.25">
      <c r="A7" s="14" t="s">
        <v>16</v>
      </c>
      <c r="B7" s="14">
        <v>14.706375754682766</v>
      </c>
    </row>
    <row r="8" spans="1:9" ht="15.75" thickBot="1" x14ac:dyDescent="0.3">
      <c r="A8" s="15" t="s">
        <v>17</v>
      </c>
      <c r="B8" s="15">
        <v>50</v>
      </c>
    </row>
    <row r="10" spans="1:9" ht="15.75" thickBot="1" x14ac:dyDescent="0.3">
      <c r="A10" t="s">
        <v>18</v>
      </c>
    </row>
    <row r="11" spans="1:9" x14ac:dyDescent="0.25">
      <c r="A11" s="16"/>
      <c r="B11" s="16" t="s">
        <v>23</v>
      </c>
      <c r="C11" s="16" t="s">
        <v>24</v>
      </c>
      <c r="D11" s="16" t="s">
        <v>25</v>
      </c>
      <c r="E11" s="16" t="s">
        <v>26</v>
      </c>
      <c r="F11" s="16" t="s">
        <v>27</v>
      </c>
    </row>
    <row r="12" spans="1:9" x14ac:dyDescent="0.25">
      <c r="A12" s="14" t="s">
        <v>19</v>
      </c>
      <c r="B12" s="14">
        <v>1</v>
      </c>
      <c r="C12" s="14">
        <v>31.180583779787412</v>
      </c>
      <c r="D12" s="14">
        <v>31.180583779787412</v>
      </c>
      <c r="E12" s="14">
        <v>0.14416934509223736</v>
      </c>
      <c r="F12" s="14">
        <v>0.70584559492763221</v>
      </c>
    </row>
    <row r="13" spans="1:9" x14ac:dyDescent="0.25">
      <c r="A13" s="14" t="s">
        <v>20</v>
      </c>
      <c r="B13" s="14">
        <v>48</v>
      </c>
      <c r="C13" s="14">
        <v>10381.319416220213</v>
      </c>
      <c r="D13" s="14">
        <v>216.27748783792109</v>
      </c>
      <c r="E13" s="14"/>
      <c r="F13" s="14"/>
    </row>
    <row r="14" spans="1:9" ht="15.75" thickBot="1" x14ac:dyDescent="0.3">
      <c r="A14" s="15" t="s">
        <v>21</v>
      </c>
      <c r="B14" s="15">
        <v>49</v>
      </c>
      <c r="C14" s="15">
        <v>10412.5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28</v>
      </c>
      <c r="C16" s="16" t="s">
        <v>16</v>
      </c>
      <c r="D16" s="16" t="s">
        <v>29</v>
      </c>
      <c r="E16" s="16" t="s">
        <v>30</v>
      </c>
      <c r="F16" s="16" t="s">
        <v>31</v>
      </c>
      <c r="G16" s="16" t="s">
        <v>32</v>
      </c>
      <c r="H16" s="16" t="s">
        <v>33</v>
      </c>
      <c r="I16" s="16" t="s">
        <v>34</v>
      </c>
    </row>
    <row r="17" spans="1:9" x14ac:dyDescent="0.25">
      <c r="A17" s="14" t="s">
        <v>22</v>
      </c>
      <c r="B17" s="14">
        <v>2037.5787179013487</v>
      </c>
      <c r="C17" s="14">
        <v>5.4707988324440429</v>
      </c>
      <c r="D17" s="14">
        <v>372.44628806632136</v>
      </c>
      <c r="E17" s="14">
        <v>9.8686600275618181E-85</v>
      </c>
      <c r="F17" s="14">
        <v>2026.5789396168666</v>
      </c>
      <c r="G17" s="14">
        <v>2048.5784961858308</v>
      </c>
      <c r="H17" s="14">
        <v>2026.5789396168666</v>
      </c>
      <c r="I17" s="14">
        <v>2048.5784961858308</v>
      </c>
    </row>
    <row r="18" spans="1:9" ht="15.75" thickBot="1" x14ac:dyDescent="0.3">
      <c r="A18" s="15" t="s">
        <v>2</v>
      </c>
      <c r="B18" s="15">
        <v>0.19534823572880122</v>
      </c>
      <c r="C18" s="15">
        <v>0.51448537103837988</v>
      </c>
      <c r="D18" s="15">
        <v>0.37969638540845607</v>
      </c>
      <c r="E18" s="18">
        <v>0.705845594927623</v>
      </c>
      <c r="F18" s="15">
        <v>-0.83909393357016437</v>
      </c>
      <c r="G18" s="15">
        <v>1.2297904050277668</v>
      </c>
      <c r="H18" s="15">
        <v>-0.83909393357016437</v>
      </c>
      <c r="I18" s="15">
        <v>1.2297904050277668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1" sqref="C21"/>
    </sheetView>
  </sheetViews>
  <sheetFormatPr defaultRowHeight="15" x14ac:dyDescent="0.25"/>
  <cols>
    <col min="1" max="1" width="13.140625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17" t="s">
        <v>12</v>
      </c>
      <c r="B3" s="17"/>
    </row>
    <row r="4" spans="1:9" x14ac:dyDescent="0.25">
      <c r="A4" s="14" t="s">
        <v>13</v>
      </c>
      <c r="B4" s="14">
        <v>0.17007491750499243</v>
      </c>
    </row>
    <row r="5" spans="1:9" x14ac:dyDescent="0.25">
      <c r="A5" s="14" t="s">
        <v>14</v>
      </c>
      <c r="B5" s="14">
        <v>2.8925477564329977E-2</v>
      </c>
      <c r="C5" s="33">
        <f>SQRT(0.028925)</f>
        <v>0.17007351351694949</v>
      </c>
    </row>
    <row r="6" spans="1:9" x14ac:dyDescent="0.25">
      <c r="A6" s="14" t="s">
        <v>15</v>
      </c>
      <c r="B6" s="14">
        <v>8.6947583469201839E-3</v>
      </c>
    </row>
    <row r="7" spans="1:9" x14ac:dyDescent="0.25">
      <c r="A7" s="14" t="s">
        <v>16</v>
      </c>
      <c r="B7" s="14">
        <v>14.51386798380361</v>
      </c>
    </row>
    <row r="8" spans="1:9" ht="15.75" thickBot="1" x14ac:dyDescent="0.3">
      <c r="A8" s="15" t="s">
        <v>17</v>
      </c>
      <c r="B8" s="15">
        <v>50</v>
      </c>
    </row>
    <row r="10" spans="1:9" ht="15.75" thickBot="1" x14ac:dyDescent="0.3">
      <c r="A10" t="s">
        <v>18</v>
      </c>
    </row>
    <row r="11" spans="1:9" x14ac:dyDescent="0.25">
      <c r="A11" s="16"/>
      <c r="B11" s="16" t="s">
        <v>23</v>
      </c>
      <c r="C11" s="16" t="s">
        <v>24</v>
      </c>
      <c r="D11" s="16" t="s">
        <v>25</v>
      </c>
      <c r="E11" s="16" t="s">
        <v>26</v>
      </c>
      <c r="F11" s="16" t="s">
        <v>27</v>
      </c>
    </row>
    <row r="12" spans="1:9" x14ac:dyDescent="0.25">
      <c r="A12" s="14" t="s">
        <v>19</v>
      </c>
      <c r="B12" s="14">
        <v>1</v>
      </c>
      <c r="C12" s="14">
        <v>301.1865351385859</v>
      </c>
      <c r="D12" s="14">
        <v>301.1865351385859</v>
      </c>
      <c r="E12" s="14">
        <v>1.4297799921733778</v>
      </c>
      <c r="F12" s="14">
        <v>0.23767417806801067</v>
      </c>
    </row>
    <row r="13" spans="1:9" x14ac:dyDescent="0.25">
      <c r="A13" s="14" t="s">
        <v>20</v>
      </c>
      <c r="B13" s="14">
        <v>48</v>
      </c>
      <c r="C13" s="14">
        <v>10111.313464861414</v>
      </c>
      <c r="D13" s="14">
        <v>210.65236385127946</v>
      </c>
      <c r="E13" s="14"/>
      <c r="F13" s="14"/>
    </row>
    <row r="14" spans="1:9" ht="15.75" thickBot="1" x14ac:dyDescent="0.3">
      <c r="A14" s="15" t="s">
        <v>21</v>
      </c>
      <c r="B14" s="15">
        <v>49</v>
      </c>
      <c r="C14" s="15">
        <v>10412.5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28</v>
      </c>
      <c r="C16" s="16" t="s">
        <v>16</v>
      </c>
      <c r="D16" s="16" t="s">
        <v>29</v>
      </c>
      <c r="E16" s="16" t="s">
        <v>30</v>
      </c>
      <c r="F16" s="16" t="s">
        <v>31</v>
      </c>
      <c r="G16" s="16" t="s">
        <v>32</v>
      </c>
      <c r="H16" s="16" t="s">
        <v>33</v>
      </c>
      <c r="I16" s="16" t="s">
        <v>34</v>
      </c>
    </row>
    <row r="17" spans="1:9" x14ac:dyDescent="0.25">
      <c r="A17" s="14" t="s">
        <v>22</v>
      </c>
      <c r="B17" s="14">
        <v>2049.1783516766322</v>
      </c>
      <c r="C17" s="14">
        <v>8.3502674618081283</v>
      </c>
      <c r="D17" s="14">
        <v>245.40272045764061</v>
      </c>
      <c r="E17" s="14">
        <v>4.8584663738085918E-76</v>
      </c>
      <c r="F17" s="14">
        <v>2032.3890136824621</v>
      </c>
      <c r="G17" s="14">
        <v>2065.9676896708024</v>
      </c>
      <c r="H17" s="14">
        <v>2032.3890136824621</v>
      </c>
      <c r="I17" s="14">
        <v>2065.9676896708024</v>
      </c>
    </row>
    <row r="18" spans="1:9" ht="15.75" thickBot="1" x14ac:dyDescent="0.3">
      <c r="A18" s="15" t="s">
        <v>4</v>
      </c>
      <c r="B18" s="15">
        <v>-0.40831247221767325</v>
      </c>
      <c r="C18" s="15">
        <v>0.34147431167791664</v>
      </c>
      <c r="D18" s="15">
        <v>-1.1957340808780934</v>
      </c>
      <c r="E18" s="18">
        <v>0.23767417806800983</v>
      </c>
      <c r="F18" s="15">
        <v>-1.0948925921131025</v>
      </c>
      <c r="G18" s="15">
        <v>0.27826764767775597</v>
      </c>
      <c r="H18" s="15">
        <v>-1.0948925921131025</v>
      </c>
      <c r="I18" s="15">
        <v>0.27826764767775597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0" workbookViewId="0">
      <selection activeCell="J8" sqref="J8"/>
    </sheetView>
  </sheetViews>
  <sheetFormatPr defaultRowHeight="15" x14ac:dyDescent="0.25"/>
  <sheetData>
    <row r="1" spans="1:9" x14ac:dyDescent="0.25">
      <c r="A1" t="s">
        <v>11</v>
      </c>
    </row>
    <row r="2" spans="1:9" ht="15.75" thickBot="1" x14ac:dyDescent="0.3"/>
    <row r="3" spans="1:9" x14ac:dyDescent="0.25">
      <c r="A3" s="17" t="s">
        <v>12</v>
      </c>
      <c r="B3" s="17"/>
    </row>
    <row r="4" spans="1:9" x14ac:dyDescent="0.25">
      <c r="A4" s="14" t="s">
        <v>13</v>
      </c>
      <c r="B4" s="14">
        <v>0.11119015403126639</v>
      </c>
    </row>
    <row r="5" spans="1:9" x14ac:dyDescent="0.25">
      <c r="A5" s="14" t="s">
        <v>14</v>
      </c>
      <c r="B5" s="14">
        <v>1.2363250353496745E-2</v>
      </c>
      <c r="C5" s="33">
        <f>SQRT(0.012363)</f>
        <v>0.11118902823570319</v>
      </c>
    </row>
    <row r="6" spans="1:9" x14ac:dyDescent="0.25">
      <c r="A6" s="14" t="s">
        <v>15</v>
      </c>
      <c r="B6" s="14">
        <v>-8.2125152641387405E-3</v>
      </c>
    </row>
    <row r="7" spans="1:9" x14ac:dyDescent="0.25">
      <c r="A7" s="14" t="s">
        <v>16</v>
      </c>
      <c r="B7" s="14">
        <v>14.637115818822691</v>
      </c>
    </row>
    <row r="8" spans="1:9" ht="15.75" thickBot="1" x14ac:dyDescent="0.3">
      <c r="A8" s="15" t="s">
        <v>17</v>
      </c>
      <c r="B8" s="15">
        <v>50</v>
      </c>
    </row>
    <row r="10" spans="1:9" ht="15.75" thickBot="1" x14ac:dyDescent="0.3">
      <c r="A10" t="s">
        <v>18</v>
      </c>
    </row>
    <row r="11" spans="1:9" x14ac:dyDescent="0.25">
      <c r="A11" s="16"/>
      <c r="B11" s="16" t="s">
        <v>23</v>
      </c>
      <c r="C11" s="16" t="s">
        <v>24</v>
      </c>
      <c r="D11" s="16" t="s">
        <v>25</v>
      </c>
      <c r="E11" s="16" t="s">
        <v>26</v>
      </c>
      <c r="F11" s="16" t="s">
        <v>27</v>
      </c>
    </row>
    <row r="12" spans="1:9" x14ac:dyDescent="0.25">
      <c r="A12" s="14" t="s">
        <v>19</v>
      </c>
      <c r="B12" s="14">
        <v>1</v>
      </c>
      <c r="C12" s="14">
        <v>128.73234430578486</v>
      </c>
      <c r="D12" s="14">
        <v>128.73234430578486</v>
      </c>
      <c r="E12" s="14">
        <v>0.6008646571527918</v>
      </c>
      <c r="F12" s="14">
        <v>0.44205046689532734</v>
      </c>
    </row>
    <row r="13" spans="1:9" x14ac:dyDescent="0.25">
      <c r="A13" s="14" t="s">
        <v>20</v>
      </c>
      <c r="B13" s="14">
        <v>48</v>
      </c>
      <c r="C13" s="14">
        <v>10283.767655694215</v>
      </c>
      <c r="D13" s="14">
        <v>214.24515949362947</v>
      </c>
      <c r="E13" s="14"/>
      <c r="F13" s="14"/>
    </row>
    <row r="14" spans="1:9" ht="15.75" thickBot="1" x14ac:dyDescent="0.3">
      <c r="A14" s="15" t="s">
        <v>21</v>
      </c>
      <c r="B14" s="15">
        <v>49</v>
      </c>
      <c r="C14" s="15">
        <v>10412.5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28</v>
      </c>
      <c r="C16" s="16" t="s">
        <v>16</v>
      </c>
      <c r="D16" s="16" t="s">
        <v>29</v>
      </c>
      <c r="E16" s="16" t="s">
        <v>30</v>
      </c>
      <c r="F16" s="16" t="s">
        <v>31</v>
      </c>
      <c r="G16" s="16" t="s">
        <v>32</v>
      </c>
      <c r="H16" s="16" t="s">
        <v>33</v>
      </c>
      <c r="I16" s="16" t="s">
        <v>34</v>
      </c>
    </row>
    <row r="17" spans="1:9" x14ac:dyDescent="0.25">
      <c r="A17" s="14" t="s">
        <v>22</v>
      </c>
      <c r="B17" s="14">
        <v>2032.8077905665618</v>
      </c>
      <c r="C17" s="14">
        <v>8.8780780087458915</v>
      </c>
      <c r="D17" s="14">
        <v>228.96935446658847</v>
      </c>
      <c r="E17" s="14">
        <v>1.3495416188068749E-74</v>
      </c>
      <c r="F17" s="14">
        <v>2014.9572183412781</v>
      </c>
      <c r="G17" s="14">
        <v>2050.6583627918458</v>
      </c>
      <c r="H17" s="14">
        <v>2014.9572183412781</v>
      </c>
      <c r="I17" s="14">
        <v>2050.6583627918458</v>
      </c>
    </row>
    <row r="18" spans="1:9" ht="15.75" thickBot="1" x14ac:dyDescent="0.3">
      <c r="A18" s="15" t="s">
        <v>5</v>
      </c>
      <c r="B18" s="15">
        <v>0.34078962419858222</v>
      </c>
      <c r="C18" s="15">
        <v>0.43964084490562039</v>
      </c>
      <c r="D18" s="15">
        <v>0.77515460209740294</v>
      </c>
      <c r="E18" s="18">
        <v>0.44205046689533056</v>
      </c>
      <c r="F18" s="15">
        <v>-0.54316753943994223</v>
      </c>
      <c r="G18" s="15">
        <v>1.2247467878371066</v>
      </c>
      <c r="H18" s="15">
        <v>-0.54316753943994223</v>
      </c>
      <c r="I18" s="15">
        <v>1.2247467878371066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31" workbookViewId="0">
      <selection activeCell="E64" sqref="E64"/>
    </sheetView>
  </sheetViews>
  <sheetFormatPr defaultRowHeight="15" x14ac:dyDescent="0.25"/>
  <cols>
    <col min="1" max="1" width="26.7109375" customWidth="1"/>
    <col min="2" max="4" width="14.7109375" customWidth="1"/>
    <col min="5" max="5" width="16.42578125" customWidth="1"/>
    <col min="6" max="6" width="24" customWidth="1"/>
    <col min="7" max="7" width="15.140625" customWidth="1"/>
    <col min="8" max="8" width="14.7109375" customWidth="1"/>
  </cols>
  <sheetData>
    <row r="1" spans="1:8" ht="31.5" x14ac:dyDescent="0.5">
      <c r="A1" s="24" t="s">
        <v>48</v>
      </c>
    </row>
    <row r="3" spans="1:8" ht="23.25" x14ac:dyDescent="0.35">
      <c r="A3" s="21" t="s">
        <v>50</v>
      </c>
    </row>
    <row r="5" spans="1:8" x14ac:dyDescent="0.25">
      <c r="A5" s="1" t="s">
        <v>0</v>
      </c>
      <c r="B5" s="2" t="s">
        <v>1</v>
      </c>
      <c r="C5" s="3" t="s">
        <v>2</v>
      </c>
      <c r="D5" s="5" t="s">
        <v>5</v>
      </c>
      <c r="E5" s="4" t="s">
        <v>3</v>
      </c>
      <c r="F5" s="5" t="s">
        <v>4</v>
      </c>
      <c r="G5" s="6" t="s">
        <v>6</v>
      </c>
      <c r="H5" s="7" t="s">
        <v>35</v>
      </c>
    </row>
    <row r="6" spans="1:8" x14ac:dyDescent="0.25">
      <c r="A6" s="31">
        <v>2015</v>
      </c>
      <c r="B6" s="32">
        <f>33/182*100</f>
        <v>18.131868131868131</v>
      </c>
      <c r="C6" s="32">
        <f>21/182*100</f>
        <v>11.538461538461538</v>
      </c>
      <c r="D6" s="32">
        <f>43/182*100</f>
        <v>23.626373626373624</v>
      </c>
      <c r="E6" s="32">
        <f>31/182*100</f>
        <v>17.032967032967033</v>
      </c>
      <c r="F6" s="32">
        <f>36/182*100</f>
        <v>19.780219780219781</v>
      </c>
      <c r="G6" s="32">
        <f>6/182*100</f>
        <v>3.296703296703297</v>
      </c>
      <c r="H6" s="32">
        <f>7/182*100</f>
        <v>3.8461538461538463</v>
      </c>
    </row>
    <row r="7" spans="1:8" x14ac:dyDescent="0.25">
      <c r="A7" s="8">
        <v>2016</v>
      </c>
      <c r="B7" s="11">
        <f>38/182*100</f>
        <v>20.87912087912088</v>
      </c>
      <c r="C7" s="11">
        <f>19/182*100</f>
        <v>10.43956043956044</v>
      </c>
      <c r="D7" s="11">
        <f>36/182*100</f>
        <v>19.780219780219781</v>
      </c>
      <c r="E7" s="11">
        <f>34/182*100</f>
        <v>18.681318681318682</v>
      </c>
      <c r="F7" s="11">
        <f>36/182*100</f>
        <v>19.780219780219781</v>
      </c>
      <c r="G7" s="11">
        <f>7/182*100</f>
        <v>3.8461538461538463</v>
      </c>
      <c r="H7" s="11">
        <f>4/182*100</f>
        <v>2.197802197802198</v>
      </c>
    </row>
    <row r="8" spans="1:8" x14ac:dyDescent="0.25">
      <c r="A8" s="8">
        <v>2017</v>
      </c>
      <c r="B8" s="11">
        <f>40/182*100</f>
        <v>21.978021978021978</v>
      </c>
      <c r="C8" s="11">
        <f>25/182*100</f>
        <v>13.736263736263737</v>
      </c>
      <c r="D8" s="11">
        <f>30/182*100</f>
        <v>16.483516483516482</v>
      </c>
      <c r="E8" s="11">
        <f>33/182*100</f>
        <v>18.131868131868131</v>
      </c>
      <c r="F8" s="11">
        <f>34/182*100</f>
        <v>18.681318681318682</v>
      </c>
      <c r="G8" s="11">
        <f>1/182*100</f>
        <v>0.5494505494505495</v>
      </c>
      <c r="H8" s="11">
        <f>14/182*100</f>
        <v>7.6923076923076925</v>
      </c>
    </row>
    <row r="9" spans="1:8" x14ac:dyDescent="0.25">
      <c r="A9" s="8">
        <v>2018</v>
      </c>
      <c r="B9" s="11">
        <f>40/182*100</f>
        <v>21.978021978021978</v>
      </c>
      <c r="C9" s="11">
        <f>14/182*100</f>
        <v>7.6923076923076925</v>
      </c>
      <c r="D9" s="11">
        <f>32/182*100</f>
        <v>17.582417582417584</v>
      </c>
      <c r="E9" s="11">
        <f>29/182*100</f>
        <v>15.934065934065933</v>
      </c>
      <c r="F9" s="11">
        <f>46/182*100</f>
        <v>25.274725274725274</v>
      </c>
      <c r="G9" s="11">
        <f>8/182*100</f>
        <v>4.395604395604396</v>
      </c>
      <c r="H9" s="11">
        <f>2/182*100</f>
        <v>1.098901098901099</v>
      </c>
    </row>
    <row r="10" spans="1:8" x14ac:dyDescent="0.25">
      <c r="A10" s="8">
        <v>2019</v>
      </c>
      <c r="B10" s="11">
        <f>43/182*100</f>
        <v>23.626373626373624</v>
      </c>
      <c r="C10" s="11">
        <f>13/182*100</f>
        <v>7.1428571428571423</v>
      </c>
      <c r="D10" s="11">
        <f>30/182*100</f>
        <v>16.483516483516482</v>
      </c>
      <c r="E10" s="11">
        <f>20/182*100</f>
        <v>10.989010989010989</v>
      </c>
      <c r="F10" s="11">
        <f>64/182*100</f>
        <v>35.164835164835168</v>
      </c>
      <c r="G10" s="11">
        <f>1/182*100</f>
        <v>0.5494505494505495</v>
      </c>
      <c r="H10" s="11">
        <f>5/182*100</f>
        <v>2.7472527472527473</v>
      </c>
    </row>
    <row r="11" spans="1:8" x14ac:dyDescent="0.25">
      <c r="A11" s="8">
        <v>2020</v>
      </c>
      <c r="B11" s="11">
        <f>74/182*100</f>
        <v>40.659340659340657</v>
      </c>
      <c r="C11" s="11">
        <f>12/182*100</f>
        <v>6.593406593406594</v>
      </c>
      <c r="D11" s="11">
        <f>39/182*100</f>
        <v>21.428571428571427</v>
      </c>
      <c r="E11" s="11">
        <f>17/182*100</f>
        <v>9.3406593406593412</v>
      </c>
      <c r="F11" s="11">
        <f>31/182*100</f>
        <v>17.032967032967033</v>
      </c>
      <c r="G11" s="11">
        <f>2/182*100</f>
        <v>1.098901098901099</v>
      </c>
      <c r="H11" s="11">
        <f>3/182*100</f>
        <v>1.6483516483516485</v>
      </c>
    </row>
    <row r="12" spans="1:8" x14ac:dyDescent="0.25">
      <c r="A12" s="8">
        <v>2021</v>
      </c>
      <c r="B12" s="11">
        <f>50/182*100</f>
        <v>27.472527472527474</v>
      </c>
      <c r="C12" s="11">
        <f>15/182*100</f>
        <v>8.2417582417582409</v>
      </c>
      <c r="D12" s="11">
        <f>28/182*100</f>
        <v>15.384615384615385</v>
      </c>
      <c r="E12" s="11">
        <f>30/182*100</f>
        <v>16.483516483516482</v>
      </c>
      <c r="F12" s="11">
        <f>35/182*100</f>
        <v>19.230769230769234</v>
      </c>
      <c r="G12" s="11">
        <f>10/182*100</f>
        <v>5.4945054945054945</v>
      </c>
      <c r="H12" s="11">
        <f>12/182*100</f>
        <v>6.593406593406594</v>
      </c>
    </row>
    <row r="13" spans="1:8" x14ac:dyDescent="0.25">
      <c r="A13" s="8">
        <v>2022</v>
      </c>
      <c r="B13" s="11">
        <f>49/182*100</f>
        <v>26.923076923076923</v>
      </c>
      <c r="C13" s="11">
        <f>20/182*100</f>
        <v>10.989010989010989</v>
      </c>
      <c r="D13" s="11">
        <f>24/182*100</f>
        <v>13.186813186813188</v>
      </c>
      <c r="E13" s="11">
        <f>31/182*100</f>
        <v>17.032967032967033</v>
      </c>
      <c r="F13" s="11">
        <f>32/182*100</f>
        <v>17.582417582417584</v>
      </c>
      <c r="G13" s="11">
        <f>10/182*100</f>
        <v>5.4945054945054945</v>
      </c>
      <c r="H13" s="11">
        <f>7/182*100</f>
        <v>3.8461538461538463</v>
      </c>
    </row>
    <row r="14" spans="1:8" x14ac:dyDescent="0.25">
      <c r="A14" s="8">
        <v>2023</v>
      </c>
      <c r="B14" s="11">
        <f>30/182*100</f>
        <v>16.483516483516482</v>
      </c>
      <c r="C14" s="11">
        <f>23/182*100</f>
        <v>12.637362637362637</v>
      </c>
      <c r="D14" s="11">
        <f t="shared" ref="D14" si="0">36/182*100</f>
        <v>19.780219780219781</v>
      </c>
      <c r="E14" s="11">
        <f>24/182*100</f>
        <v>13.186813186813188</v>
      </c>
      <c r="F14" s="11">
        <f>46/182*100</f>
        <v>25.274725274725274</v>
      </c>
      <c r="G14" s="11">
        <f>10/182*100</f>
        <v>5.4945054945054945</v>
      </c>
      <c r="H14" s="11">
        <f>7/182*100</f>
        <v>3.8461538461538463</v>
      </c>
    </row>
    <row r="15" spans="1:8" x14ac:dyDescent="0.25">
      <c r="A15" s="8">
        <v>2024</v>
      </c>
      <c r="B15" s="11">
        <f>30/182*100</f>
        <v>16.483516483516482</v>
      </c>
      <c r="C15" s="11">
        <f>8/182*100</f>
        <v>4.395604395604396</v>
      </c>
      <c r="D15" s="11">
        <f>37/182*100</f>
        <v>20.329670329670328</v>
      </c>
      <c r="E15" s="11">
        <f>21/182*100</f>
        <v>11.538461538461538</v>
      </c>
      <c r="F15" s="11">
        <f>61/182*100</f>
        <v>33.516483516483511</v>
      </c>
      <c r="G15" s="11">
        <f>5/182*100</f>
        <v>2.7472527472527473</v>
      </c>
      <c r="H15" s="11">
        <f>9/182*100</f>
        <v>4.9450549450549453</v>
      </c>
    </row>
    <row r="16" spans="1:8" x14ac:dyDescent="0.25">
      <c r="A16" s="8">
        <v>2025</v>
      </c>
      <c r="B16" s="11">
        <f>35/182*100</f>
        <v>19.230769230769234</v>
      </c>
      <c r="C16" s="11">
        <f>14/182*100</f>
        <v>7.6923076923076925</v>
      </c>
      <c r="D16" s="11">
        <f>33/182*100</f>
        <v>18.131868131868131</v>
      </c>
      <c r="E16" s="11">
        <f>32/182*100</f>
        <v>17.582417582417584</v>
      </c>
      <c r="F16" s="11">
        <f>39/182*100</f>
        <v>21.428571428571427</v>
      </c>
      <c r="G16" s="11">
        <f>9/182*100</f>
        <v>4.9450549450549453</v>
      </c>
      <c r="H16" s="11">
        <f>9/182*100</f>
        <v>4.9450549450549453</v>
      </c>
    </row>
    <row r="17" spans="1:8" x14ac:dyDescent="0.25">
      <c r="A17" s="8">
        <v>2026</v>
      </c>
      <c r="B17" s="11">
        <f>32/182*100</f>
        <v>17.582417582417584</v>
      </c>
      <c r="C17" s="11">
        <f>11/182*100</f>
        <v>6.0439560439560438</v>
      </c>
      <c r="D17" s="11">
        <f>51/182*100</f>
        <v>28.021978021978022</v>
      </c>
      <c r="E17" s="11">
        <f>22/182*100</f>
        <v>12.087912087912088</v>
      </c>
      <c r="F17" s="11">
        <f>54/182*100</f>
        <v>29.670329670329672</v>
      </c>
      <c r="G17" s="11">
        <f>7/182*100</f>
        <v>3.8461538461538463</v>
      </c>
      <c r="H17" s="11">
        <f>1/182*100</f>
        <v>0.5494505494505495</v>
      </c>
    </row>
    <row r="18" spans="1:8" x14ac:dyDescent="0.25">
      <c r="A18" s="8">
        <v>2027</v>
      </c>
      <c r="B18" s="11">
        <f>32/182*100</f>
        <v>17.582417582417584</v>
      </c>
      <c r="C18" s="11">
        <f>17/182*100</f>
        <v>9.3406593406593412</v>
      </c>
      <c r="D18" s="11">
        <f>33/182*100</f>
        <v>18.131868131868131</v>
      </c>
      <c r="E18" s="11">
        <f>35/182*100</f>
        <v>19.230769230769234</v>
      </c>
      <c r="F18" s="11">
        <f>48/182*100</f>
        <v>26.373626373626376</v>
      </c>
      <c r="G18" s="11">
        <f>5/182*100</f>
        <v>2.7472527472527473</v>
      </c>
      <c r="H18" s="11">
        <f>8/182*100</f>
        <v>4.395604395604396</v>
      </c>
    </row>
    <row r="19" spans="1:8" x14ac:dyDescent="0.25">
      <c r="A19" s="8">
        <v>2028</v>
      </c>
      <c r="B19" s="11">
        <f>50/182*100</f>
        <v>27.472527472527474</v>
      </c>
      <c r="C19" s="11">
        <f>22/182*100</f>
        <v>12.087912087912088</v>
      </c>
      <c r="D19" s="11">
        <f>35/182*100</f>
        <v>19.230769230769234</v>
      </c>
      <c r="E19" s="11">
        <f>17/182*100</f>
        <v>9.3406593406593412</v>
      </c>
      <c r="F19" s="11">
        <f>35/182*100</f>
        <v>19.230769230769234</v>
      </c>
      <c r="G19" s="11">
        <f>3/182*100</f>
        <v>1.6483516483516485</v>
      </c>
      <c r="H19" s="11">
        <f>8/182*100</f>
        <v>4.395604395604396</v>
      </c>
    </row>
    <row r="20" spans="1:8" x14ac:dyDescent="0.25">
      <c r="A20" s="8">
        <v>2029</v>
      </c>
      <c r="B20" s="11">
        <f t="shared" ref="B20" si="1">38/182*100</f>
        <v>20.87912087912088</v>
      </c>
      <c r="C20" s="11">
        <f>25/182*100</f>
        <v>13.736263736263737</v>
      </c>
      <c r="D20" s="11">
        <f>31/182*100</f>
        <v>17.032967032967033</v>
      </c>
      <c r="E20" s="11">
        <f>14/182*100</f>
        <v>7.6923076923076925</v>
      </c>
      <c r="F20" s="11">
        <f>51/182*100</f>
        <v>28.021978021978022</v>
      </c>
      <c r="G20" s="11">
        <f>5/182*100</f>
        <v>2.7472527472527473</v>
      </c>
      <c r="H20" s="11">
        <f>10/182*100</f>
        <v>5.4945054945054945</v>
      </c>
    </row>
    <row r="21" spans="1:8" x14ac:dyDescent="0.25">
      <c r="A21" s="8">
        <v>2030</v>
      </c>
      <c r="B21" s="11">
        <f>36/182*100</f>
        <v>19.780219780219781</v>
      </c>
      <c r="C21" s="11">
        <f>16/182*100</f>
        <v>8.791208791208792</v>
      </c>
      <c r="D21" s="11">
        <f>25/182*100</f>
        <v>13.736263736263737</v>
      </c>
      <c r="E21" s="11">
        <f>36/182*100</f>
        <v>19.780219780219781</v>
      </c>
      <c r="F21" s="11">
        <f>48/182*100</f>
        <v>26.373626373626376</v>
      </c>
      <c r="G21" s="11">
        <f>5/182*100</f>
        <v>2.7472527472527473</v>
      </c>
      <c r="H21" s="11">
        <f>4/182*100</f>
        <v>2.197802197802198</v>
      </c>
    </row>
    <row r="22" spans="1:8" x14ac:dyDescent="0.25">
      <c r="A22" s="8">
        <v>2031</v>
      </c>
      <c r="B22" s="11">
        <f>44/182*100</f>
        <v>24.175824175824175</v>
      </c>
      <c r="C22" s="11">
        <f>24/182*100</f>
        <v>13.186813186813188</v>
      </c>
      <c r="D22" s="11">
        <f>25/182*100</f>
        <v>13.736263736263737</v>
      </c>
      <c r="E22" s="11">
        <f>23/182*100</f>
        <v>12.637362637362637</v>
      </c>
      <c r="F22" s="11">
        <f>48/182*100</f>
        <v>26.373626373626376</v>
      </c>
      <c r="G22" s="11">
        <f>7/182*100</f>
        <v>3.8461538461538463</v>
      </c>
      <c r="H22" s="11">
        <f>3/182*100</f>
        <v>1.6483516483516485</v>
      </c>
    </row>
    <row r="23" spans="1:8" x14ac:dyDescent="0.25">
      <c r="A23" s="8">
        <v>2032</v>
      </c>
      <c r="B23" s="11">
        <f>32/182*100</f>
        <v>17.582417582417584</v>
      </c>
      <c r="C23" s="11">
        <f>10/182*100</f>
        <v>5.4945054945054945</v>
      </c>
      <c r="D23" s="11">
        <f>47/182*100</f>
        <v>25.824175824175828</v>
      </c>
      <c r="E23" s="11">
        <f>19/182*100</f>
        <v>10.43956043956044</v>
      </c>
      <c r="F23" s="11">
        <f>42/182*100</f>
        <v>23.076923076923077</v>
      </c>
      <c r="G23" s="11">
        <f>5/182*100</f>
        <v>2.7472527472527473</v>
      </c>
      <c r="H23" s="11">
        <f>10/182*100</f>
        <v>5.4945054945054945</v>
      </c>
    </row>
    <row r="24" spans="1:8" x14ac:dyDescent="0.25">
      <c r="A24" s="8">
        <v>2033</v>
      </c>
      <c r="B24" s="11">
        <f>29/182*100</f>
        <v>15.934065934065933</v>
      </c>
      <c r="C24" s="11">
        <f>24/182*100</f>
        <v>13.186813186813188</v>
      </c>
      <c r="D24" s="11">
        <f>29/182*100</f>
        <v>15.934065934065933</v>
      </c>
      <c r="E24" s="11">
        <f>31/182*100</f>
        <v>17.032967032967033</v>
      </c>
      <c r="F24" s="11">
        <f>47/182*100</f>
        <v>25.824175824175828</v>
      </c>
      <c r="G24" s="11">
        <f>8/182*100</f>
        <v>4.395604395604396</v>
      </c>
      <c r="H24" s="11">
        <f>6/182*100</f>
        <v>3.296703296703297</v>
      </c>
    </row>
    <row r="25" spans="1:8" x14ac:dyDescent="0.25">
      <c r="A25" s="8">
        <v>2034</v>
      </c>
      <c r="B25" s="11">
        <f>35/182*100</f>
        <v>19.230769230769234</v>
      </c>
      <c r="C25" s="11">
        <f>16/182*100</f>
        <v>8.791208791208792</v>
      </c>
      <c r="D25" s="11">
        <f>49/182*100</f>
        <v>26.923076923076923</v>
      </c>
      <c r="E25" s="11">
        <f>24/182*100</f>
        <v>13.186813186813188</v>
      </c>
      <c r="F25" s="11">
        <f>40/182*100</f>
        <v>21.978021978021978</v>
      </c>
      <c r="G25" s="11">
        <f>7/182*100</f>
        <v>3.8461538461538463</v>
      </c>
      <c r="H25" s="11">
        <f>8/182*100</f>
        <v>4.395604395604396</v>
      </c>
    </row>
    <row r="26" spans="1:8" x14ac:dyDescent="0.25">
      <c r="A26" s="8">
        <v>2035</v>
      </c>
      <c r="B26" s="11">
        <f>46/182*100</f>
        <v>25.274725274725274</v>
      </c>
      <c r="C26" s="11">
        <f>18/182*100</f>
        <v>9.8901098901098905</v>
      </c>
      <c r="D26" s="11">
        <f>45/182*100</f>
        <v>24.725274725274726</v>
      </c>
      <c r="E26" s="11">
        <f>16/182*100</f>
        <v>8.791208791208792</v>
      </c>
      <c r="F26" s="11">
        <f t="shared" ref="F26" si="2">36/182*100</f>
        <v>19.780219780219781</v>
      </c>
      <c r="G26" s="11">
        <f>5/182*100</f>
        <v>2.7472527472527473</v>
      </c>
      <c r="H26" s="11">
        <f>6/182*100</f>
        <v>3.296703296703297</v>
      </c>
    </row>
    <row r="27" spans="1:8" x14ac:dyDescent="0.25">
      <c r="A27" s="8">
        <v>2036</v>
      </c>
      <c r="B27" s="11">
        <f>27/182*100</f>
        <v>14.835164835164836</v>
      </c>
      <c r="C27" s="11">
        <f>8/182*100</f>
        <v>4.395604395604396</v>
      </c>
      <c r="D27" s="11">
        <f>37/182*100</f>
        <v>20.329670329670328</v>
      </c>
      <c r="E27" s="11">
        <f>24/182*100</f>
        <v>13.186813186813188</v>
      </c>
      <c r="F27" s="11">
        <f>73/182*100</f>
        <v>40.109890109890109</v>
      </c>
      <c r="G27" s="11">
        <f>2/182*100</f>
        <v>1.098901098901099</v>
      </c>
      <c r="H27" s="11">
        <f>4/182*100</f>
        <v>2.197802197802198</v>
      </c>
    </row>
    <row r="28" spans="1:8" x14ac:dyDescent="0.25">
      <c r="A28" s="8">
        <v>2037</v>
      </c>
      <c r="B28" s="11">
        <f>13/182*100</f>
        <v>7.1428571428571423</v>
      </c>
      <c r="C28" s="11">
        <f>31/182*100</f>
        <v>17.032967032967033</v>
      </c>
      <c r="D28" s="11">
        <f>55/182*100</f>
        <v>30.219780219780219</v>
      </c>
      <c r="E28" s="11">
        <f>17/182*100</f>
        <v>9.3406593406593412</v>
      </c>
      <c r="F28" s="11">
        <f>44/182*100</f>
        <v>24.175824175824175</v>
      </c>
      <c r="G28" s="11">
        <f>6/182*100</f>
        <v>3.296703296703297</v>
      </c>
      <c r="H28" s="11">
        <f>6/182*100</f>
        <v>3.296703296703297</v>
      </c>
    </row>
    <row r="29" spans="1:8" x14ac:dyDescent="0.25">
      <c r="A29" s="8">
        <v>2038</v>
      </c>
      <c r="B29" s="11">
        <f>36/182*100</f>
        <v>19.780219780219781</v>
      </c>
      <c r="C29" s="11">
        <f>15/182*100</f>
        <v>8.2417582417582409</v>
      </c>
      <c r="D29" s="11">
        <f>38/182*100</f>
        <v>20.87912087912088</v>
      </c>
      <c r="E29" s="11">
        <f>13/182*100</f>
        <v>7.1428571428571423</v>
      </c>
      <c r="F29" s="11">
        <f>52/182*100</f>
        <v>28.571428571428569</v>
      </c>
      <c r="G29" s="11">
        <f>10/182*100</f>
        <v>5.4945054945054945</v>
      </c>
      <c r="H29" s="11">
        <f>4/182*100</f>
        <v>2.197802197802198</v>
      </c>
    </row>
    <row r="30" spans="1:8" x14ac:dyDescent="0.25">
      <c r="A30" s="8">
        <v>2039</v>
      </c>
      <c r="B30" s="11">
        <f>33/182*100</f>
        <v>18.131868131868131</v>
      </c>
      <c r="C30" s="11">
        <f>11/182*100</f>
        <v>6.0439560439560438</v>
      </c>
      <c r="D30" s="11">
        <f>25/182*100</f>
        <v>13.736263736263737</v>
      </c>
      <c r="E30" s="11">
        <f>28/182*100</f>
        <v>15.384615384615385</v>
      </c>
      <c r="F30" s="11">
        <f>49/182*100</f>
        <v>26.923076923076923</v>
      </c>
      <c r="G30" s="11">
        <f>12/182*100</f>
        <v>6.593406593406594</v>
      </c>
      <c r="H30" s="11">
        <f>9/182*100</f>
        <v>4.9450549450549453</v>
      </c>
    </row>
    <row r="31" spans="1:8" x14ac:dyDescent="0.25">
      <c r="A31" s="8">
        <v>2040</v>
      </c>
      <c r="B31" s="11">
        <f>24/182*100</f>
        <v>13.186813186813188</v>
      </c>
      <c r="C31" s="11">
        <f>13/182*100</f>
        <v>7.1428571428571423</v>
      </c>
      <c r="D31" s="11">
        <f>39/182*100</f>
        <v>21.428571428571427</v>
      </c>
      <c r="E31" s="11">
        <f>24/182*100</f>
        <v>13.186813186813188</v>
      </c>
      <c r="F31" s="11">
        <f>71/182*100</f>
        <v>39.010989010989015</v>
      </c>
      <c r="G31" s="11">
        <f>5/182*100</f>
        <v>2.7472527472527473</v>
      </c>
      <c r="H31" s="11">
        <f>0/182*100</f>
        <v>0</v>
      </c>
    </row>
    <row r="32" spans="1:8" x14ac:dyDescent="0.25">
      <c r="A32" s="8">
        <v>2041</v>
      </c>
      <c r="B32" s="11">
        <f>46/182*100</f>
        <v>25.274725274725274</v>
      </c>
      <c r="C32" s="11">
        <f>14/182*100</f>
        <v>7.6923076923076925</v>
      </c>
      <c r="D32" s="11">
        <f>11/182*100</f>
        <v>6.0439560439560438</v>
      </c>
      <c r="E32" s="11">
        <f>30/182*100</f>
        <v>16.483516483516482</v>
      </c>
      <c r="F32" s="11">
        <f>61/182*100</f>
        <v>33.516483516483511</v>
      </c>
      <c r="G32" s="11">
        <f>6/182*100</f>
        <v>3.296703296703297</v>
      </c>
      <c r="H32" s="11">
        <f>9/182*100</f>
        <v>4.9450549450549453</v>
      </c>
    </row>
    <row r="33" spans="1:8" x14ac:dyDescent="0.25">
      <c r="A33" s="8">
        <v>2042</v>
      </c>
      <c r="B33" s="11">
        <f>24/182*100</f>
        <v>13.186813186813188</v>
      </c>
      <c r="C33" s="11">
        <f>33/182*100</f>
        <v>18.131868131868131</v>
      </c>
      <c r="D33" s="11">
        <f>36/182*100</f>
        <v>19.780219780219781</v>
      </c>
      <c r="E33" s="11">
        <f>31/182*100</f>
        <v>17.032967032967033</v>
      </c>
      <c r="F33" s="11">
        <f>37/182*100</f>
        <v>20.329670329670328</v>
      </c>
      <c r="G33" s="11">
        <f>8/182*100</f>
        <v>4.395604395604396</v>
      </c>
      <c r="H33" s="11">
        <f>2/182*100</f>
        <v>1.098901098901099</v>
      </c>
    </row>
    <row r="34" spans="1:8" x14ac:dyDescent="0.25">
      <c r="A34" s="8">
        <v>2043</v>
      </c>
      <c r="B34" s="11">
        <f>34/182*100</f>
        <v>18.681318681318682</v>
      </c>
      <c r="C34" s="11">
        <f>22/182*100</f>
        <v>12.087912087912088</v>
      </c>
      <c r="D34" s="11">
        <f>39/182*100</f>
        <v>21.428571428571427</v>
      </c>
      <c r="E34" s="11">
        <f>27/182*100</f>
        <v>14.835164835164836</v>
      </c>
      <c r="F34" s="11">
        <f>45/182*100</f>
        <v>24.725274725274726</v>
      </c>
      <c r="G34" s="11">
        <f>3/182*100</f>
        <v>1.6483516483516485</v>
      </c>
      <c r="H34" s="11">
        <f>3/182*100</f>
        <v>1.6483516483516485</v>
      </c>
    </row>
    <row r="35" spans="1:8" x14ac:dyDescent="0.25">
      <c r="A35" s="8">
        <v>2044</v>
      </c>
      <c r="B35" s="11">
        <f>25/182*100</f>
        <v>13.736263736263737</v>
      </c>
      <c r="C35" s="11">
        <f>23/182*100</f>
        <v>12.637362637362637</v>
      </c>
      <c r="D35" s="11">
        <f>47/182*100</f>
        <v>25.824175824175828</v>
      </c>
      <c r="E35" s="11">
        <f>24/182*100</f>
        <v>13.186813186813188</v>
      </c>
      <c r="F35" s="11">
        <f>49/182*100</f>
        <v>26.923076923076923</v>
      </c>
      <c r="G35" s="11">
        <f>4/182*100</f>
        <v>2.197802197802198</v>
      </c>
      <c r="H35" s="11">
        <f>4/182*100</f>
        <v>2.197802197802198</v>
      </c>
    </row>
    <row r="36" spans="1:8" x14ac:dyDescent="0.25">
      <c r="A36" s="8">
        <v>2045</v>
      </c>
      <c r="B36" s="11">
        <f>43/182*100</f>
        <v>23.626373626373624</v>
      </c>
      <c r="C36" s="11">
        <f>22/182*100</f>
        <v>12.087912087912088</v>
      </c>
      <c r="D36" s="11">
        <f>37/182*100</f>
        <v>20.329670329670328</v>
      </c>
      <c r="E36" s="11">
        <f>19/182*100</f>
        <v>10.43956043956044</v>
      </c>
      <c r="F36" s="11">
        <f>44/182*100</f>
        <v>24.175824175824175</v>
      </c>
      <c r="G36" s="11">
        <f>4/182*100</f>
        <v>2.197802197802198</v>
      </c>
      <c r="H36" s="11">
        <f>6/182*100</f>
        <v>3.296703296703297</v>
      </c>
    </row>
    <row r="37" spans="1:8" x14ac:dyDescent="0.25">
      <c r="A37" s="8">
        <v>2046</v>
      </c>
      <c r="B37" s="11">
        <f>46/182*100</f>
        <v>25.274725274725274</v>
      </c>
      <c r="C37" s="11">
        <f>12/182*100</f>
        <v>6.593406593406594</v>
      </c>
      <c r="D37" s="11">
        <f>37/182*100</f>
        <v>20.329670329670328</v>
      </c>
      <c r="E37" s="11">
        <f>27/182*100</f>
        <v>14.835164835164836</v>
      </c>
      <c r="F37" s="11">
        <f>45/182*100</f>
        <v>24.725274725274726</v>
      </c>
      <c r="G37" s="11">
        <f>1/182*100</f>
        <v>0.5494505494505495</v>
      </c>
      <c r="H37" s="11">
        <f>4/182*100</f>
        <v>2.197802197802198</v>
      </c>
    </row>
    <row r="38" spans="1:8" x14ac:dyDescent="0.25">
      <c r="A38" s="8">
        <v>2047</v>
      </c>
      <c r="B38" s="11">
        <f>52/182*100</f>
        <v>28.571428571428569</v>
      </c>
      <c r="C38" s="11">
        <f>13/182*100</f>
        <v>7.1428571428571423</v>
      </c>
      <c r="D38" s="11">
        <f>34/182*100</f>
        <v>18.681318681318682</v>
      </c>
      <c r="E38" s="11">
        <f>29/182*100</f>
        <v>15.934065934065933</v>
      </c>
      <c r="F38" s="11">
        <f>40/182*100</f>
        <v>21.978021978021978</v>
      </c>
      <c r="G38" s="11">
        <f>7/182*100</f>
        <v>3.8461538461538463</v>
      </c>
      <c r="H38" s="11">
        <f>2/182*100</f>
        <v>1.098901098901099</v>
      </c>
    </row>
    <row r="39" spans="1:8" x14ac:dyDescent="0.25">
      <c r="A39" s="8">
        <v>2048</v>
      </c>
      <c r="B39" s="11">
        <f>45/182*100</f>
        <v>24.725274725274726</v>
      </c>
      <c r="C39" s="11">
        <f t="shared" ref="C39" si="3">19/182*100</f>
        <v>10.43956043956044</v>
      </c>
      <c r="D39" s="11">
        <f>37/182*100</f>
        <v>20.329670329670328</v>
      </c>
      <c r="E39" s="11">
        <f>27/182*100</f>
        <v>14.835164835164836</v>
      </c>
      <c r="F39" s="11">
        <f>27/182*100</f>
        <v>14.835164835164836</v>
      </c>
      <c r="G39" s="11">
        <f>7/182*100</f>
        <v>3.8461538461538463</v>
      </c>
      <c r="H39" s="11">
        <f>11/182*100</f>
        <v>6.0439560439560438</v>
      </c>
    </row>
    <row r="40" spans="1:8" x14ac:dyDescent="0.25">
      <c r="A40" s="8">
        <v>2049</v>
      </c>
      <c r="B40" s="11">
        <f>30/182*100</f>
        <v>16.483516483516482</v>
      </c>
      <c r="C40" s="11">
        <f>41/182*100</f>
        <v>22.527472527472529</v>
      </c>
      <c r="D40" s="11">
        <f>41/182*100</f>
        <v>22.527472527472529</v>
      </c>
      <c r="E40" s="11">
        <f>21/182*100</f>
        <v>11.538461538461538</v>
      </c>
      <c r="F40" s="11">
        <f>28/182*100</f>
        <v>15.384615384615385</v>
      </c>
      <c r="G40" s="11">
        <f>6/182*100</f>
        <v>3.296703296703297</v>
      </c>
      <c r="H40" s="11">
        <f>3/182*100</f>
        <v>1.6483516483516485</v>
      </c>
    </row>
    <row r="41" spans="1:8" x14ac:dyDescent="0.25">
      <c r="A41" s="8">
        <v>2050</v>
      </c>
      <c r="B41" s="11">
        <f>43/182*100</f>
        <v>23.626373626373624</v>
      </c>
      <c r="C41" s="11">
        <f>7/182*100</f>
        <v>3.8461538461538463</v>
      </c>
      <c r="D41" s="11">
        <f>32/182*100</f>
        <v>17.582417582417584</v>
      </c>
      <c r="E41" s="11">
        <f>43/182*100</f>
        <v>23.626373626373624</v>
      </c>
      <c r="F41" s="11">
        <f>41/182*100</f>
        <v>22.527472527472529</v>
      </c>
      <c r="G41" s="11">
        <f>4/182*100</f>
        <v>2.197802197802198</v>
      </c>
      <c r="H41" s="11">
        <f>5/182*100</f>
        <v>2.7472527472527473</v>
      </c>
    </row>
    <row r="42" spans="1:8" x14ac:dyDescent="0.25">
      <c r="A42" s="8">
        <v>2051</v>
      </c>
      <c r="B42" s="11">
        <f>59/182*100</f>
        <v>32.417582417582416</v>
      </c>
      <c r="C42" s="11">
        <f>4/182*100</f>
        <v>2.197802197802198</v>
      </c>
      <c r="D42" s="11">
        <f>18/182*100</f>
        <v>9.8901098901098905</v>
      </c>
      <c r="E42" s="11">
        <f>29/182*100</f>
        <v>15.934065934065933</v>
      </c>
      <c r="F42" s="11">
        <f>50/182*100</f>
        <v>27.472527472527474</v>
      </c>
      <c r="G42" s="11">
        <f>5/182*100</f>
        <v>2.7472527472527473</v>
      </c>
      <c r="H42" s="11">
        <f>10/182*100</f>
        <v>5.4945054945054945</v>
      </c>
    </row>
    <row r="43" spans="1:8" x14ac:dyDescent="0.25">
      <c r="A43" s="8">
        <v>2052</v>
      </c>
      <c r="B43" s="11">
        <f>67/182*100</f>
        <v>36.813186813186817</v>
      </c>
      <c r="C43" s="11">
        <f>13/182*100</f>
        <v>7.1428571428571423</v>
      </c>
      <c r="D43" s="11">
        <f>43/182*100</f>
        <v>23.626373626373624</v>
      </c>
      <c r="E43" s="11">
        <f>10/182*100</f>
        <v>5.4945054945054945</v>
      </c>
      <c r="F43" s="11">
        <f>21/182*100</f>
        <v>11.538461538461538</v>
      </c>
      <c r="G43" s="11">
        <f>6/182*100</f>
        <v>3.296703296703297</v>
      </c>
      <c r="H43" s="11">
        <f>9/182*100</f>
        <v>4.9450549450549453</v>
      </c>
    </row>
    <row r="44" spans="1:8" x14ac:dyDescent="0.25">
      <c r="A44" s="8">
        <v>2053</v>
      </c>
      <c r="B44" s="11">
        <f>56/182*100</f>
        <v>30.76923076923077</v>
      </c>
      <c r="C44" s="11">
        <f>19/182*100</f>
        <v>10.43956043956044</v>
      </c>
      <c r="D44" s="11">
        <f>25/182*100</f>
        <v>13.736263736263737</v>
      </c>
      <c r="E44" s="11">
        <f>23/182*100</f>
        <v>12.637362637362637</v>
      </c>
      <c r="F44" s="11">
        <f>33/182*100</f>
        <v>18.131868131868131</v>
      </c>
      <c r="G44" s="11">
        <f>9/182*100</f>
        <v>4.9450549450549453</v>
      </c>
      <c r="H44" s="11">
        <f>11/182*100</f>
        <v>6.0439560439560438</v>
      </c>
    </row>
    <row r="45" spans="1:8" x14ac:dyDescent="0.25">
      <c r="A45" s="8">
        <v>2054</v>
      </c>
      <c r="B45" s="11">
        <f>62/182*100</f>
        <v>34.065934065934066</v>
      </c>
      <c r="C45" s="11">
        <f>7/182*100</f>
        <v>3.8461538461538463</v>
      </c>
      <c r="D45" s="11">
        <f>30/182*100</f>
        <v>16.483516483516482</v>
      </c>
      <c r="E45" s="11">
        <f>25/182*100</f>
        <v>13.736263736263737</v>
      </c>
      <c r="F45" s="11">
        <f>47/182*100</f>
        <v>25.824175824175828</v>
      </c>
      <c r="G45" s="11">
        <f>1/182*100</f>
        <v>0.5494505494505495</v>
      </c>
      <c r="H45" s="11">
        <f>7/182*100</f>
        <v>3.8461538461538463</v>
      </c>
    </row>
    <row r="46" spans="1:8" x14ac:dyDescent="0.25">
      <c r="A46" s="8">
        <v>2055</v>
      </c>
      <c r="B46" s="11">
        <f>22/182*100</f>
        <v>12.087912087912088</v>
      </c>
      <c r="C46" s="11">
        <f>25/182*100</f>
        <v>13.736263736263737</v>
      </c>
      <c r="D46" s="11">
        <f>34/182*100</f>
        <v>18.681318681318682</v>
      </c>
      <c r="E46" s="11">
        <f>27/182*100</f>
        <v>14.835164835164836</v>
      </c>
      <c r="F46" s="11">
        <f>54/182*100</f>
        <v>29.670329670329672</v>
      </c>
      <c r="G46" s="11">
        <f>2/182*100</f>
        <v>1.098901098901099</v>
      </c>
      <c r="H46" s="11">
        <f>3/182*100</f>
        <v>1.6483516483516485</v>
      </c>
    </row>
    <row r="47" spans="1:8" x14ac:dyDescent="0.25">
      <c r="A47" s="8">
        <v>2056</v>
      </c>
      <c r="B47" s="11">
        <f>51/182*100</f>
        <v>28.021978021978022</v>
      </c>
      <c r="C47" s="11">
        <f>36/182*100</f>
        <v>19.780219780219781</v>
      </c>
      <c r="D47" s="11">
        <f>32/182*100</f>
        <v>17.582417582417584</v>
      </c>
      <c r="E47" s="11">
        <f>19/182*100</f>
        <v>10.43956043956044</v>
      </c>
      <c r="F47" s="11">
        <f>33/182*100</f>
        <v>18.131868131868131</v>
      </c>
      <c r="G47" s="11">
        <f>0/182*100</f>
        <v>0</v>
      </c>
      <c r="H47" s="11">
        <f>6/182*100</f>
        <v>3.296703296703297</v>
      </c>
    </row>
    <row r="48" spans="1:8" x14ac:dyDescent="0.25">
      <c r="A48" s="8">
        <v>2057</v>
      </c>
      <c r="B48" s="11">
        <f>59/182*100</f>
        <v>32.417582417582416</v>
      </c>
      <c r="C48" s="11">
        <f>20/182*100</f>
        <v>10.989010989010989</v>
      </c>
      <c r="D48" s="11">
        <f>38/182*100</f>
        <v>20.87912087912088</v>
      </c>
      <c r="E48" s="11">
        <f>17/182*100</f>
        <v>9.3406593406593412</v>
      </c>
      <c r="F48" s="11">
        <f>27/182*100</f>
        <v>14.835164835164836</v>
      </c>
      <c r="G48" s="11">
        <f>7/182*100</f>
        <v>3.8461538461538463</v>
      </c>
      <c r="H48" s="11">
        <f>4/182*100</f>
        <v>2.197802197802198</v>
      </c>
    </row>
    <row r="49" spans="1:8" x14ac:dyDescent="0.25">
      <c r="A49" s="8">
        <v>2058</v>
      </c>
      <c r="B49" s="11">
        <f>42/182*100</f>
        <v>23.076923076923077</v>
      </c>
      <c r="C49" s="11">
        <f>17/182*100</f>
        <v>9.3406593406593412</v>
      </c>
      <c r="D49" s="11">
        <f>41/182*100</f>
        <v>22.527472527472529</v>
      </c>
      <c r="E49" s="11">
        <f>20/182*100</f>
        <v>10.989010989010989</v>
      </c>
      <c r="F49" s="11">
        <f>36/182*100</f>
        <v>19.780219780219781</v>
      </c>
      <c r="G49" s="11">
        <f>3/182*100</f>
        <v>1.6483516483516485</v>
      </c>
      <c r="H49" s="11">
        <f>10/182*100</f>
        <v>5.4945054945054945</v>
      </c>
    </row>
    <row r="50" spans="1:8" x14ac:dyDescent="0.25">
      <c r="A50" s="8">
        <v>2059</v>
      </c>
      <c r="B50" s="11">
        <f>54/182*100</f>
        <v>29.670329670329672</v>
      </c>
      <c r="C50" s="11">
        <f>16/182*100</f>
        <v>8.791208791208792</v>
      </c>
      <c r="D50" s="11">
        <f>38/182*100</f>
        <v>20.87912087912088</v>
      </c>
      <c r="E50" s="11">
        <f>17/182*100</f>
        <v>9.3406593406593412</v>
      </c>
      <c r="F50" s="11">
        <f>39/182*100</f>
        <v>21.428571428571427</v>
      </c>
      <c r="G50" s="11">
        <f>3/182*100</f>
        <v>1.6483516483516485</v>
      </c>
      <c r="H50" s="11">
        <f>10/182*100</f>
        <v>5.4945054945054945</v>
      </c>
    </row>
    <row r="51" spans="1:8" x14ac:dyDescent="0.25">
      <c r="A51" s="8">
        <v>2060</v>
      </c>
      <c r="B51" s="11">
        <f>34/182*100</f>
        <v>18.681318681318682</v>
      </c>
      <c r="C51" s="11">
        <f>11/182*100</f>
        <v>6.0439560439560438</v>
      </c>
      <c r="D51" s="11">
        <f>45/182*100</f>
        <v>24.725274725274726</v>
      </c>
      <c r="E51" s="11">
        <f>30/182*100</f>
        <v>16.483516483516482</v>
      </c>
      <c r="F51" s="11">
        <f>54/182*100</f>
        <v>29.670329670329672</v>
      </c>
      <c r="G51" s="11">
        <f>2/182*100</f>
        <v>1.098901098901099</v>
      </c>
      <c r="H51" s="11">
        <f>0/182*100</f>
        <v>0</v>
      </c>
    </row>
    <row r="52" spans="1:8" x14ac:dyDescent="0.25">
      <c r="A52" s="8">
        <v>2061</v>
      </c>
      <c r="B52" s="11">
        <f>33/182*100</f>
        <v>18.131868131868131</v>
      </c>
      <c r="C52" s="11">
        <f>16/182*100</f>
        <v>8.791208791208792</v>
      </c>
      <c r="D52" s="11">
        <f>54/182*100</f>
        <v>29.670329670329672</v>
      </c>
      <c r="E52" s="11">
        <f>28/182*100</f>
        <v>15.384615384615385</v>
      </c>
      <c r="F52" s="11">
        <f>32/182*100</f>
        <v>17.582417582417584</v>
      </c>
      <c r="G52" s="11">
        <f>1/182*100</f>
        <v>0.5494505494505495</v>
      </c>
      <c r="H52" s="11">
        <f>11/182*100</f>
        <v>6.0439560439560438</v>
      </c>
    </row>
    <row r="53" spans="1:8" x14ac:dyDescent="0.25">
      <c r="A53" s="8">
        <v>2062</v>
      </c>
      <c r="B53" s="11">
        <f>53/182*100</f>
        <v>29.120879120879124</v>
      </c>
      <c r="C53" s="11">
        <f>19/182*100</f>
        <v>10.43956043956044</v>
      </c>
      <c r="D53" s="11">
        <f>29/182*100</f>
        <v>15.934065934065933</v>
      </c>
      <c r="E53" s="11">
        <f>24/182*100</f>
        <v>13.186813186813188</v>
      </c>
      <c r="F53" s="11">
        <f>31/182*100</f>
        <v>17.032967032967033</v>
      </c>
      <c r="G53" s="11">
        <f>3/182*100</f>
        <v>1.6483516483516485</v>
      </c>
      <c r="H53" s="11">
        <f>14/182*100</f>
        <v>7.6923076923076925</v>
      </c>
    </row>
    <row r="54" spans="1:8" x14ac:dyDescent="0.25">
      <c r="A54" s="8">
        <v>2063</v>
      </c>
      <c r="B54" s="11">
        <f>56/182*100</f>
        <v>30.76923076923077</v>
      </c>
      <c r="C54" s="11">
        <f>22/182*100</f>
        <v>12.087912087912088</v>
      </c>
      <c r="D54" s="11">
        <f>34/182*100</f>
        <v>18.681318681318682</v>
      </c>
      <c r="E54" s="11">
        <f>15/182*100</f>
        <v>8.2417582417582409</v>
      </c>
      <c r="F54" s="11">
        <f>43/182*100</f>
        <v>23.626373626373624</v>
      </c>
      <c r="G54" s="11">
        <f>5/182*100</f>
        <v>2.7472527472527473</v>
      </c>
      <c r="H54" s="11">
        <f>0/182*100</f>
        <v>0</v>
      </c>
    </row>
    <row r="55" spans="1:8" x14ac:dyDescent="0.25">
      <c r="A55" s="8">
        <v>2064</v>
      </c>
      <c r="B55" s="11">
        <f>35/182*100</f>
        <v>19.230769230769234</v>
      </c>
      <c r="C55" s="11">
        <f>19/182*100</f>
        <v>10.43956043956044</v>
      </c>
      <c r="D55" s="11">
        <f>43/182*100</f>
        <v>23.626373626373624</v>
      </c>
      <c r="E55" s="11">
        <f>32/182*100</f>
        <v>17.582417582417584</v>
      </c>
      <c r="F55" s="11">
        <f>42/182*100</f>
        <v>23.076923076923077</v>
      </c>
      <c r="G55" s="11">
        <f>5/182*100</f>
        <v>2.7472527472527473</v>
      </c>
      <c r="H55" s="11">
        <f>5/182*100</f>
        <v>2.7472527472527473</v>
      </c>
    </row>
    <row r="61" spans="1:8" x14ac:dyDescent="0.25">
      <c r="B61" t="s">
        <v>55</v>
      </c>
      <c r="C61" t="s">
        <v>10</v>
      </c>
    </row>
    <row r="62" spans="1:8" x14ac:dyDescent="0.25">
      <c r="A62" s="12">
        <v>2015</v>
      </c>
      <c r="B62" s="11">
        <f>B6+D6+E6</f>
        <v>58.791208791208788</v>
      </c>
      <c r="C62" s="11">
        <f>F6</f>
        <v>19.780219780219781</v>
      </c>
    </row>
    <row r="63" spans="1:8" x14ac:dyDescent="0.25">
      <c r="A63" s="8">
        <v>2016</v>
      </c>
      <c r="B63" s="11">
        <f>B7+D7+E7</f>
        <v>59.340659340659343</v>
      </c>
      <c r="C63" s="11">
        <f t="shared" ref="C63:C111" si="4">F7</f>
        <v>19.780219780219781</v>
      </c>
    </row>
    <row r="64" spans="1:8" x14ac:dyDescent="0.25">
      <c r="A64" s="8">
        <v>2017</v>
      </c>
      <c r="B64" s="11">
        <f t="shared" ref="B64:B111" si="5">B8+D8+E8</f>
        <v>56.593406593406591</v>
      </c>
      <c r="C64" s="11">
        <f t="shared" si="4"/>
        <v>18.681318681318682</v>
      </c>
    </row>
    <row r="65" spans="1:3" x14ac:dyDescent="0.25">
      <c r="A65" s="8">
        <v>2018</v>
      </c>
      <c r="B65" s="11">
        <f t="shared" si="5"/>
        <v>55.494505494505496</v>
      </c>
      <c r="C65" s="11">
        <f t="shared" si="4"/>
        <v>25.274725274725274</v>
      </c>
    </row>
    <row r="66" spans="1:3" x14ac:dyDescent="0.25">
      <c r="A66" s="8">
        <v>2019</v>
      </c>
      <c r="B66" s="11">
        <f t="shared" si="5"/>
        <v>51.098901098901095</v>
      </c>
      <c r="C66" s="11">
        <f t="shared" si="4"/>
        <v>35.164835164835168</v>
      </c>
    </row>
    <row r="67" spans="1:3" x14ac:dyDescent="0.25">
      <c r="A67" s="8">
        <v>2020</v>
      </c>
      <c r="B67" s="11">
        <f t="shared" si="5"/>
        <v>71.428571428571431</v>
      </c>
      <c r="C67" s="11">
        <f t="shared" si="4"/>
        <v>17.032967032967033</v>
      </c>
    </row>
    <row r="68" spans="1:3" x14ac:dyDescent="0.25">
      <c r="A68" s="8">
        <v>2021</v>
      </c>
      <c r="B68" s="11">
        <f t="shared" si="5"/>
        <v>59.340659340659343</v>
      </c>
      <c r="C68" s="11">
        <f t="shared" si="4"/>
        <v>19.230769230769234</v>
      </c>
    </row>
    <row r="69" spans="1:3" x14ac:dyDescent="0.25">
      <c r="A69" s="8">
        <v>2022</v>
      </c>
      <c r="B69" s="11">
        <f t="shared" si="5"/>
        <v>57.142857142857139</v>
      </c>
      <c r="C69" s="11">
        <f t="shared" si="4"/>
        <v>17.582417582417584</v>
      </c>
    </row>
    <row r="70" spans="1:3" x14ac:dyDescent="0.25">
      <c r="A70" s="8">
        <v>2023</v>
      </c>
      <c r="B70" s="11">
        <f t="shared" si="5"/>
        <v>49.450549450549453</v>
      </c>
      <c r="C70" s="11">
        <f t="shared" si="4"/>
        <v>25.274725274725274</v>
      </c>
    </row>
    <row r="71" spans="1:3" x14ac:dyDescent="0.25">
      <c r="A71" s="8">
        <v>2024</v>
      </c>
      <c r="B71" s="11">
        <f t="shared" si="5"/>
        <v>48.35164835164835</v>
      </c>
      <c r="C71" s="11">
        <f t="shared" si="4"/>
        <v>33.516483516483511</v>
      </c>
    </row>
    <row r="72" spans="1:3" x14ac:dyDescent="0.25">
      <c r="A72" s="8">
        <v>2025</v>
      </c>
      <c r="B72" s="11">
        <f t="shared" si="5"/>
        <v>54.945054945054949</v>
      </c>
      <c r="C72" s="11">
        <f t="shared" si="4"/>
        <v>21.428571428571427</v>
      </c>
    </row>
    <row r="73" spans="1:3" x14ac:dyDescent="0.25">
      <c r="A73" s="8">
        <v>2026</v>
      </c>
      <c r="B73" s="11">
        <f t="shared" si="5"/>
        <v>57.692307692307693</v>
      </c>
      <c r="C73" s="11">
        <f t="shared" si="4"/>
        <v>29.670329670329672</v>
      </c>
    </row>
    <row r="74" spans="1:3" x14ac:dyDescent="0.25">
      <c r="A74" s="8">
        <v>2027</v>
      </c>
      <c r="B74" s="11">
        <f t="shared" si="5"/>
        <v>54.945054945054949</v>
      </c>
      <c r="C74" s="11">
        <f t="shared" si="4"/>
        <v>26.373626373626376</v>
      </c>
    </row>
    <row r="75" spans="1:3" x14ac:dyDescent="0.25">
      <c r="A75" s="8">
        <v>2028</v>
      </c>
      <c r="B75" s="11">
        <f t="shared" si="5"/>
        <v>56.043956043956051</v>
      </c>
      <c r="C75" s="11">
        <f t="shared" si="4"/>
        <v>19.230769230769234</v>
      </c>
    </row>
    <row r="76" spans="1:3" x14ac:dyDescent="0.25">
      <c r="A76" s="8">
        <v>2029</v>
      </c>
      <c r="B76" s="11">
        <f t="shared" si="5"/>
        <v>45.604395604395606</v>
      </c>
      <c r="C76" s="11">
        <f t="shared" si="4"/>
        <v>28.021978021978022</v>
      </c>
    </row>
    <row r="77" spans="1:3" x14ac:dyDescent="0.25">
      <c r="A77" s="8">
        <v>2030</v>
      </c>
      <c r="B77" s="11">
        <f t="shared" si="5"/>
        <v>53.296703296703299</v>
      </c>
      <c r="C77" s="11">
        <f t="shared" si="4"/>
        <v>26.373626373626376</v>
      </c>
    </row>
    <row r="78" spans="1:3" x14ac:dyDescent="0.25">
      <c r="A78" s="8">
        <v>2031</v>
      </c>
      <c r="B78" s="11">
        <f t="shared" si="5"/>
        <v>50.549450549450547</v>
      </c>
      <c r="C78" s="11">
        <f t="shared" si="4"/>
        <v>26.373626373626376</v>
      </c>
    </row>
    <row r="79" spans="1:3" x14ac:dyDescent="0.25">
      <c r="A79" s="8">
        <v>2032</v>
      </c>
      <c r="B79" s="11">
        <f t="shared" si="5"/>
        <v>53.846153846153854</v>
      </c>
      <c r="C79" s="11">
        <f t="shared" si="4"/>
        <v>23.076923076923077</v>
      </c>
    </row>
    <row r="80" spans="1:3" x14ac:dyDescent="0.25">
      <c r="A80" s="8">
        <v>2033</v>
      </c>
      <c r="B80" s="11">
        <f t="shared" si="5"/>
        <v>48.901098901098898</v>
      </c>
      <c r="C80" s="11">
        <f t="shared" si="4"/>
        <v>25.824175824175828</v>
      </c>
    </row>
    <row r="81" spans="1:3" x14ac:dyDescent="0.25">
      <c r="A81" s="8">
        <v>2034</v>
      </c>
      <c r="B81" s="11">
        <f t="shared" si="5"/>
        <v>59.34065934065935</v>
      </c>
      <c r="C81" s="11">
        <f t="shared" si="4"/>
        <v>21.978021978021978</v>
      </c>
    </row>
    <row r="82" spans="1:3" x14ac:dyDescent="0.25">
      <c r="A82" s="8">
        <v>2035</v>
      </c>
      <c r="B82" s="11">
        <f t="shared" si="5"/>
        <v>58.791208791208788</v>
      </c>
      <c r="C82" s="11">
        <f t="shared" si="4"/>
        <v>19.780219780219781</v>
      </c>
    </row>
    <row r="83" spans="1:3" x14ac:dyDescent="0.25">
      <c r="A83" s="8">
        <v>2036</v>
      </c>
      <c r="B83" s="11">
        <f t="shared" si="5"/>
        <v>48.351648351648358</v>
      </c>
      <c r="C83" s="11">
        <f t="shared" si="4"/>
        <v>40.109890109890109</v>
      </c>
    </row>
    <row r="84" spans="1:3" x14ac:dyDescent="0.25">
      <c r="A84" s="8">
        <v>2037</v>
      </c>
      <c r="B84" s="11">
        <f t="shared" si="5"/>
        <v>46.703296703296701</v>
      </c>
      <c r="C84" s="11">
        <f t="shared" si="4"/>
        <v>24.175824175824175</v>
      </c>
    </row>
    <row r="85" spans="1:3" x14ac:dyDescent="0.25">
      <c r="A85" s="8">
        <v>2038</v>
      </c>
      <c r="B85" s="11">
        <f t="shared" si="5"/>
        <v>47.802197802197796</v>
      </c>
      <c r="C85" s="11">
        <f t="shared" si="4"/>
        <v>28.571428571428569</v>
      </c>
    </row>
    <row r="86" spans="1:3" x14ac:dyDescent="0.25">
      <c r="A86" s="8">
        <v>2039</v>
      </c>
      <c r="B86" s="11">
        <f t="shared" si="5"/>
        <v>47.252747252747255</v>
      </c>
      <c r="C86" s="11">
        <f t="shared" si="4"/>
        <v>26.923076923076923</v>
      </c>
    </row>
    <row r="87" spans="1:3" x14ac:dyDescent="0.25">
      <c r="A87" s="8">
        <v>2040</v>
      </c>
      <c r="B87" s="11">
        <f t="shared" si="5"/>
        <v>47.802197802197803</v>
      </c>
      <c r="C87" s="11">
        <f t="shared" si="4"/>
        <v>39.010989010989015</v>
      </c>
    </row>
    <row r="88" spans="1:3" x14ac:dyDescent="0.25">
      <c r="A88" s="8">
        <v>2041</v>
      </c>
      <c r="B88" s="11">
        <f t="shared" si="5"/>
        <v>47.802197802197796</v>
      </c>
      <c r="C88" s="11">
        <f t="shared" si="4"/>
        <v>33.516483516483511</v>
      </c>
    </row>
    <row r="89" spans="1:3" x14ac:dyDescent="0.25">
      <c r="A89" s="8">
        <v>2042</v>
      </c>
      <c r="B89" s="11">
        <f t="shared" si="5"/>
        <v>50</v>
      </c>
      <c r="C89" s="11">
        <f t="shared" si="4"/>
        <v>20.329670329670328</v>
      </c>
    </row>
    <row r="90" spans="1:3" x14ac:dyDescent="0.25">
      <c r="A90" s="8">
        <v>2043</v>
      </c>
      <c r="B90" s="11">
        <f t="shared" si="5"/>
        <v>54.945054945054949</v>
      </c>
      <c r="C90" s="11">
        <f t="shared" si="4"/>
        <v>24.725274725274726</v>
      </c>
    </row>
    <row r="91" spans="1:3" x14ac:dyDescent="0.25">
      <c r="A91" s="8">
        <v>2044</v>
      </c>
      <c r="B91" s="11">
        <f t="shared" si="5"/>
        <v>52.747252747252752</v>
      </c>
      <c r="C91" s="11">
        <f t="shared" si="4"/>
        <v>26.923076923076923</v>
      </c>
    </row>
    <row r="92" spans="1:3" x14ac:dyDescent="0.25">
      <c r="A92" s="8">
        <v>2045</v>
      </c>
      <c r="B92" s="11">
        <f t="shared" si="5"/>
        <v>54.395604395604394</v>
      </c>
      <c r="C92" s="11">
        <f t="shared" si="4"/>
        <v>24.175824175824175</v>
      </c>
    </row>
    <row r="93" spans="1:3" x14ac:dyDescent="0.25">
      <c r="A93" s="8">
        <v>2046</v>
      </c>
      <c r="B93" s="11">
        <f t="shared" si="5"/>
        <v>60.439560439560438</v>
      </c>
      <c r="C93" s="11">
        <f t="shared" si="4"/>
        <v>24.725274725274726</v>
      </c>
    </row>
    <row r="94" spans="1:3" x14ac:dyDescent="0.25">
      <c r="A94" s="8">
        <v>2047</v>
      </c>
      <c r="B94" s="11">
        <f t="shared" si="5"/>
        <v>63.18681318681319</v>
      </c>
      <c r="C94" s="11">
        <f t="shared" si="4"/>
        <v>21.978021978021978</v>
      </c>
    </row>
    <row r="95" spans="1:3" x14ac:dyDescent="0.25">
      <c r="A95" s="8">
        <v>2048</v>
      </c>
      <c r="B95" s="11">
        <f t="shared" si="5"/>
        <v>59.890109890109883</v>
      </c>
      <c r="C95" s="11">
        <f t="shared" si="4"/>
        <v>14.835164835164836</v>
      </c>
    </row>
    <row r="96" spans="1:3" x14ac:dyDescent="0.25">
      <c r="A96" s="8">
        <v>2049</v>
      </c>
      <c r="B96" s="11">
        <f t="shared" si="5"/>
        <v>50.549450549450547</v>
      </c>
      <c r="C96" s="11">
        <f t="shared" si="4"/>
        <v>15.384615384615385</v>
      </c>
    </row>
    <row r="97" spans="1:3" x14ac:dyDescent="0.25">
      <c r="A97" s="8">
        <v>2050</v>
      </c>
      <c r="B97" s="11">
        <f t="shared" si="5"/>
        <v>64.835164835164832</v>
      </c>
      <c r="C97" s="11">
        <f t="shared" si="4"/>
        <v>22.527472527472529</v>
      </c>
    </row>
    <row r="98" spans="1:3" x14ac:dyDescent="0.25">
      <c r="A98" s="8">
        <v>2051</v>
      </c>
      <c r="B98" s="11">
        <f t="shared" si="5"/>
        <v>58.241758241758241</v>
      </c>
      <c r="C98" s="11">
        <f t="shared" si="4"/>
        <v>27.472527472527474</v>
      </c>
    </row>
    <row r="99" spans="1:3" x14ac:dyDescent="0.25">
      <c r="A99" s="8">
        <v>2052</v>
      </c>
      <c r="B99" s="11">
        <f t="shared" si="5"/>
        <v>65.934065934065927</v>
      </c>
      <c r="C99" s="11">
        <f t="shared" si="4"/>
        <v>11.538461538461538</v>
      </c>
    </row>
    <row r="100" spans="1:3" x14ac:dyDescent="0.25">
      <c r="A100" s="8">
        <v>2053</v>
      </c>
      <c r="B100" s="11">
        <f t="shared" si="5"/>
        <v>57.142857142857146</v>
      </c>
      <c r="C100" s="11">
        <f t="shared" si="4"/>
        <v>18.131868131868131</v>
      </c>
    </row>
    <row r="101" spans="1:3" x14ac:dyDescent="0.25">
      <c r="A101" s="8">
        <v>2054</v>
      </c>
      <c r="B101" s="11">
        <f t="shared" si="5"/>
        <v>64.285714285714278</v>
      </c>
      <c r="C101" s="11">
        <f t="shared" si="4"/>
        <v>25.824175824175828</v>
      </c>
    </row>
    <row r="102" spans="1:3" x14ac:dyDescent="0.25">
      <c r="A102" s="8">
        <v>2055</v>
      </c>
      <c r="B102" s="11">
        <f t="shared" si="5"/>
        <v>45.604395604395606</v>
      </c>
      <c r="C102" s="11">
        <f t="shared" si="4"/>
        <v>29.670329670329672</v>
      </c>
    </row>
    <row r="103" spans="1:3" x14ac:dyDescent="0.25">
      <c r="A103" s="8">
        <v>2056</v>
      </c>
      <c r="B103" s="11">
        <f t="shared" si="5"/>
        <v>56.043956043956044</v>
      </c>
      <c r="C103" s="11">
        <f t="shared" si="4"/>
        <v>18.131868131868131</v>
      </c>
    </row>
    <row r="104" spans="1:3" x14ac:dyDescent="0.25">
      <c r="A104" s="8">
        <v>2057</v>
      </c>
      <c r="B104" s="11">
        <f t="shared" si="5"/>
        <v>62.637362637362642</v>
      </c>
      <c r="C104" s="11">
        <f t="shared" si="4"/>
        <v>14.835164835164836</v>
      </c>
    </row>
    <row r="105" spans="1:3" x14ac:dyDescent="0.25">
      <c r="A105" s="8">
        <v>2058</v>
      </c>
      <c r="B105" s="11">
        <f t="shared" si="5"/>
        <v>56.593406593406598</v>
      </c>
      <c r="C105" s="11">
        <f t="shared" si="4"/>
        <v>19.780219780219781</v>
      </c>
    </row>
    <row r="106" spans="1:3" x14ac:dyDescent="0.25">
      <c r="A106" s="8">
        <v>2059</v>
      </c>
      <c r="B106" s="11">
        <f t="shared" si="5"/>
        <v>59.890109890109898</v>
      </c>
      <c r="C106" s="11">
        <f t="shared" si="4"/>
        <v>21.428571428571427</v>
      </c>
    </row>
    <row r="107" spans="1:3" x14ac:dyDescent="0.25">
      <c r="A107" s="8">
        <v>2060</v>
      </c>
      <c r="B107" s="11">
        <f t="shared" si="5"/>
        <v>59.890109890109891</v>
      </c>
      <c r="C107" s="11">
        <f t="shared" si="4"/>
        <v>29.670329670329672</v>
      </c>
    </row>
    <row r="108" spans="1:3" x14ac:dyDescent="0.25">
      <c r="A108" s="8">
        <v>2061</v>
      </c>
      <c r="B108" s="11">
        <f t="shared" si="5"/>
        <v>63.18681318681319</v>
      </c>
      <c r="C108" s="11">
        <f t="shared" si="4"/>
        <v>17.582417582417584</v>
      </c>
    </row>
    <row r="109" spans="1:3" x14ac:dyDescent="0.25">
      <c r="A109" s="8">
        <v>2062</v>
      </c>
      <c r="B109" s="11">
        <f t="shared" si="5"/>
        <v>58.241758241758248</v>
      </c>
      <c r="C109" s="11">
        <f t="shared" si="4"/>
        <v>17.032967032967033</v>
      </c>
    </row>
    <row r="110" spans="1:3" x14ac:dyDescent="0.25">
      <c r="A110" s="8">
        <v>2063</v>
      </c>
      <c r="B110" s="11">
        <f t="shared" si="5"/>
        <v>57.692307692307693</v>
      </c>
      <c r="C110" s="11">
        <f t="shared" si="4"/>
        <v>23.626373626373624</v>
      </c>
    </row>
    <row r="111" spans="1:3" x14ac:dyDescent="0.25">
      <c r="A111" s="8">
        <v>2064</v>
      </c>
      <c r="B111" s="11">
        <f t="shared" si="5"/>
        <v>60.439560439560445</v>
      </c>
      <c r="C111" s="11">
        <f t="shared" si="4"/>
        <v>23.076923076923077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RIDGE1</vt:lpstr>
      <vt:lpstr>CUTOFF1</vt:lpstr>
      <vt:lpstr>ZONAL1</vt:lpstr>
      <vt:lpstr>TROUGH1</vt:lpstr>
      <vt:lpstr>Ensemble 1</vt:lpstr>
      <vt:lpstr>RIDGE2</vt:lpstr>
      <vt:lpstr>CUTOFF2</vt:lpstr>
      <vt:lpstr>ZONAL2</vt:lpstr>
      <vt:lpstr>TROUGH2</vt:lpstr>
      <vt:lpstr>Ensemble 2</vt:lpstr>
    </vt:vector>
  </TitlesOfParts>
  <Company>Colorado Mountain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</dc:creator>
  <cp:lastModifiedBy>Kevin Cooper</cp:lastModifiedBy>
  <cp:lastPrinted>2016-07-12T23:16:43Z</cp:lastPrinted>
  <dcterms:created xsi:type="dcterms:W3CDTF">2015-03-04T18:25:23Z</dcterms:created>
  <dcterms:modified xsi:type="dcterms:W3CDTF">2017-08-15T19:18:02Z</dcterms:modified>
</cp:coreProperties>
</file>