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5\12月\考核调整表\"/>
    </mc:Choice>
  </mc:AlternateContent>
  <bookViews>
    <workbookView xWindow="240" yWindow="75" windowWidth="24675" windowHeight="12045"/>
  </bookViews>
  <sheets>
    <sheet name="累计利润调整表" sheetId="1" r:id="rId1"/>
    <sheet name="累计考核费用" sheetId="2" r:id="rId2"/>
    <sheet name="考核调整事项表（分填报单位）" sheetId="3" r:id="rId3"/>
    <sheet name="调整事项" sheetId="4" r:id="rId4"/>
  </sheets>
  <externalReferences>
    <externalReference r:id="rId5"/>
    <externalReference r:id="rId6"/>
  </externalReferences>
  <definedNames>
    <definedName name="部门名称">[1]考核调整事项表!$I$2:$I$19</definedName>
  </definedNames>
  <calcPr calcId="152511"/>
</workbook>
</file>

<file path=xl/calcChain.xml><?xml version="1.0" encoding="utf-8"?>
<calcChain xmlns="http://schemas.openxmlformats.org/spreadsheetml/2006/main">
  <c r="H41" i="1" l="1"/>
  <c r="J93" i="1" l="1"/>
  <c r="J95" i="1"/>
  <c r="C38" i="1" l="1"/>
  <c r="C41" i="1" l="1"/>
  <c r="I39" i="1"/>
  <c r="M39" i="1"/>
  <c r="F39" i="1" l="1"/>
  <c r="F35" i="1"/>
  <c r="F37" i="1" s="1"/>
  <c r="F80" i="2" l="1"/>
  <c r="F66" i="2"/>
  <c r="E45" i="1"/>
  <c r="C17" i="4" l="1"/>
  <c r="E39" i="1" l="1"/>
  <c r="C39" i="1"/>
  <c r="H39" i="1"/>
  <c r="I68" i="2"/>
  <c r="H45" i="1"/>
  <c r="C56" i="4" l="1"/>
  <c r="K149" i="2" l="1"/>
  <c r="K148" i="2"/>
  <c r="D59" i="1" l="1"/>
  <c r="E38" i="1"/>
  <c r="F68" i="2" l="1"/>
  <c r="D80" i="2" l="1"/>
  <c r="I80" i="2"/>
  <c r="E47" i="4"/>
  <c r="E78" i="1" l="1"/>
  <c r="E83" i="4" l="1"/>
  <c r="E81" i="4" l="1"/>
  <c r="E82" i="4"/>
  <c r="E79" i="4" l="1"/>
  <c r="E80" i="4"/>
  <c r="C78" i="4"/>
  <c r="E78" i="4" s="1"/>
  <c r="E77" i="4"/>
  <c r="E75" i="4"/>
  <c r="C76" i="4"/>
  <c r="E76" i="4" s="1"/>
  <c r="C74" i="4"/>
  <c r="E74" i="4" s="1"/>
  <c r="E58" i="4" l="1"/>
  <c r="E59" i="4"/>
  <c r="E60" i="4"/>
  <c r="E61" i="4"/>
  <c r="E62" i="4"/>
  <c r="E63" i="4"/>
  <c r="E64" i="4"/>
  <c r="E65" i="4"/>
  <c r="E66" i="4"/>
  <c r="E57" i="4" l="1"/>
  <c r="O68" i="2" l="1"/>
  <c r="O67" i="2"/>
  <c r="X97" i="2" l="1"/>
  <c r="D97" i="2" s="1"/>
  <c r="X81" i="2"/>
  <c r="D81" i="2" s="1"/>
  <c r="J120" i="2" l="1"/>
  <c r="E7" i="4"/>
  <c r="E73" i="4" l="1"/>
  <c r="E69" i="4"/>
  <c r="E70" i="4"/>
  <c r="E71" i="4"/>
  <c r="C72" i="4"/>
  <c r="E42" i="4"/>
  <c r="E45" i="4"/>
  <c r="C46" i="4"/>
  <c r="E46" i="4" s="1"/>
  <c r="C44" i="4"/>
  <c r="E44" i="4" s="1"/>
  <c r="C43" i="4"/>
  <c r="E43" i="4" s="1"/>
  <c r="C41" i="4"/>
  <c r="E41" i="4" s="1"/>
  <c r="C40" i="4"/>
  <c r="E40" i="4" s="1"/>
  <c r="C94" i="4"/>
  <c r="C93" i="4"/>
  <c r="C90" i="4"/>
  <c r="C103" i="4"/>
  <c r="F67" i="2"/>
  <c r="C36" i="1"/>
  <c r="F71" i="2"/>
  <c r="E72" i="4" l="1"/>
  <c r="C85" i="4"/>
  <c r="F56" i="2"/>
  <c r="E37" i="1"/>
  <c r="E35" i="1"/>
  <c r="E34" i="1" l="1"/>
  <c r="C35" i="1"/>
  <c r="E67" i="4" l="1"/>
  <c r="E68" i="4"/>
  <c r="C38" i="4"/>
  <c r="E38" i="4" s="1"/>
  <c r="E25" i="4"/>
  <c r="E27" i="4"/>
  <c r="E36" i="4"/>
  <c r="E37" i="4"/>
  <c r="U34" i="1" l="1"/>
  <c r="S34" i="1"/>
  <c r="F36" i="1" l="1"/>
  <c r="F34" i="1" s="1"/>
  <c r="J38" i="1" l="1"/>
  <c r="O39" i="1" l="1"/>
  <c r="E65" i="1"/>
  <c r="H101" i="2" l="1"/>
  <c r="N36" i="1" l="1"/>
  <c r="E30" i="4" l="1"/>
  <c r="E31" i="4"/>
  <c r="E32" i="4"/>
  <c r="E33" i="4"/>
  <c r="E34" i="4"/>
  <c r="E35" i="4"/>
  <c r="C39" i="4"/>
  <c r="C29" i="1" l="1"/>
  <c r="E22" i="4" l="1"/>
  <c r="C48" i="4"/>
  <c r="M76" i="1" l="1"/>
  <c r="I36" i="1"/>
  <c r="G36" i="1" s="1"/>
  <c r="J103" i="2" l="1"/>
  <c r="S33" i="1" l="1"/>
  <c r="S45" i="1" l="1"/>
  <c r="T68" i="2"/>
  <c r="Q95" i="2"/>
  <c r="N55" i="1" l="1"/>
  <c r="Q36" i="1"/>
  <c r="K69" i="1" l="1"/>
  <c r="E39" i="4" l="1"/>
  <c r="E52" i="4"/>
  <c r="E53" i="4"/>
  <c r="E54" i="4"/>
  <c r="E55" i="4"/>
  <c r="E51" i="4"/>
  <c r="E3" i="4" l="1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3" i="4"/>
  <c r="E24" i="4"/>
  <c r="E26" i="4"/>
  <c r="E28" i="4"/>
  <c r="E29" i="4"/>
  <c r="E2" i="4"/>
  <c r="E48" i="4" l="1"/>
  <c r="E56" i="4"/>
  <c r="E85" i="4" s="1"/>
  <c r="E89" i="1" l="1"/>
  <c r="C70" i="1" l="1"/>
  <c r="F70" i="1"/>
  <c r="I123" i="2"/>
  <c r="I161" i="2" s="1"/>
  <c r="H70" i="1"/>
  <c r="N34" i="1"/>
  <c r="W35" i="1"/>
  <c r="G58" i="1"/>
  <c r="G89" i="1" s="1"/>
  <c r="F64" i="2"/>
  <c r="D64" i="2" s="1"/>
  <c r="S56" i="2"/>
  <c r="B29" i="1"/>
  <c r="H69" i="1"/>
  <c r="C55" i="1"/>
  <c r="C86" i="1" s="1"/>
  <c r="R34" i="1"/>
  <c r="R33" i="1" s="1"/>
  <c r="R64" i="1" s="1"/>
  <c r="E59" i="1"/>
  <c r="E41" i="1" s="1"/>
  <c r="E33" i="1" s="1"/>
  <c r="I34" i="1"/>
  <c r="I65" i="1" s="1"/>
  <c r="B5" i="3"/>
  <c r="F99" i="2"/>
  <c r="D99" i="2" s="1"/>
  <c r="F98" i="2"/>
  <c r="F150" i="2" s="1"/>
  <c r="R141" i="2"/>
  <c r="D69" i="2"/>
  <c r="D121" i="2" s="1"/>
  <c r="Q34" i="1"/>
  <c r="F55" i="1"/>
  <c r="F86" i="1" s="1"/>
  <c r="R132" i="2"/>
  <c r="I55" i="1"/>
  <c r="I59" i="1"/>
  <c r="I41" i="1" s="1"/>
  <c r="C69" i="1"/>
  <c r="F69" i="2"/>
  <c r="F121" i="2" s="1"/>
  <c r="F118" i="2"/>
  <c r="F131" i="2"/>
  <c r="R45" i="1"/>
  <c r="R76" i="1" s="1"/>
  <c r="C67" i="1"/>
  <c r="C89" i="1"/>
  <c r="D89" i="1"/>
  <c r="F66" i="1"/>
  <c r="N72" i="1"/>
  <c r="K34" i="1"/>
  <c r="K33" i="1" s="1"/>
  <c r="K64" i="1" s="1"/>
  <c r="J34" i="1"/>
  <c r="J65" i="1" s="1"/>
  <c r="F59" i="1"/>
  <c r="F41" i="1" s="1"/>
  <c r="F33" i="1" s="1"/>
  <c r="G59" i="1"/>
  <c r="H59" i="1"/>
  <c r="J59" i="1"/>
  <c r="K59" i="1"/>
  <c r="L59" i="1"/>
  <c r="M59" i="1"/>
  <c r="M41" i="1" s="1"/>
  <c r="N59" i="1"/>
  <c r="O59" i="1"/>
  <c r="P59" i="1"/>
  <c r="Q59" i="1"/>
  <c r="R59" i="1"/>
  <c r="S59" i="1"/>
  <c r="T59" i="1"/>
  <c r="U59" i="1"/>
  <c r="V59" i="1"/>
  <c r="W59" i="1"/>
  <c r="X59" i="1"/>
  <c r="Y59" i="1"/>
  <c r="P34" i="1"/>
  <c r="H55" i="1"/>
  <c r="V151" i="2"/>
  <c r="W151" i="2"/>
  <c r="X151" i="2"/>
  <c r="V152" i="2"/>
  <c r="W152" i="2"/>
  <c r="X152" i="2"/>
  <c r="V153" i="2"/>
  <c r="W153" i="2"/>
  <c r="X153" i="2"/>
  <c r="V154" i="2"/>
  <c r="W154" i="2"/>
  <c r="X154" i="2"/>
  <c r="X150" i="2"/>
  <c r="W150" i="2"/>
  <c r="V150" i="2"/>
  <c r="X149" i="2"/>
  <c r="W149" i="2"/>
  <c r="V149" i="2"/>
  <c r="X148" i="2"/>
  <c r="W148" i="2"/>
  <c r="V148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X126" i="2"/>
  <c r="W126" i="2"/>
  <c r="V126" i="2"/>
  <c r="X125" i="2"/>
  <c r="W125" i="2"/>
  <c r="V125" i="2"/>
  <c r="X124" i="2"/>
  <c r="W124" i="2"/>
  <c r="V124" i="2"/>
  <c r="X123" i="2"/>
  <c r="X161" i="2" s="1"/>
  <c r="W123" i="2"/>
  <c r="W161" i="2" s="1"/>
  <c r="V123" i="2"/>
  <c r="V161" i="2" s="1"/>
  <c r="V121" i="2"/>
  <c r="W121" i="2"/>
  <c r="X121" i="2"/>
  <c r="X119" i="2"/>
  <c r="W119" i="2"/>
  <c r="V119" i="2"/>
  <c r="X118" i="2"/>
  <c r="W118" i="2"/>
  <c r="V118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T121" i="2"/>
  <c r="S121" i="2"/>
  <c r="R121" i="2"/>
  <c r="Q121" i="2"/>
  <c r="T119" i="2"/>
  <c r="S119" i="2"/>
  <c r="R119" i="2"/>
  <c r="Q119" i="2"/>
  <c r="T118" i="2"/>
  <c r="S118" i="2"/>
  <c r="R118" i="2"/>
  <c r="Q118" i="2"/>
  <c r="Q153" i="2"/>
  <c r="R153" i="2"/>
  <c r="S153" i="2"/>
  <c r="T153" i="2"/>
  <c r="Q154" i="2"/>
  <c r="R154" i="2"/>
  <c r="S154" i="2"/>
  <c r="T154" i="2"/>
  <c r="T152" i="2"/>
  <c r="S152" i="2"/>
  <c r="R152" i="2"/>
  <c r="Q152" i="2"/>
  <c r="T151" i="2"/>
  <c r="S151" i="2"/>
  <c r="R151" i="2"/>
  <c r="Q151" i="2"/>
  <c r="T150" i="2"/>
  <c r="S150" i="2"/>
  <c r="R150" i="2"/>
  <c r="Q150" i="2"/>
  <c r="T149" i="2"/>
  <c r="S149" i="2"/>
  <c r="R149" i="2"/>
  <c r="Q149" i="2"/>
  <c r="T148" i="2"/>
  <c r="S148" i="2"/>
  <c r="R148" i="2"/>
  <c r="Q148" i="2"/>
  <c r="Q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T161" i="2" s="1"/>
  <c r="S123" i="2"/>
  <c r="S161" i="2" s="1"/>
  <c r="R123" i="2"/>
  <c r="R161" i="2" s="1"/>
  <c r="Q123" i="2"/>
  <c r="Q161" i="2" s="1"/>
  <c r="Q114" i="2"/>
  <c r="R114" i="2"/>
  <c r="S114" i="2"/>
  <c r="T114" i="2"/>
  <c r="Q115" i="2"/>
  <c r="R115" i="2"/>
  <c r="S115" i="2"/>
  <c r="T115" i="2"/>
  <c r="Q116" i="2"/>
  <c r="R116" i="2"/>
  <c r="S116" i="2"/>
  <c r="T116" i="2"/>
  <c r="T108" i="2"/>
  <c r="T109" i="2"/>
  <c r="T110" i="2"/>
  <c r="T111" i="2"/>
  <c r="T112" i="2"/>
  <c r="T113" i="2"/>
  <c r="S113" i="2"/>
  <c r="R113" i="2"/>
  <c r="Q113" i="2"/>
  <c r="S112" i="2"/>
  <c r="R112" i="2"/>
  <c r="Q112" i="2"/>
  <c r="S111" i="2"/>
  <c r="R111" i="2"/>
  <c r="Q111" i="2"/>
  <c r="S110" i="2"/>
  <c r="R110" i="2"/>
  <c r="Q110" i="2"/>
  <c r="S109" i="2"/>
  <c r="R109" i="2"/>
  <c r="Q109" i="2"/>
  <c r="R108" i="2"/>
  <c r="Q108" i="2"/>
  <c r="O118" i="2"/>
  <c r="O119" i="2"/>
  <c r="O121" i="2"/>
  <c r="O108" i="2"/>
  <c r="O109" i="2"/>
  <c r="O110" i="2"/>
  <c r="O111" i="2"/>
  <c r="O112" i="2"/>
  <c r="O113" i="2"/>
  <c r="O114" i="2"/>
  <c r="O115" i="2"/>
  <c r="O116" i="2"/>
  <c r="O123" i="2"/>
  <c r="O161" i="2" s="1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8" i="2"/>
  <c r="O149" i="2"/>
  <c r="O150" i="2"/>
  <c r="O151" i="2"/>
  <c r="O152" i="2"/>
  <c r="O153" i="2"/>
  <c r="O154" i="2"/>
  <c r="I152" i="2"/>
  <c r="J152" i="2"/>
  <c r="K152" i="2"/>
  <c r="L152" i="2"/>
  <c r="M152" i="2"/>
  <c r="N152" i="2"/>
  <c r="I153" i="2"/>
  <c r="J153" i="2"/>
  <c r="K153" i="2"/>
  <c r="L153" i="2"/>
  <c r="M153" i="2"/>
  <c r="N153" i="2"/>
  <c r="I154" i="2"/>
  <c r="J154" i="2"/>
  <c r="K154" i="2"/>
  <c r="L154" i="2"/>
  <c r="M154" i="2"/>
  <c r="N154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J149" i="2"/>
  <c r="I149" i="2"/>
  <c r="N148" i="2"/>
  <c r="M148" i="2"/>
  <c r="L148" i="2"/>
  <c r="J148" i="2"/>
  <c r="I148" i="2"/>
  <c r="I127" i="2"/>
  <c r="J127" i="2"/>
  <c r="K127" i="2"/>
  <c r="L127" i="2"/>
  <c r="M127" i="2"/>
  <c r="N127" i="2"/>
  <c r="I128" i="2"/>
  <c r="J128" i="2"/>
  <c r="K128" i="2"/>
  <c r="L128" i="2"/>
  <c r="M128" i="2"/>
  <c r="N128" i="2"/>
  <c r="I129" i="2"/>
  <c r="J129" i="2"/>
  <c r="K129" i="2"/>
  <c r="L129" i="2"/>
  <c r="M129" i="2"/>
  <c r="N129" i="2"/>
  <c r="I130" i="2"/>
  <c r="J130" i="2"/>
  <c r="K130" i="2"/>
  <c r="L130" i="2"/>
  <c r="M130" i="2"/>
  <c r="N130" i="2"/>
  <c r="I131" i="2"/>
  <c r="J131" i="2"/>
  <c r="K131" i="2"/>
  <c r="L131" i="2"/>
  <c r="M131" i="2"/>
  <c r="N131" i="2"/>
  <c r="J132" i="2"/>
  <c r="K132" i="2"/>
  <c r="L132" i="2"/>
  <c r="M132" i="2"/>
  <c r="N132" i="2"/>
  <c r="I133" i="2"/>
  <c r="J133" i="2"/>
  <c r="K133" i="2"/>
  <c r="L133" i="2"/>
  <c r="M133" i="2"/>
  <c r="N133" i="2"/>
  <c r="I134" i="2"/>
  <c r="J134" i="2"/>
  <c r="K134" i="2"/>
  <c r="L134" i="2"/>
  <c r="M134" i="2"/>
  <c r="N134" i="2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I139" i="2"/>
  <c r="J139" i="2"/>
  <c r="K139" i="2"/>
  <c r="L139" i="2"/>
  <c r="M139" i="2"/>
  <c r="N139" i="2"/>
  <c r="I140" i="2"/>
  <c r="J140" i="2"/>
  <c r="K140" i="2"/>
  <c r="L140" i="2"/>
  <c r="M140" i="2"/>
  <c r="N140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N161" i="2" s="1"/>
  <c r="M123" i="2"/>
  <c r="M161" i="2" s="1"/>
  <c r="L123" i="2"/>
  <c r="L161" i="2" s="1"/>
  <c r="K123" i="2"/>
  <c r="K161" i="2" s="1"/>
  <c r="J123" i="2"/>
  <c r="J161" i="2" s="1"/>
  <c r="N121" i="2"/>
  <c r="M121" i="2"/>
  <c r="L121" i="2"/>
  <c r="K121" i="2"/>
  <c r="J121" i="2"/>
  <c r="I121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08" i="2"/>
  <c r="N109" i="2"/>
  <c r="N110" i="2"/>
  <c r="N111" i="2"/>
  <c r="N112" i="2"/>
  <c r="N113" i="2"/>
  <c r="N114" i="2"/>
  <c r="N115" i="2"/>
  <c r="N116" i="2"/>
  <c r="G154" i="2"/>
  <c r="F154" i="2"/>
  <c r="E154" i="2"/>
  <c r="D154" i="2"/>
  <c r="G153" i="2"/>
  <c r="F153" i="2"/>
  <c r="E153" i="2"/>
  <c r="G152" i="2"/>
  <c r="F152" i="2"/>
  <c r="E152" i="2"/>
  <c r="D152" i="2"/>
  <c r="G151" i="2"/>
  <c r="E151" i="2"/>
  <c r="G150" i="2"/>
  <c r="D150" i="2"/>
  <c r="G149" i="2"/>
  <c r="F149" i="2"/>
  <c r="E149" i="2"/>
  <c r="D149" i="2"/>
  <c r="G148" i="2"/>
  <c r="F148" i="2"/>
  <c r="E148" i="2"/>
  <c r="D148" i="2"/>
  <c r="D146" i="2"/>
  <c r="E146" i="2"/>
  <c r="F146" i="2"/>
  <c r="G14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G131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G161" i="2" s="1"/>
  <c r="F123" i="2"/>
  <c r="F161" i="2" s="1"/>
  <c r="E123" i="2"/>
  <c r="E161" i="2" s="1"/>
  <c r="G121" i="2"/>
  <c r="E121" i="2"/>
  <c r="G119" i="2"/>
  <c r="F119" i="2"/>
  <c r="E119" i="2"/>
  <c r="G118" i="2"/>
  <c r="E118" i="2"/>
  <c r="M108" i="2"/>
  <c r="M109" i="2"/>
  <c r="M110" i="2"/>
  <c r="M111" i="2"/>
  <c r="M112" i="2"/>
  <c r="M113" i="2"/>
  <c r="M114" i="2"/>
  <c r="M115" i="2"/>
  <c r="M116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L117" i="2" s="1"/>
  <c r="K108" i="2"/>
  <c r="K117" i="2" s="1"/>
  <c r="J108" i="2"/>
  <c r="J117" i="2" s="1"/>
  <c r="I108" i="2"/>
  <c r="I117" i="2" s="1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G116" i="2"/>
  <c r="D109" i="2"/>
  <c r="D110" i="2"/>
  <c r="D111" i="2"/>
  <c r="D112" i="2"/>
  <c r="D113" i="2"/>
  <c r="D114" i="2"/>
  <c r="D115" i="2"/>
  <c r="U56" i="2"/>
  <c r="U102" i="2"/>
  <c r="U101" i="2"/>
  <c r="U100" i="2"/>
  <c r="U99" i="2"/>
  <c r="U98" i="2"/>
  <c r="U97" i="2"/>
  <c r="U96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69" i="2"/>
  <c r="U67" i="2"/>
  <c r="U66" i="2"/>
  <c r="U64" i="2"/>
  <c r="U63" i="2"/>
  <c r="U62" i="2"/>
  <c r="U61" i="2"/>
  <c r="U60" i="2"/>
  <c r="U59" i="2"/>
  <c r="U58" i="2"/>
  <c r="U57" i="2"/>
  <c r="P100" i="2"/>
  <c r="P101" i="2"/>
  <c r="P102" i="2"/>
  <c r="P99" i="2"/>
  <c r="P98" i="2"/>
  <c r="P97" i="2"/>
  <c r="P96" i="2"/>
  <c r="P76" i="2"/>
  <c r="P77" i="2"/>
  <c r="P78" i="2"/>
  <c r="P79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69" i="2"/>
  <c r="P67" i="2"/>
  <c r="P66" i="2"/>
  <c r="P75" i="2"/>
  <c r="P74" i="2"/>
  <c r="P73" i="2"/>
  <c r="P72" i="2"/>
  <c r="P71" i="2"/>
  <c r="P57" i="2"/>
  <c r="P58" i="2"/>
  <c r="P59" i="2"/>
  <c r="P60" i="2"/>
  <c r="P61" i="2"/>
  <c r="P62" i="2"/>
  <c r="P63" i="2"/>
  <c r="P64" i="2"/>
  <c r="H99" i="2"/>
  <c r="H100" i="2"/>
  <c r="H102" i="2"/>
  <c r="H98" i="2"/>
  <c r="H97" i="2"/>
  <c r="H96" i="2"/>
  <c r="H79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69" i="2"/>
  <c r="H67" i="2"/>
  <c r="H66" i="2"/>
  <c r="D66" i="2" s="1"/>
  <c r="D118" i="2" s="1"/>
  <c r="H78" i="2"/>
  <c r="H77" i="2"/>
  <c r="H76" i="2"/>
  <c r="H75" i="2"/>
  <c r="H74" i="2"/>
  <c r="H73" i="2"/>
  <c r="H72" i="2"/>
  <c r="H71" i="2"/>
  <c r="H57" i="2"/>
  <c r="H58" i="2"/>
  <c r="H59" i="2"/>
  <c r="H60" i="2"/>
  <c r="H61" i="2"/>
  <c r="H62" i="2"/>
  <c r="H63" i="2"/>
  <c r="H64" i="2"/>
  <c r="H56" i="2"/>
  <c r="E56" i="2" s="1"/>
  <c r="G65" i="2"/>
  <c r="I65" i="2"/>
  <c r="J65" i="2"/>
  <c r="K65" i="2"/>
  <c r="L65" i="2"/>
  <c r="M65" i="2"/>
  <c r="N65" i="2"/>
  <c r="O65" i="2"/>
  <c r="Q65" i="2"/>
  <c r="R65" i="2"/>
  <c r="T65" i="2"/>
  <c r="V65" i="2"/>
  <c r="W65" i="2"/>
  <c r="X65" i="2"/>
  <c r="E95" i="2"/>
  <c r="F95" i="2"/>
  <c r="G95" i="2"/>
  <c r="J95" i="2"/>
  <c r="K95" i="2"/>
  <c r="L95" i="2"/>
  <c r="M95" i="2"/>
  <c r="N95" i="2"/>
  <c r="O95" i="2"/>
  <c r="R95" i="2"/>
  <c r="S95" i="2"/>
  <c r="T95" i="2"/>
  <c r="V95" i="2"/>
  <c r="W95" i="2"/>
  <c r="X95" i="2"/>
  <c r="G103" i="2"/>
  <c r="I103" i="2"/>
  <c r="K103" i="2"/>
  <c r="L103" i="2"/>
  <c r="M103" i="2"/>
  <c r="N103" i="2"/>
  <c r="O103" i="2"/>
  <c r="Q103" i="2"/>
  <c r="R103" i="2"/>
  <c r="S103" i="2"/>
  <c r="T103" i="2"/>
  <c r="V103" i="2"/>
  <c r="W103" i="2"/>
  <c r="X103" i="2"/>
  <c r="L34" i="1"/>
  <c r="M34" i="1"/>
  <c r="M65" i="1" s="1"/>
  <c r="H34" i="1"/>
  <c r="C72" i="1"/>
  <c r="C59" i="1"/>
  <c r="I84" i="1"/>
  <c r="D55" i="1"/>
  <c r="D86" i="1" s="1"/>
  <c r="E55" i="1"/>
  <c r="E86" i="1" s="1"/>
  <c r="J55" i="1"/>
  <c r="J86" i="1" s="1"/>
  <c r="K55" i="1"/>
  <c r="K86" i="1" s="1"/>
  <c r="L55" i="1"/>
  <c r="L86" i="1" s="1"/>
  <c r="M55" i="1"/>
  <c r="M86" i="1" s="1"/>
  <c r="P55" i="1"/>
  <c r="Q55" i="1"/>
  <c r="Q86" i="1" s="1"/>
  <c r="R55" i="1"/>
  <c r="R86" i="1" s="1"/>
  <c r="S55" i="1"/>
  <c r="S86" i="1" s="1"/>
  <c r="T55" i="1"/>
  <c r="T86" i="1" s="1"/>
  <c r="U55" i="1"/>
  <c r="U86" i="1" s="1"/>
  <c r="V55" i="1"/>
  <c r="V86" i="1" s="1"/>
  <c r="W55" i="1"/>
  <c r="W86" i="1" s="1"/>
  <c r="U33" i="1"/>
  <c r="U45" i="1" s="1"/>
  <c r="X120" i="2"/>
  <c r="X70" i="2"/>
  <c r="F120" i="2"/>
  <c r="K81" i="1"/>
  <c r="T51" i="1"/>
  <c r="T82" i="1" s="1"/>
  <c r="T50" i="1"/>
  <c r="T81" i="1" s="1"/>
  <c r="T48" i="1"/>
  <c r="T79" i="1" s="1"/>
  <c r="T47" i="1"/>
  <c r="T78" i="1" s="1"/>
  <c r="T36" i="1"/>
  <c r="T67" i="1" s="1"/>
  <c r="T37" i="1"/>
  <c r="T68" i="1" s="1"/>
  <c r="T38" i="1"/>
  <c r="T69" i="1" s="1"/>
  <c r="T39" i="1"/>
  <c r="T41" i="1"/>
  <c r="T72" i="1" s="1"/>
  <c r="T42" i="1"/>
  <c r="T73" i="1" s="1"/>
  <c r="T43" i="1"/>
  <c r="T74" i="1" s="1"/>
  <c r="O51" i="1"/>
  <c r="O82" i="1" s="1"/>
  <c r="O50" i="1"/>
  <c r="O81" i="1" s="1"/>
  <c r="O48" i="1"/>
  <c r="O79" i="1" s="1"/>
  <c r="O47" i="1"/>
  <c r="O78" i="1" s="1"/>
  <c r="O35" i="1"/>
  <c r="O66" i="1" s="1"/>
  <c r="O37" i="1"/>
  <c r="O68" i="1" s="1"/>
  <c r="O38" i="1"/>
  <c r="D38" i="1" s="1"/>
  <c r="O41" i="1"/>
  <c r="O42" i="1"/>
  <c r="O43" i="1"/>
  <c r="O74" i="1" s="1"/>
  <c r="G51" i="1"/>
  <c r="G82" i="1" s="1"/>
  <c r="G50" i="1"/>
  <c r="G81" i="1" s="1"/>
  <c r="G48" i="1"/>
  <c r="G79" i="1" s="1"/>
  <c r="G47" i="1"/>
  <c r="G35" i="1"/>
  <c r="G66" i="1" s="1"/>
  <c r="G67" i="1"/>
  <c r="G37" i="1"/>
  <c r="G68" i="1" s="1"/>
  <c r="G38" i="1"/>
  <c r="G69" i="1" s="1"/>
  <c r="G42" i="1"/>
  <c r="G73" i="1" s="1"/>
  <c r="G43" i="1"/>
  <c r="D76" i="1"/>
  <c r="D67" i="1"/>
  <c r="C73" i="1"/>
  <c r="W67" i="1"/>
  <c r="W73" i="1"/>
  <c r="V81" i="1"/>
  <c r="V67" i="1"/>
  <c r="V69" i="1"/>
  <c r="V73" i="1"/>
  <c r="R81" i="1"/>
  <c r="R73" i="1"/>
  <c r="Q81" i="1"/>
  <c r="Q69" i="1"/>
  <c r="Q73" i="1"/>
  <c r="P81" i="1"/>
  <c r="P67" i="1"/>
  <c r="P73" i="1"/>
  <c r="L67" i="1"/>
  <c r="L69" i="1"/>
  <c r="J73" i="1"/>
  <c r="I78" i="1"/>
  <c r="I67" i="1"/>
  <c r="H67" i="1"/>
  <c r="H73" i="1"/>
  <c r="F78" i="1"/>
  <c r="F73" i="1"/>
  <c r="E67" i="1"/>
  <c r="E73" i="1"/>
  <c r="D65" i="1"/>
  <c r="D74" i="1"/>
  <c r="D79" i="1"/>
  <c r="D82" i="1"/>
  <c r="S76" i="1"/>
  <c r="V33" i="1"/>
  <c r="W68" i="2" s="1"/>
  <c r="X33" i="1"/>
  <c r="X64" i="1" s="1"/>
  <c r="Y33" i="1"/>
  <c r="X44" i="1"/>
  <c r="X75" i="1" s="1"/>
  <c r="Y44" i="1"/>
  <c r="Y75" i="1" s="1"/>
  <c r="D66" i="1"/>
  <c r="D68" i="1"/>
  <c r="D70" i="1"/>
  <c r="Y64" i="1"/>
  <c r="S65" i="1"/>
  <c r="U65" i="1"/>
  <c r="V65" i="1"/>
  <c r="X65" i="1"/>
  <c r="Y65" i="1"/>
  <c r="E66" i="1"/>
  <c r="H66" i="1"/>
  <c r="I66" i="1"/>
  <c r="J66" i="1"/>
  <c r="K66" i="1"/>
  <c r="L66" i="1"/>
  <c r="M66" i="1"/>
  <c r="N66" i="1"/>
  <c r="P66" i="1"/>
  <c r="Q66" i="1"/>
  <c r="R66" i="1"/>
  <c r="S66" i="1"/>
  <c r="U66" i="1"/>
  <c r="V66" i="1"/>
  <c r="X66" i="1"/>
  <c r="Y66" i="1"/>
  <c r="J67" i="1"/>
  <c r="K67" i="1"/>
  <c r="M67" i="1"/>
  <c r="R67" i="1"/>
  <c r="S67" i="1"/>
  <c r="U67" i="1"/>
  <c r="X67" i="1"/>
  <c r="Y67" i="1"/>
  <c r="C68" i="1"/>
  <c r="E68" i="1"/>
  <c r="F68" i="1"/>
  <c r="H68" i="1"/>
  <c r="I68" i="1"/>
  <c r="J68" i="1"/>
  <c r="K68" i="1"/>
  <c r="L68" i="1"/>
  <c r="M68" i="1"/>
  <c r="N68" i="1"/>
  <c r="P68" i="1"/>
  <c r="Q68" i="1"/>
  <c r="R68" i="1"/>
  <c r="S68" i="1"/>
  <c r="U68" i="1"/>
  <c r="V68" i="1"/>
  <c r="W68" i="1"/>
  <c r="X68" i="1"/>
  <c r="Y68" i="1"/>
  <c r="E69" i="1"/>
  <c r="I69" i="1"/>
  <c r="M69" i="1"/>
  <c r="P69" i="1"/>
  <c r="R69" i="1"/>
  <c r="S69" i="1"/>
  <c r="U69" i="1"/>
  <c r="W69" i="1"/>
  <c r="X69" i="1"/>
  <c r="Y69" i="1"/>
  <c r="E70" i="1"/>
  <c r="J70" i="1"/>
  <c r="K70" i="1"/>
  <c r="L70" i="1"/>
  <c r="M70" i="1"/>
  <c r="N70" i="1"/>
  <c r="P70" i="1"/>
  <c r="Q70" i="1"/>
  <c r="R70" i="1"/>
  <c r="S70" i="1"/>
  <c r="U70" i="1"/>
  <c r="V70" i="1"/>
  <c r="W70" i="1"/>
  <c r="X70" i="1"/>
  <c r="Y70" i="1"/>
  <c r="D72" i="1"/>
  <c r="J72" i="1"/>
  <c r="K72" i="1"/>
  <c r="L72" i="1"/>
  <c r="P72" i="1"/>
  <c r="Q72" i="1"/>
  <c r="R72" i="1"/>
  <c r="S72" i="1"/>
  <c r="U72" i="1"/>
  <c r="V72" i="1"/>
  <c r="W72" i="1"/>
  <c r="X72" i="1"/>
  <c r="Y72" i="1"/>
  <c r="I73" i="1"/>
  <c r="K73" i="1"/>
  <c r="L73" i="1"/>
  <c r="M73" i="1"/>
  <c r="N73" i="1"/>
  <c r="S73" i="1"/>
  <c r="U73" i="1"/>
  <c r="X73" i="1"/>
  <c r="Y73" i="1"/>
  <c r="C74" i="1"/>
  <c r="E74" i="1"/>
  <c r="F74" i="1"/>
  <c r="H74" i="1"/>
  <c r="I74" i="1"/>
  <c r="J74" i="1"/>
  <c r="K74" i="1"/>
  <c r="L74" i="1"/>
  <c r="M74" i="1"/>
  <c r="N74" i="1"/>
  <c r="P74" i="1"/>
  <c r="Q74" i="1"/>
  <c r="R74" i="1"/>
  <c r="S74" i="1"/>
  <c r="U74" i="1"/>
  <c r="V74" i="1"/>
  <c r="W74" i="1"/>
  <c r="X74" i="1"/>
  <c r="Y74" i="1"/>
  <c r="H76" i="1"/>
  <c r="I76" i="1"/>
  <c r="K76" i="1"/>
  <c r="L76" i="1"/>
  <c r="V76" i="1"/>
  <c r="X76" i="1"/>
  <c r="Y76" i="1"/>
  <c r="X77" i="1"/>
  <c r="Y77" i="1"/>
  <c r="C78" i="1"/>
  <c r="D78" i="1"/>
  <c r="H78" i="1"/>
  <c r="J78" i="1"/>
  <c r="K78" i="1"/>
  <c r="L78" i="1"/>
  <c r="M78" i="1"/>
  <c r="N78" i="1"/>
  <c r="P78" i="1"/>
  <c r="Q78" i="1"/>
  <c r="R78" i="1"/>
  <c r="S78" i="1"/>
  <c r="U78" i="1"/>
  <c r="V78" i="1"/>
  <c r="W78" i="1"/>
  <c r="X78" i="1"/>
  <c r="Y78" i="1"/>
  <c r="C79" i="1"/>
  <c r="E79" i="1"/>
  <c r="F79" i="1"/>
  <c r="H79" i="1"/>
  <c r="I79" i="1"/>
  <c r="J79" i="1"/>
  <c r="K79" i="1"/>
  <c r="L79" i="1"/>
  <c r="M79" i="1"/>
  <c r="N79" i="1"/>
  <c r="P79" i="1"/>
  <c r="Q79" i="1"/>
  <c r="R79" i="1"/>
  <c r="S79" i="1"/>
  <c r="U79" i="1"/>
  <c r="V79" i="1"/>
  <c r="W79" i="1"/>
  <c r="X79" i="1"/>
  <c r="Y79" i="1"/>
  <c r="C81" i="1"/>
  <c r="E81" i="1"/>
  <c r="F81" i="1"/>
  <c r="H81" i="1"/>
  <c r="I81" i="1"/>
  <c r="J81" i="1"/>
  <c r="M81" i="1"/>
  <c r="N81" i="1"/>
  <c r="S81" i="1"/>
  <c r="U81" i="1"/>
  <c r="W81" i="1"/>
  <c r="X81" i="1"/>
  <c r="Y81" i="1"/>
  <c r="C82" i="1"/>
  <c r="E82" i="1"/>
  <c r="F82" i="1"/>
  <c r="H82" i="1"/>
  <c r="I82" i="1"/>
  <c r="J82" i="1"/>
  <c r="K82" i="1"/>
  <c r="L82" i="1"/>
  <c r="M82" i="1"/>
  <c r="N82" i="1"/>
  <c r="P82" i="1"/>
  <c r="Q82" i="1"/>
  <c r="R82" i="1"/>
  <c r="S82" i="1"/>
  <c r="U82" i="1"/>
  <c r="V82" i="1"/>
  <c r="W82" i="1"/>
  <c r="X82" i="1"/>
  <c r="Y82" i="1"/>
  <c r="C84" i="1"/>
  <c r="D84" i="1"/>
  <c r="E84" i="1"/>
  <c r="F84" i="1"/>
  <c r="G84" i="1"/>
  <c r="H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F89" i="1"/>
  <c r="H89" i="1"/>
  <c r="I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D81" i="1"/>
  <c r="D73" i="1"/>
  <c r="W76" i="1"/>
  <c r="N69" i="1"/>
  <c r="L81" i="1"/>
  <c r="J69" i="1"/>
  <c r="F69" i="1"/>
  <c r="E120" i="2"/>
  <c r="E70" i="2"/>
  <c r="Y55" i="1"/>
  <c r="Y86" i="1" s="1"/>
  <c r="X55" i="1"/>
  <c r="X86" i="1" s="1"/>
  <c r="F122" i="2" l="1"/>
  <c r="F151" i="2"/>
  <c r="B59" i="1"/>
  <c r="O72" i="1"/>
  <c r="D71" i="2"/>
  <c r="D101" i="2"/>
  <c r="D153" i="2" s="1"/>
  <c r="H131" i="2"/>
  <c r="E98" i="2"/>
  <c r="C98" i="2" s="1"/>
  <c r="F103" i="2"/>
  <c r="D67" i="2"/>
  <c r="D119" i="2" s="1"/>
  <c r="W120" i="2"/>
  <c r="W122" i="2" s="1"/>
  <c r="W70" i="2"/>
  <c r="W104" i="2" s="1"/>
  <c r="V46" i="1" s="1"/>
  <c r="V44" i="1" s="1"/>
  <c r="D123" i="2"/>
  <c r="D161" i="2" s="1"/>
  <c r="T70" i="1"/>
  <c r="B89" i="1"/>
  <c r="V68" i="2"/>
  <c r="U68" i="2" s="1"/>
  <c r="D69" i="1"/>
  <c r="H86" i="1"/>
  <c r="G55" i="1"/>
  <c r="G86" i="1" s="1"/>
  <c r="F65" i="1"/>
  <c r="F72" i="1"/>
  <c r="J33" i="1"/>
  <c r="J45" i="1" s="1"/>
  <c r="G34" i="1"/>
  <c r="F65" i="2"/>
  <c r="M72" i="1"/>
  <c r="R65" i="1"/>
  <c r="S65" i="2"/>
  <c r="C100" i="2"/>
  <c r="P56" i="2"/>
  <c r="H72" i="1"/>
  <c r="S64" i="1"/>
  <c r="D132" i="2"/>
  <c r="P125" i="2"/>
  <c r="P141" i="2"/>
  <c r="W155" i="2"/>
  <c r="O69" i="1"/>
  <c r="I72" i="1"/>
  <c r="S108" i="2"/>
  <c r="P108" i="2" s="1"/>
  <c r="N86" i="1"/>
  <c r="C87" i="2"/>
  <c r="V64" i="1"/>
  <c r="F67" i="1"/>
  <c r="F116" i="2"/>
  <c r="F117" i="2" s="1"/>
  <c r="C96" i="2"/>
  <c r="O34" i="1"/>
  <c r="O65" i="1" s="1"/>
  <c r="B43" i="1"/>
  <c r="B74" i="1" s="1"/>
  <c r="C77" i="2"/>
  <c r="C93" i="2"/>
  <c r="C91" i="2"/>
  <c r="C89" i="2"/>
  <c r="C85" i="2"/>
  <c r="C83" i="2"/>
  <c r="C81" i="2"/>
  <c r="C79" i="2"/>
  <c r="C102" i="2"/>
  <c r="P80" i="2"/>
  <c r="P95" i="2" s="1"/>
  <c r="P103" i="2"/>
  <c r="U95" i="2"/>
  <c r="U103" i="2"/>
  <c r="G117" i="2"/>
  <c r="H111" i="2"/>
  <c r="H112" i="2"/>
  <c r="H124" i="2"/>
  <c r="C82" i="2"/>
  <c r="M117" i="2"/>
  <c r="G74" i="1"/>
  <c r="Y49" i="1"/>
  <c r="Y52" i="1" s="1"/>
  <c r="Y83" i="1" s="1"/>
  <c r="C62" i="2"/>
  <c r="C60" i="2"/>
  <c r="C58" i="2"/>
  <c r="C71" i="2"/>
  <c r="C73" i="2"/>
  <c r="C75" i="2"/>
  <c r="H103" i="2"/>
  <c r="G155" i="2"/>
  <c r="K147" i="2"/>
  <c r="M147" i="2"/>
  <c r="H140" i="2"/>
  <c r="I155" i="2"/>
  <c r="P133" i="2"/>
  <c r="P150" i="2"/>
  <c r="U114" i="2"/>
  <c r="Q67" i="1"/>
  <c r="O36" i="1"/>
  <c r="H109" i="2"/>
  <c r="H110" i="2"/>
  <c r="H113" i="2"/>
  <c r="H114" i="2"/>
  <c r="H115" i="2"/>
  <c r="F147" i="2"/>
  <c r="D116" i="2"/>
  <c r="C64" i="2"/>
  <c r="C90" i="2"/>
  <c r="C76" i="2"/>
  <c r="C59" i="2"/>
  <c r="C63" i="2"/>
  <c r="C74" i="2"/>
  <c r="G147" i="2"/>
  <c r="H118" i="2"/>
  <c r="H119" i="2"/>
  <c r="H121" i="2"/>
  <c r="H125" i="2"/>
  <c r="H126" i="2"/>
  <c r="H148" i="2"/>
  <c r="K155" i="2"/>
  <c r="M155" i="2"/>
  <c r="H149" i="2"/>
  <c r="H150" i="2"/>
  <c r="H151" i="2"/>
  <c r="P110" i="2"/>
  <c r="P111" i="2"/>
  <c r="P112" i="2"/>
  <c r="P113" i="2"/>
  <c r="T117" i="2"/>
  <c r="T147" i="2"/>
  <c r="P124" i="2"/>
  <c r="P126" i="2"/>
  <c r="P127" i="2"/>
  <c r="P128" i="2"/>
  <c r="P129" i="2"/>
  <c r="P130" i="2"/>
  <c r="P131" i="2"/>
  <c r="P145" i="2"/>
  <c r="P137" i="2"/>
  <c r="Q155" i="2"/>
  <c r="S155" i="2"/>
  <c r="P149" i="2"/>
  <c r="P151" i="2"/>
  <c r="P152" i="2"/>
  <c r="P154" i="2"/>
  <c r="P119" i="2"/>
  <c r="P121" i="2"/>
  <c r="V117" i="2"/>
  <c r="X117" i="2"/>
  <c r="U109" i="2"/>
  <c r="U110" i="2"/>
  <c r="U111" i="2"/>
  <c r="U115" i="2"/>
  <c r="U113" i="2"/>
  <c r="U119" i="2"/>
  <c r="U121" i="2"/>
  <c r="X147" i="2"/>
  <c r="U125" i="2"/>
  <c r="U126" i="2"/>
  <c r="U145" i="2"/>
  <c r="U143" i="2"/>
  <c r="U141" i="2"/>
  <c r="U139" i="2"/>
  <c r="U137" i="2"/>
  <c r="U135" i="2"/>
  <c r="U133" i="2"/>
  <c r="U131" i="2"/>
  <c r="U129" i="2"/>
  <c r="U127" i="2"/>
  <c r="U148" i="2"/>
  <c r="X155" i="2"/>
  <c r="U149" i="2"/>
  <c r="U150" i="2"/>
  <c r="U154" i="2"/>
  <c r="U152" i="2"/>
  <c r="I70" i="1"/>
  <c r="S68" i="2"/>
  <c r="B58" i="1"/>
  <c r="B23" i="3" s="1"/>
  <c r="G39" i="1"/>
  <c r="U65" i="2"/>
  <c r="E147" i="2"/>
  <c r="H144" i="2"/>
  <c r="H136" i="2"/>
  <c r="H128" i="2"/>
  <c r="H153" i="2"/>
  <c r="O155" i="2"/>
  <c r="O147" i="2"/>
  <c r="O117" i="2"/>
  <c r="P143" i="2"/>
  <c r="Q147" i="2"/>
  <c r="P139" i="2"/>
  <c r="P135" i="2"/>
  <c r="U116" i="2"/>
  <c r="U112" i="2"/>
  <c r="X122" i="2"/>
  <c r="C69" i="2"/>
  <c r="T70" i="2"/>
  <c r="W117" i="2"/>
  <c r="C88" i="2"/>
  <c r="C86" i="2"/>
  <c r="C84" i="2"/>
  <c r="G78" i="1"/>
  <c r="B47" i="1"/>
  <c r="B78" i="1" s="1"/>
  <c r="L65" i="1"/>
  <c r="L33" i="1"/>
  <c r="L64" i="1" s="1"/>
  <c r="O70" i="1"/>
  <c r="B37" i="1"/>
  <c r="B68" i="1" s="1"/>
  <c r="H116" i="2"/>
  <c r="E122" i="2"/>
  <c r="N67" i="1"/>
  <c r="F70" i="2"/>
  <c r="H65" i="2"/>
  <c r="C61" i="2"/>
  <c r="C57" i="2"/>
  <c r="C72" i="2"/>
  <c r="C78" i="2"/>
  <c r="C94" i="2"/>
  <c r="C92" i="2"/>
  <c r="C97" i="2"/>
  <c r="U108" i="2"/>
  <c r="P148" i="2"/>
  <c r="B42" i="1"/>
  <c r="B73" i="1" s="1"/>
  <c r="O73" i="1"/>
  <c r="X104" i="2"/>
  <c r="W46" i="1" s="1"/>
  <c r="W77" i="1" s="1"/>
  <c r="N117" i="2"/>
  <c r="H108" i="2"/>
  <c r="H146" i="2"/>
  <c r="H145" i="2"/>
  <c r="H143" i="2"/>
  <c r="H142" i="2"/>
  <c r="H141" i="2"/>
  <c r="H139" i="2"/>
  <c r="H138" i="2"/>
  <c r="H137" i="2"/>
  <c r="H135" i="2"/>
  <c r="H134" i="2"/>
  <c r="H133" i="2"/>
  <c r="H130" i="2"/>
  <c r="H129" i="2"/>
  <c r="N147" i="2"/>
  <c r="L147" i="2"/>
  <c r="J147" i="2"/>
  <c r="H127" i="2"/>
  <c r="H154" i="2"/>
  <c r="N155" i="2"/>
  <c r="L155" i="2"/>
  <c r="H152" i="2"/>
  <c r="J155" i="2"/>
  <c r="R117" i="2"/>
  <c r="Q117" i="2"/>
  <c r="P109" i="2"/>
  <c r="P116" i="2"/>
  <c r="P115" i="2"/>
  <c r="P114" i="2"/>
  <c r="R147" i="2"/>
  <c r="P123" i="2"/>
  <c r="P161" i="2" s="1"/>
  <c r="P146" i="2"/>
  <c r="P144" i="2"/>
  <c r="P142" i="2"/>
  <c r="S147" i="2"/>
  <c r="P140" i="2"/>
  <c r="P138" i="2"/>
  <c r="P136" i="2"/>
  <c r="P134" i="2"/>
  <c r="P132" i="2"/>
  <c r="T155" i="2"/>
  <c r="R155" i="2"/>
  <c r="P153" i="2"/>
  <c r="P118" i="2"/>
  <c r="U118" i="2"/>
  <c r="V147" i="2"/>
  <c r="U123" i="2"/>
  <c r="U161" i="2" s="1"/>
  <c r="U124" i="2"/>
  <c r="W147" i="2"/>
  <c r="U146" i="2"/>
  <c r="U144" i="2"/>
  <c r="N33" i="1"/>
  <c r="N45" i="1" s="1"/>
  <c r="N65" i="1"/>
  <c r="U142" i="2"/>
  <c r="U140" i="2"/>
  <c r="U138" i="2"/>
  <c r="U136" i="2"/>
  <c r="U134" i="2"/>
  <c r="U132" i="2"/>
  <c r="U130" i="2"/>
  <c r="U128" i="2"/>
  <c r="U153" i="2"/>
  <c r="U151" i="2"/>
  <c r="L68" i="2"/>
  <c r="B48" i="1"/>
  <c r="B79" i="1" s="1"/>
  <c r="B51" i="1"/>
  <c r="B82" i="1" s="1"/>
  <c r="B50" i="1"/>
  <c r="B81" i="1" s="1"/>
  <c r="C66" i="2"/>
  <c r="V155" i="2"/>
  <c r="M33" i="1"/>
  <c r="H123" i="2"/>
  <c r="H161" i="2" s="1"/>
  <c r="E72" i="1"/>
  <c r="D151" i="2"/>
  <c r="C99" i="2"/>
  <c r="E108" i="2"/>
  <c r="E65" i="2"/>
  <c r="H65" i="1"/>
  <c r="P65" i="1"/>
  <c r="P33" i="1"/>
  <c r="Q68" i="2" s="1"/>
  <c r="Q33" i="1"/>
  <c r="R68" i="2" s="1"/>
  <c r="Q65" i="1"/>
  <c r="X49" i="1"/>
  <c r="I86" i="1"/>
  <c r="K65" i="1"/>
  <c r="U64" i="1"/>
  <c r="O55" i="1"/>
  <c r="P86" i="1"/>
  <c r="T35" i="1"/>
  <c r="B35" i="1" s="1"/>
  <c r="W34" i="1"/>
  <c r="W66" i="1"/>
  <c r="C66" i="1"/>
  <c r="C34" i="1"/>
  <c r="B53" i="1" l="1"/>
  <c r="B84" i="1" s="1"/>
  <c r="G70" i="1"/>
  <c r="B39" i="1"/>
  <c r="D56" i="2"/>
  <c r="F155" i="2"/>
  <c r="F156" i="2" s="1"/>
  <c r="U70" i="2"/>
  <c r="U104" i="2" s="1"/>
  <c r="K68" i="2"/>
  <c r="K70" i="2" s="1"/>
  <c r="E103" i="2"/>
  <c r="E104" i="2" s="1"/>
  <c r="D46" i="1" s="1"/>
  <c r="E150" i="2"/>
  <c r="C150" i="2" s="1"/>
  <c r="C101" i="2"/>
  <c r="C103" i="2" s="1"/>
  <c r="D103" i="2"/>
  <c r="O67" i="1"/>
  <c r="B36" i="1"/>
  <c r="B67" i="1" s="1"/>
  <c r="C67" i="2"/>
  <c r="M68" i="2"/>
  <c r="M120" i="2" s="1"/>
  <c r="M122" i="2" s="1"/>
  <c r="M156" i="2" s="1"/>
  <c r="D147" i="2"/>
  <c r="Y80" i="1"/>
  <c r="V120" i="2"/>
  <c r="V122" i="2" s="1"/>
  <c r="V156" i="2" s="1"/>
  <c r="V70" i="2"/>
  <c r="P65" i="2"/>
  <c r="S117" i="2"/>
  <c r="Y54" i="1"/>
  <c r="Y56" i="1" s="1"/>
  <c r="Y87" i="1" s="1"/>
  <c r="Y90" i="1" s="1"/>
  <c r="V104" i="2"/>
  <c r="U46" i="1" s="1"/>
  <c r="U44" i="1" s="1"/>
  <c r="U120" i="2"/>
  <c r="U122" i="2" s="1"/>
  <c r="D95" i="2"/>
  <c r="T45" i="1"/>
  <c r="T76" i="1" s="1"/>
  <c r="U76" i="1"/>
  <c r="J64" i="1"/>
  <c r="B38" i="1"/>
  <c r="B69" i="1" s="1"/>
  <c r="D33" i="1"/>
  <c r="D64" i="1" s="1"/>
  <c r="C109" i="2"/>
  <c r="C141" i="2"/>
  <c r="C124" i="2"/>
  <c r="C114" i="2"/>
  <c r="C127" i="2"/>
  <c r="C148" i="2"/>
  <c r="H33" i="1"/>
  <c r="I120" i="2" s="1"/>
  <c r="O120" i="2"/>
  <c r="O122" i="2" s="1"/>
  <c r="O156" i="2" s="1"/>
  <c r="W156" i="2"/>
  <c r="C115" i="2"/>
  <c r="C154" i="2"/>
  <c r="C133" i="2"/>
  <c r="C135" i="2"/>
  <c r="C143" i="2"/>
  <c r="G41" i="1"/>
  <c r="B41" i="1" s="1"/>
  <c r="B57" i="1" s="1"/>
  <c r="I33" i="1"/>
  <c r="J70" i="2" s="1"/>
  <c r="J104" i="2" s="1"/>
  <c r="O33" i="1"/>
  <c r="O64" i="1" s="1"/>
  <c r="T104" i="2"/>
  <c r="S46" i="1" s="1"/>
  <c r="X156" i="2"/>
  <c r="X158" i="2" s="1"/>
  <c r="I132" i="2"/>
  <c r="H80" i="2"/>
  <c r="C80" i="2" s="1"/>
  <c r="I95" i="2"/>
  <c r="C149" i="2"/>
  <c r="C111" i="2"/>
  <c r="C126" i="2"/>
  <c r="N76" i="1"/>
  <c r="C128" i="2"/>
  <c r="C152" i="2"/>
  <c r="C129" i="2"/>
  <c r="C137" i="2"/>
  <c r="C145" i="2"/>
  <c r="H117" i="2"/>
  <c r="U117" i="2"/>
  <c r="B55" i="1"/>
  <c r="B86" i="1" s="1"/>
  <c r="B7" i="3"/>
  <c r="B6" i="3" s="1"/>
  <c r="F104" i="2"/>
  <c r="E46" i="1" s="1"/>
  <c r="C125" i="2"/>
  <c r="N64" i="1"/>
  <c r="T120" i="2"/>
  <c r="T122" i="2" s="1"/>
  <c r="T156" i="2" s="1"/>
  <c r="C119" i="2"/>
  <c r="C112" i="2"/>
  <c r="C121" i="2"/>
  <c r="C113" i="2"/>
  <c r="C110" i="2"/>
  <c r="W44" i="1"/>
  <c r="W75" i="1" s="1"/>
  <c r="C118" i="2"/>
  <c r="C116" i="2"/>
  <c r="C131" i="2"/>
  <c r="C139" i="2"/>
  <c r="S70" i="2"/>
  <c r="S120" i="2"/>
  <c r="S122" i="2" s="1"/>
  <c r="U155" i="2"/>
  <c r="C134" i="2"/>
  <c r="V77" i="1"/>
  <c r="C136" i="2"/>
  <c r="C140" i="2"/>
  <c r="R120" i="2"/>
  <c r="R122" i="2" s="1"/>
  <c r="R156" i="2" s="1"/>
  <c r="R70" i="2"/>
  <c r="R104" i="2" s="1"/>
  <c r="Q46" i="1" s="1"/>
  <c r="Q77" i="1" s="1"/>
  <c r="Q120" i="2"/>
  <c r="P68" i="2"/>
  <c r="P70" i="2" s="1"/>
  <c r="Q70" i="2"/>
  <c r="Q104" i="2" s="1"/>
  <c r="P46" i="1" s="1"/>
  <c r="L120" i="2"/>
  <c r="L122" i="2" s="1"/>
  <c r="L156" i="2" s="1"/>
  <c r="L70" i="2"/>
  <c r="L104" i="2" s="1"/>
  <c r="K46" i="1" s="1"/>
  <c r="U147" i="2"/>
  <c r="C142" i="2"/>
  <c r="C123" i="2"/>
  <c r="C161" i="2" s="1"/>
  <c r="M64" i="1"/>
  <c r="C153" i="2"/>
  <c r="C144" i="2"/>
  <c r="P147" i="2"/>
  <c r="P117" i="2"/>
  <c r="H155" i="2"/>
  <c r="C130" i="2"/>
  <c r="C138" i="2"/>
  <c r="C146" i="2"/>
  <c r="P155" i="2"/>
  <c r="E117" i="2"/>
  <c r="C151" i="2"/>
  <c r="D155" i="2"/>
  <c r="V75" i="1"/>
  <c r="V49" i="1"/>
  <c r="W33" i="1"/>
  <c r="W65" i="1"/>
  <c r="T34" i="1"/>
  <c r="B34" i="1" s="1"/>
  <c r="Q45" i="1"/>
  <c r="Q64" i="1"/>
  <c r="P64" i="1"/>
  <c r="P45" i="1"/>
  <c r="C33" i="1"/>
  <c r="C65" i="1"/>
  <c r="T66" i="1"/>
  <c r="B66" i="1"/>
  <c r="O86" i="1"/>
  <c r="X52" i="1"/>
  <c r="X80" i="1"/>
  <c r="B28" i="1"/>
  <c r="G65" i="1"/>
  <c r="D108" i="2" l="1"/>
  <c r="D65" i="2"/>
  <c r="K120" i="2"/>
  <c r="K122" i="2" s="1"/>
  <c r="K156" i="2" s="1"/>
  <c r="K159" i="2" s="1"/>
  <c r="C56" i="2"/>
  <c r="C65" i="2" s="1"/>
  <c r="M159" i="2"/>
  <c r="G45" i="1"/>
  <c r="G76" i="1" s="1"/>
  <c r="J76" i="1"/>
  <c r="K104" i="2"/>
  <c r="J46" i="1" s="1"/>
  <c r="E155" i="2"/>
  <c r="E156" i="2" s="1"/>
  <c r="M70" i="2"/>
  <c r="M104" i="2" s="1"/>
  <c r="L46" i="1" s="1"/>
  <c r="L77" i="1" s="1"/>
  <c r="M158" i="2" s="1"/>
  <c r="E76" i="1"/>
  <c r="E64" i="1"/>
  <c r="P104" i="2"/>
  <c r="Y85" i="1"/>
  <c r="T46" i="1"/>
  <c r="T77" i="1" s="1"/>
  <c r="S156" i="2"/>
  <c r="U77" i="1"/>
  <c r="V158" i="2" s="1"/>
  <c r="G33" i="1"/>
  <c r="G64" i="1" s="1"/>
  <c r="F64" i="1"/>
  <c r="F45" i="1"/>
  <c r="G68" i="2"/>
  <c r="B70" i="1"/>
  <c r="E44" i="1"/>
  <c r="E75" i="1" s="1"/>
  <c r="W158" i="2"/>
  <c r="S104" i="2"/>
  <c r="R46" i="1" s="1"/>
  <c r="I70" i="2"/>
  <c r="I104" i="2" s="1"/>
  <c r="H46" i="1" s="1"/>
  <c r="H64" i="1"/>
  <c r="O70" i="2"/>
  <c r="O104" i="2" s="1"/>
  <c r="N46" i="1" s="1"/>
  <c r="N77" i="1" s="1"/>
  <c r="O158" i="2" s="1"/>
  <c r="I46" i="1"/>
  <c r="I44" i="1" s="1"/>
  <c r="I75" i="1" s="1"/>
  <c r="I64" i="1"/>
  <c r="G72" i="1"/>
  <c r="J122" i="2"/>
  <c r="J156" i="2" s="1"/>
  <c r="S77" i="1"/>
  <c r="T158" i="2" s="1"/>
  <c r="S44" i="1"/>
  <c r="H95" i="2"/>
  <c r="C95" i="2"/>
  <c r="I147" i="2"/>
  <c r="H132" i="2"/>
  <c r="E77" i="1"/>
  <c r="F158" i="2" s="1"/>
  <c r="U156" i="2"/>
  <c r="R158" i="2"/>
  <c r="N70" i="2"/>
  <c r="N104" i="2" s="1"/>
  <c r="M46" i="1" s="1"/>
  <c r="M44" i="1" s="1"/>
  <c r="N120" i="2"/>
  <c r="N122" i="2" s="1"/>
  <c r="N156" i="2" s="1"/>
  <c r="H68" i="2"/>
  <c r="I122" i="2"/>
  <c r="K77" i="1"/>
  <c r="L158" i="2" s="1"/>
  <c r="K44" i="1"/>
  <c r="U75" i="1"/>
  <c r="U49" i="1"/>
  <c r="B19" i="3"/>
  <c r="B18" i="3" s="1"/>
  <c r="P77" i="1"/>
  <c r="P120" i="2"/>
  <c r="P122" i="2" s="1"/>
  <c r="P156" i="2" s="1"/>
  <c r="Q122" i="2"/>
  <c r="Q156" i="2" s="1"/>
  <c r="C155" i="2"/>
  <c r="V52" i="1"/>
  <c r="V80" i="1"/>
  <c r="D77" i="1"/>
  <c r="D44" i="1"/>
  <c r="C64" i="1"/>
  <c r="P76" i="1"/>
  <c r="O45" i="1"/>
  <c r="P44" i="1"/>
  <c r="Q76" i="1"/>
  <c r="Q44" i="1"/>
  <c r="X54" i="1"/>
  <c r="X83" i="1"/>
  <c r="T33" i="1"/>
  <c r="T65" i="1"/>
  <c r="W64" i="1"/>
  <c r="W49" i="1"/>
  <c r="D117" i="2" l="1"/>
  <c r="C108" i="2"/>
  <c r="C117" i="2" s="1"/>
  <c r="E158" i="2"/>
  <c r="L44" i="1"/>
  <c r="L75" i="1" s="1"/>
  <c r="D68" i="2"/>
  <c r="B33" i="1"/>
  <c r="J77" i="1"/>
  <c r="K158" i="2" s="1"/>
  <c r="J44" i="1"/>
  <c r="J49" i="1" s="1"/>
  <c r="F76" i="1"/>
  <c r="C45" i="1"/>
  <c r="T44" i="1"/>
  <c r="T75" i="1" s="1"/>
  <c r="E49" i="1"/>
  <c r="E52" i="1" s="1"/>
  <c r="G70" i="2"/>
  <c r="G104" i="2" s="1"/>
  <c r="F46" i="1" s="1"/>
  <c r="G120" i="2"/>
  <c r="G122" i="2" s="1"/>
  <c r="G156" i="2" s="1"/>
  <c r="B72" i="1"/>
  <c r="H77" i="1"/>
  <c r="H44" i="1"/>
  <c r="H49" i="1" s="1"/>
  <c r="R44" i="1"/>
  <c r="R75" i="1" s="1"/>
  <c r="R77" i="1"/>
  <c r="S158" i="2" s="1"/>
  <c r="O46" i="1"/>
  <c r="O77" i="1" s="1"/>
  <c r="P158" i="2" s="1"/>
  <c r="U158" i="2"/>
  <c r="M49" i="1"/>
  <c r="M75" i="1"/>
  <c r="I156" i="2"/>
  <c r="I158" i="2" s="1"/>
  <c r="G46" i="1"/>
  <c r="G44" i="1" s="1"/>
  <c r="I49" i="1"/>
  <c r="I52" i="1" s="1"/>
  <c r="I77" i="1"/>
  <c r="J158" i="2" s="1"/>
  <c r="S75" i="1"/>
  <c r="S49" i="1"/>
  <c r="C132" i="2"/>
  <c r="H147" i="2"/>
  <c r="C147" i="2" s="1"/>
  <c r="N44" i="1"/>
  <c r="N49" i="1" s="1"/>
  <c r="N52" i="1" s="1"/>
  <c r="Q158" i="2"/>
  <c r="J75" i="1"/>
  <c r="U80" i="1"/>
  <c r="U52" i="1"/>
  <c r="K49" i="1"/>
  <c r="K75" i="1"/>
  <c r="H120" i="2"/>
  <c r="H122" i="2" s="1"/>
  <c r="H70" i="2"/>
  <c r="H104" i="2" s="1"/>
  <c r="M77" i="1"/>
  <c r="N158" i="2" s="1"/>
  <c r="V83" i="1"/>
  <c r="V54" i="1"/>
  <c r="D75" i="1"/>
  <c r="D49" i="1"/>
  <c r="W52" i="1"/>
  <c r="W80" i="1"/>
  <c r="T64" i="1"/>
  <c r="T49" i="1"/>
  <c r="X85" i="1"/>
  <c r="X56" i="1"/>
  <c r="X87" i="1" s="1"/>
  <c r="X90" i="1" s="1"/>
  <c r="O76" i="1"/>
  <c r="B65" i="1"/>
  <c r="Q75" i="1"/>
  <c r="Q49" i="1"/>
  <c r="P75" i="1"/>
  <c r="P49" i="1"/>
  <c r="L49" i="1" l="1"/>
  <c r="L52" i="1" s="1"/>
  <c r="E80" i="1"/>
  <c r="F77" i="1"/>
  <c r="G158" i="2" s="1"/>
  <c r="F44" i="1"/>
  <c r="H75" i="1"/>
  <c r="R49" i="1"/>
  <c r="R80" i="1" s="1"/>
  <c r="H156" i="2"/>
  <c r="G77" i="1"/>
  <c r="O44" i="1"/>
  <c r="O49" i="1" s="1"/>
  <c r="N80" i="1"/>
  <c r="I80" i="1"/>
  <c r="I54" i="1"/>
  <c r="I85" i="1" s="1"/>
  <c r="I83" i="1"/>
  <c r="S80" i="1"/>
  <c r="S52" i="1"/>
  <c r="N75" i="1"/>
  <c r="J52" i="1"/>
  <c r="J80" i="1"/>
  <c r="U83" i="1"/>
  <c r="U54" i="1"/>
  <c r="H80" i="1"/>
  <c r="H52" i="1"/>
  <c r="E83" i="1"/>
  <c r="E54" i="1"/>
  <c r="L80" i="1"/>
  <c r="G75" i="1"/>
  <c r="G49" i="1"/>
  <c r="D70" i="2"/>
  <c r="D104" i="2" s="1"/>
  <c r="C46" i="1" s="1"/>
  <c r="C68" i="2"/>
  <c r="C70" i="2" s="1"/>
  <c r="C104" i="2" s="1"/>
  <c r="D120" i="2"/>
  <c r="K80" i="1"/>
  <c r="K52" i="1"/>
  <c r="D52" i="1"/>
  <c r="D80" i="1"/>
  <c r="V85" i="1"/>
  <c r="V56" i="1"/>
  <c r="V87" i="1" s="1"/>
  <c r="V90" i="1" s="1"/>
  <c r="P52" i="1"/>
  <c r="P80" i="1"/>
  <c r="Q52" i="1"/>
  <c r="Q80" i="1"/>
  <c r="B64" i="1"/>
  <c r="C76" i="1"/>
  <c r="T52" i="1"/>
  <c r="T80" i="1"/>
  <c r="N83" i="1"/>
  <c r="N54" i="1"/>
  <c r="B45" i="1"/>
  <c r="B12" i="3" s="1"/>
  <c r="B11" i="3" s="1"/>
  <c r="B21" i="3" s="1"/>
  <c r="B24" i="3" s="1"/>
  <c r="W83" i="1"/>
  <c r="W54" i="1"/>
  <c r="O75" i="1" l="1"/>
  <c r="H158" i="2"/>
  <c r="C44" i="1"/>
  <c r="F49" i="1"/>
  <c r="F75" i="1"/>
  <c r="R52" i="1"/>
  <c r="R54" i="1" s="1"/>
  <c r="I56" i="1"/>
  <c r="I87" i="1" s="1"/>
  <c r="I90" i="1" s="1"/>
  <c r="S83" i="1"/>
  <c r="S54" i="1"/>
  <c r="J83" i="1"/>
  <c r="J54" i="1"/>
  <c r="G52" i="1"/>
  <c r="G80" i="1"/>
  <c r="L54" i="1"/>
  <c r="L83" i="1"/>
  <c r="E85" i="1"/>
  <c r="E56" i="1"/>
  <c r="H83" i="1"/>
  <c r="H54" i="1"/>
  <c r="U85" i="1"/>
  <c r="U56" i="1"/>
  <c r="U87" i="1" s="1"/>
  <c r="U90" i="1" s="1"/>
  <c r="M80" i="1"/>
  <c r="M52" i="1"/>
  <c r="K54" i="1"/>
  <c r="K83" i="1"/>
  <c r="D122" i="2"/>
  <c r="D156" i="2" s="1"/>
  <c r="C120" i="2"/>
  <c r="C122" i="2" s="1"/>
  <c r="C156" i="2" s="1"/>
  <c r="C77" i="1"/>
  <c r="D54" i="1"/>
  <c r="D83" i="1"/>
  <c r="N85" i="1"/>
  <c r="N56" i="1"/>
  <c r="N87" i="1" s="1"/>
  <c r="N90" i="1" s="1"/>
  <c r="O52" i="1"/>
  <c r="O80" i="1"/>
  <c r="W56" i="1"/>
  <c r="W87" i="1" s="1"/>
  <c r="W90" i="1" s="1"/>
  <c r="W85" i="1"/>
  <c r="B76" i="1"/>
  <c r="T54" i="1"/>
  <c r="T83" i="1"/>
  <c r="Q83" i="1"/>
  <c r="Q54" i="1"/>
  <c r="P54" i="1"/>
  <c r="P83" i="1"/>
  <c r="E87" i="1" l="1"/>
  <c r="E90" i="1" s="1"/>
  <c r="E92" i="1" s="1"/>
  <c r="R83" i="1"/>
  <c r="D158" i="2"/>
  <c r="C75" i="1"/>
  <c r="C49" i="1"/>
  <c r="C80" i="1" s="1"/>
  <c r="B46" i="1"/>
  <c r="B77" i="1" s="1"/>
  <c r="C158" i="2" s="1"/>
  <c r="F80" i="1"/>
  <c r="F52" i="1"/>
  <c r="F54" i="1" s="1"/>
  <c r="S85" i="1"/>
  <c r="S56" i="1"/>
  <c r="S87" i="1" s="1"/>
  <c r="S90" i="1" s="1"/>
  <c r="R56" i="1"/>
  <c r="R87" i="1" s="1"/>
  <c r="R90" i="1" s="1"/>
  <c r="R85" i="1"/>
  <c r="J85" i="1"/>
  <c r="J56" i="1"/>
  <c r="J87" i="1" s="1"/>
  <c r="J92" i="1" s="1"/>
  <c r="K56" i="1"/>
  <c r="K87" i="1" s="1"/>
  <c r="K90" i="1" s="1"/>
  <c r="K85" i="1"/>
  <c r="L56" i="1"/>
  <c r="L87" i="1" s="1"/>
  <c r="L85" i="1"/>
  <c r="G83" i="1"/>
  <c r="G54" i="1"/>
  <c r="M54" i="1"/>
  <c r="M83" i="1"/>
  <c r="H85" i="1"/>
  <c r="H56" i="1"/>
  <c r="H87" i="1" s="1"/>
  <c r="H90" i="1" s="1"/>
  <c r="D56" i="1"/>
  <c r="D87" i="1" s="1"/>
  <c r="D90" i="1" s="1"/>
  <c r="D85" i="1"/>
  <c r="Q85" i="1"/>
  <c r="Q56" i="1"/>
  <c r="Q87" i="1" s="1"/>
  <c r="Q90" i="1" s="1"/>
  <c r="C52" i="1"/>
  <c r="P85" i="1"/>
  <c r="P56" i="1"/>
  <c r="P87" i="1" s="1"/>
  <c r="P90" i="1" s="1"/>
  <c r="T85" i="1"/>
  <c r="T56" i="1"/>
  <c r="T87" i="1" s="1"/>
  <c r="T90" i="1" s="1"/>
  <c r="O54" i="1"/>
  <c r="O83" i="1"/>
  <c r="L92" i="1" l="1"/>
  <c r="L90" i="1"/>
  <c r="B44" i="1"/>
  <c r="F83" i="1"/>
  <c r="J90" i="1"/>
  <c r="M85" i="1"/>
  <c r="M56" i="1"/>
  <c r="M87" i="1" s="1"/>
  <c r="M90" i="1" s="1"/>
  <c r="G85" i="1"/>
  <c r="G56" i="1"/>
  <c r="G87" i="1" s="1"/>
  <c r="G90" i="1" s="1"/>
  <c r="C54" i="1"/>
  <c r="C83" i="1"/>
  <c r="O56" i="1"/>
  <c r="O87" i="1" s="1"/>
  <c r="O90" i="1" s="1"/>
  <c r="O85" i="1"/>
  <c r="B75" i="1" l="1"/>
  <c r="B49" i="1"/>
  <c r="B52" i="1" s="1"/>
  <c r="B54" i="1" s="1"/>
  <c r="F56" i="1"/>
  <c r="F87" i="1" s="1"/>
  <c r="F90" i="1" s="1"/>
  <c r="F85" i="1"/>
  <c r="C56" i="1"/>
  <c r="C87" i="1" s="1"/>
  <c r="C90" i="1" s="1"/>
  <c r="C85" i="1"/>
  <c r="B83" i="1" l="1"/>
  <c r="B80" i="1"/>
  <c r="B85" i="1"/>
  <c r="B56" i="1"/>
  <c r="B87" i="1" l="1"/>
  <c r="B90" i="1" s="1"/>
  <c r="B25" i="3" s="1"/>
</calcChain>
</file>

<file path=xl/comments1.xml><?xml version="1.0" encoding="utf-8"?>
<comments xmlns="http://schemas.openxmlformats.org/spreadsheetml/2006/main">
  <authors>
    <author>黄奕馨</author>
  </authors>
  <commentList>
    <comment ref="C35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经纪业务去年考核收入中调出20.24、德盛期货153.76万元。</t>
        </r>
      </text>
    </commen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曙光已考核收入-20.45，期货IB95.70、多收客户佣金-109.48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经纪业务部调入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中小企业融资部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5个项目由股权部承做万元、1个项目为债券部调入12万、1个为证投收入140万。分惠和128万元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转融资、拆借、债券计息</t>
        </r>
      </text>
    </comment>
    <comment ref="E38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转融资利息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拆借利率</t>
        </r>
      </text>
    </comment>
    <comment ref="C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申万菱信-180.75、融通资本49.30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诺德量化308万</t>
        </r>
      </text>
    </comment>
    <comment ref="E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诺德基金308.23+金融工程66号分成23.39+风睿3号量化91.69万</t>
        </r>
      </text>
    </comment>
    <comment ref="F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永州交建投1599.89、定增项目4820.64/+15588</t>
        </r>
      </text>
    </comment>
    <comment ref="H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往年分销362.07/固收基金收益调入88.67/现金理财508.10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永州交建投调出1599.89万、航空动力/光迅科技等调出4820.64万、场外做市调出16.46万、固收基金调出88.67万、资金部调出49.30万元/金工现金管理管理调增90.5</t>
        </r>
      </text>
    </comment>
    <comment ref="M39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天津,宝盈 66号分成</t>
        </r>
      </text>
    </comment>
    <comment ref="C41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黄奕馨:申万菱信191万。融盈2号51.13万元。</t>
        </r>
      </text>
    </comment>
    <comment ref="H41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固收期货调入-22.19/金工期货调出410.13/固收现金管理分成-3.4.33.77审计调整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固收期货+22.19、金工期货-410.13、资管定增-809.64、做市分成-0.51、固收分成-13.93/申万菱信190.77</t>
        </r>
      </text>
    </comment>
    <comment ref="M41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期货445.81万</t>
        </r>
      </text>
    </comment>
  </commentList>
</comments>
</file>

<file path=xl/comments2.xml><?xml version="1.0" encoding="utf-8"?>
<comments xmlns="http://schemas.openxmlformats.org/spreadsheetml/2006/main">
  <authors>
    <author>黄奕馨</author>
  </authors>
  <commentList>
    <comment ref="S56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保荐人津贴本年由公司承担,每月4万元，4个人</t>
        </r>
      </text>
    </comment>
    <comment ref="F80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多计提渠道客户服务费1714.75万元，多计提营销活动费455.98万元。</t>
        </r>
      </text>
    </comment>
    <comment ref="H98" authorId="0" shapeId="0">
      <text>
        <r>
          <rPr>
            <b/>
            <sz val="9"/>
            <color indexed="81"/>
            <rFont val="宋体"/>
            <family val="3"/>
            <charset val="134"/>
          </rPr>
          <t>黄奕馨:</t>
        </r>
        <r>
          <rPr>
            <sz val="9"/>
            <color indexed="81"/>
            <rFont val="宋体"/>
            <family val="3"/>
            <charset val="134"/>
          </rPr>
          <t xml:space="preserve">
惠和</t>
        </r>
      </text>
    </comment>
  </commentList>
</comments>
</file>

<file path=xl/comments3.xml><?xml version="1.0" encoding="utf-8"?>
<comments xmlns="http://schemas.openxmlformats.org/spreadsheetml/2006/main">
  <authors>
    <author>ss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ss:</t>
        </r>
        <r>
          <rPr>
            <sz val="9"/>
            <color indexed="81"/>
            <rFont val="宋体"/>
            <family val="3"/>
            <charset val="134"/>
          </rPr>
          <t xml:space="preserve">
总-稳赢-融财</t>
        </r>
      </text>
    </comment>
  </commentList>
</comments>
</file>

<file path=xl/sharedStrings.xml><?xml version="1.0" encoding="utf-8"?>
<sst xmlns="http://schemas.openxmlformats.org/spreadsheetml/2006/main" count="731" uniqueCount="389">
  <si>
    <t>项目</t>
    <phoneticPr fontId="5" type="noConversion"/>
  </si>
  <si>
    <t>一、营业收入</t>
  </si>
  <si>
    <r>
      <t xml:space="preserve">   1.</t>
    </r>
    <r>
      <rPr>
        <b/>
        <sz val="10"/>
        <rFont val="宋体"/>
        <family val="3"/>
        <charset val="134"/>
      </rPr>
      <t>手续费及佣金收入</t>
    </r>
    <phoneticPr fontId="5" type="noConversion"/>
  </si>
  <si>
    <t>其中：证券经纪业务净收入</t>
  </si>
  <si>
    <t xml:space="preserve">      投资银行业务净收入</t>
    <phoneticPr fontId="5" type="noConversion"/>
  </si>
  <si>
    <t xml:space="preserve">      资产管理业务净收入</t>
    <phoneticPr fontId="5" type="noConversion"/>
  </si>
  <si>
    <r>
      <t>2.</t>
    </r>
    <r>
      <rPr>
        <b/>
        <sz val="10"/>
        <rFont val="宋体"/>
        <family val="3"/>
        <charset val="134"/>
      </rPr>
      <t>利息净收入</t>
    </r>
    <phoneticPr fontId="5" type="noConversion"/>
  </si>
  <si>
    <t>3.投资收益</t>
    <phoneticPr fontId="5" type="noConversion"/>
  </si>
  <si>
    <t>4.公允价值变动</t>
    <phoneticPr fontId="5" type="noConversion"/>
  </si>
  <si>
    <r>
      <t>5.</t>
    </r>
    <r>
      <rPr>
        <b/>
        <sz val="10"/>
        <rFont val="宋体"/>
        <family val="3"/>
        <charset val="134"/>
      </rPr>
      <t>汇兑损益</t>
    </r>
    <phoneticPr fontId="2" type="noConversion"/>
  </si>
  <si>
    <r>
      <t>6.</t>
    </r>
    <r>
      <rPr>
        <b/>
        <sz val="10"/>
        <rFont val="宋体"/>
        <family val="3"/>
        <charset val="134"/>
      </rPr>
      <t>其他业务收入</t>
    </r>
    <phoneticPr fontId="2" type="noConversion"/>
  </si>
  <si>
    <t>二、营业支出</t>
  </si>
  <si>
    <r>
      <t xml:space="preserve">   1.</t>
    </r>
    <r>
      <rPr>
        <sz val="10"/>
        <rFont val="宋体"/>
        <family val="3"/>
        <charset val="134"/>
      </rPr>
      <t>营业税金及附加</t>
    </r>
    <phoneticPr fontId="5" type="noConversion"/>
  </si>
  <si>
    <r>
      <t xml:space="preserve">   2.</t>
    </r>
    <r>
      <rPr>
        <sz val="10"/>
        <rFont val="宋体"/>
        <family val="3"/>
        <charset val="134"/>
      </rPr>
      <t>业务及管理费</t>
    </r>
    <phoneticPr fontId="5" type="noConversion"/>
  </si>
  <si>
    <r>
      <t xml:space="preserve">   3.</t>
    </r>
    <r>
      <rPr>
        <sz val="10"/>
        <rFont val="宋体"/>
        <family val="3"/>
        <charset val="134"/>
      </rPr>
      <t>资产减值损失</t>
    </r>
    <phoneticPr fontId="5" type="noConversion"/>
  </si>
  <si>
    <r>
      <t xml:space="preserve">   4.</t>
    </r>
    <r>
      <rPr>
        <sz val="10"/>
        <rFont val="宋体"/>
        <family val="3"/>
        <charset val="134"/>
      </rPr>
      <t>其它业务成本</t>
    </r>
    <phoneticPr fontId="5" type="noConversion"/>
  </si>
  <si>
    <t>三、营业利润</t>
    <phoneticPr fontId="5" type="noConversion"/>
  </si>
  <si>
    <r>
      <t xml:space="preserve">   </t>
    </r>
    <r>
      <rPr>
        <sz val="10"/>
        <rFont val="宋体"/>
        <family val="3"/>
        <charset val="134"/>
      </rPr>
      <t>加：营业外收入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</si>
  <si>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减：营业外支出</t>
    </r>
    <phoneticPr fontId="5" type="noConversion"/>
  </si>
  <si>
    <t>四、利润总额</t>
    <phoneticPr fontId="5" type="noConversion"/>
  </si>
  <si>
    <r>
      <t xml:space="preserve">  </t>
    </r>
    <r>
      <rPr>
        <sz val="10"/>
        <rFont val="宋体"/>
        <family val="3"/>
        <charset val="134"/>
      </rPr>
      <t>减：所得税费用</t>
    </r>
    <phoneticPr fontId="5" type="noConversion"/>
  </si>
  <si>
    <t>五、净利润</t>
    <phoneticPr fontId="5" type="noConversion"/>
  </si>
  <si>
    <t>综合收益</t>
    <phoneticPr fontId="2" type="noConversion"/>
  </si>
  <si>
    <t>六、综合收益总额</t>
    <phoneticPr fontId="5" type="noConversion"/>
  </si>
  <si>
    <t>资金成本</t>
    <phoneticPr fontId="5" type="noConversion"/>
  </si>
  <si>
    <t>部门考核利润</t>
    <phoneticPr fontId="5" type="noConversion"/>
  </si>
  <si>
    <t>其他</t>
    <phoneticPr fontId="5" type="noConversion"/>
  </si>
  <si>
    <t>经纪业务</t>
    <phoneticPr fontId="5" type="noConversion"/>
  </si>
  <si>
    <t>资管</t>
    <phoneticPr fontId="5" type="noConversion"/>
  </si>
  <si>
    <t>深分公司合计</t>
    <phoneticPr fontId="5" type="noConversion"/>
  </si>
  <si>
    <t>固收</t>
    <phoneticPr fontId="5" type="noConversion"/>
  </si>
  <si>
    <t>证投</t>
    <phoneticPr fontId="5" type="noConversion"/>
  </si>
  <si>
    <t>风险管理部</t>
    <phoneticPr fontId="5" type="noConversion"/>
  </si>
  <si>
    <t>深圳管理部</t>
    <phoneticPr fontId="5" type="noConversion"/>
  </si>
  <si>
    <t>金融工程部</t>
    <phoneticPr fontId="5" type="noConversion"/>
  </si>
  <si>
    <t>场外</t>
    <phoneticPr fontId="5" type="noConversion"/>
  </si>
  <si>
    <t>投资银行合计</t>
    <phoneticPr fontId="5" type="noConversion"/>
  </si>
  <si>
    <t>财务顾问</t>
    <phoneticPr fontId="5" type="noConversion"/>
  </si>
  <si>
    <t>债券融资</t>
    <phoneticPr fontId="5" type="noConversion"/>
  </si>
  <si>
    <t>股权融资</t>
    <phoneticPr fontId="5" type="noConversion"/>
  </si>
  <si>
    <t>投行总部</t>
    <phoneticPr fontId="5" type="noConversion"/>
  </si>
  <si>
    <t>浙江分公司小计</t>
    <phoneticPr fontId="5" type="noConversion"/>
  </si>
  <si>
    <t>浙分总部</t>
    <phoneticPr fontId="5" type="noConversion"/>
  </si>
  <si>
    <t>综合业务部</t>
    <phoneticPr fontId="5" type="noConversion"/>
  </si>
  <si>
    <t>网络金融部</t>
    <phoneticPr fontId="5" type="noConversion"/>
  </si>
  <si>
    <t>合计</t>
    <phoneticPr fontId="5" type="noConversion"/>
  </si>
  <si>
    <t>总部中后台</t>
    <phoneticPr fontId="5" type="noConversion"/>
  </si>
  <si>
    <t>报表数据</t>
    <phoneticPr fontId="5" type="noConversion"/>
  </si>
  <si>
    <t>类别</t>
    <phoneticPr fontId="2" type="noConversion"/>
  </si>
  <si>
    <t>项  目</t>
    <phoneticPr fontId="2" type="noConversion"/>
  </si>
  <si>
    <t>人力成本费用</t>
    <phoneticPr fontId="5" type="noConversion"/>
  </si>
  <si>
    <t>职工工资</t>
    <phoneticPr fontId="5" type="noConversion"/>
  </si>
  <si>
    <t>职工福利费</t>
    <phoneticPr fontId="5" type="noConversion"/>
  </si>
  <si>
    <t>工会经费</t>
    <phoneticPr fontId="5" type="noConversion"/>
  </si>
  <si>
    <t>社保费</t>
    <phoneticPr fontId="5" type="noConversion"/>
  </si>
  <si>
    <t>劳动补偿金</t>
    <phoneticPr fontId="5" type="noConversion"/>
  </si>
  <si>
    <t>劳动保护费</t>
    <phoneticPr fontId="5" type="noConversion"/>
  </si>
  <si>
    <t>员工误餐费</t>
    <phoneticPr fontId="5" type="noConversion"/>
  </si>
  <si>
    <t>自选福利</t>
    <phoneticPr fontId="5" type="noConversion"/>
  </si>
  <si>
    <t>奖金</t>
    <phoneticPr fontId="5" type="noConversion"/>
  </si>
  <si>
    <t>小计</t>
    <phoneticPr fontId="5" type="noConversion"/>
  </si>
  <si>
    <t>业务费用</t>
    <phoneticPr fontId="5" type="noConversion"/>
  </si>
  <si>
    <t>营销费用</t>
    <phoneticPr fontId="5" type="noConversion"/>
  </si>
  <si>
    <t>中介费用</t>
    <phoneticPr fontId="5" type="noConversion"/>
  </si>
  <si>
    <t>投保基金</t>
    <phoneticPr fontId="5" type="noConversion"/>
  </si>
  <si>
    <t>交易所会员年费</t>
    <phoneticPr fontId="5" type="noConversion"/>
  </si>
  <si>
    <t>小计</t>
    <phoneticPr fontId="5" type="noConversion"/>
  </si>
  <si>
    <t>管理费用</t>
    <phoneticPr fontId="5" type="noConversion"/>
  </si>
  <si>
    <t>业务招待费</t>
    <phoneticPr fontId="5" type="noConversion"/>
  </si>
  <si>
    <t>差旅费</t>
    <phoneticPr fontId="5" type="noConversion"/>
  </si>
  <si>
    <t>水电费</t>
    <phoneticPr fontId="5" type="noConversion"/>
  </si>
  <si>
    <t>邮电通讯费</t>
    <phoneticPr fontId="5" type="noConversion"/>
  </si>
  <si>
    <t>办公费</t>
    <phoneticPr fontId="5" type="noConversion"/>
  </si>
  <si>
    <t>低值易耗品</t>
    <phoneticPr fontId="5" type="noConversion"/>
  </si>
  <si>
    <t>职工教育费</t>
    <phoneticPr fontId="5" type="noConversion"/>
  </si>
  <si>
    <t>审计评估费</t>
    <phoneticPr fontId="5" type="noConversion"/>
  </si>
  <si>
    <t>广告宣传费</t>
    <phoneticPr fontId="5" type="noConversion"/>
  </si>
  <si>
    <t>营销活动费</t>
    <phoneticPr fontId="5" type="noConversion"/>
  </si>
  <si>
    <t>咨讯费</t>
    <phoneticPr fontId="5" type="noConversion"/>
  </si>
  <si>
    <t>安全保卫费</t>
    <phoneticPr fontId="5" type="noConversion"/>
  </si>
  <si>
    <t>会议费</t>
    <phoneticPr fontId="5" type="noConversion"/>
  </si>
  <si>
    <t>印刷费</t>
    <phoneticPr fontId="5" type="noConversion"/>
  </si>
  <si>
    <t>机动车辆运营费</t>
    <phoneticPr fontId="5" type="noConversion"/>
  </si>
  <si>
    <t>董事会费</t>
    <phoneticPr fontId="5" type="noConversion"/>
  </si>
  <si>
    <t>修理费</t>
    <phoneticPr fontId="5" type="noConversion"/>
  </si>
  <si>
    <t>报刊书籍费</t>
    <phoneticPr fontId="5" type="noConversion"/>
  </si>
  <si>
    <t>市内办公交通费</t>
    <phoneticPr fontId="5" type="noConversion"/>
  </si>
  <si>
    <t>上交管理费</t>
    <phoneticPr fontId="5" type="noConversion"/>
  </si>
  <si>
    <t>税金</t>
    <phoneticPr fontId="5" type="noConversion"/>
  </si>
  <si>
    <t>诉讼律师费</t>
    <phoneticPr fontId="5" type="noConversion"/>
  </si>
  <si>
    <t>财产保险费</t>
    <phoneticPr fontId="5" type="noConversion"/>
  </si>
  <si>
    <t>其它</t>
    <phoneticPr fontId="5" type="noConversion"/>
  </si>
  <si>
    <t>运营费用</t>
    <phoneticPr fontId="5" type="noConversion"/>
  </si>
  <si>
    <t>证券交易通讯费</t>
    <phoneticPr fontId="5" type="noConversion"/>
  </si>
  <si>
    <t>电子设备运转费</t>
    <phoneticPr fontId="5" type="noConversion"/>
  </si>
  <si>
    <t>物业租赁管理费</t>
    <phoneticPr fontId="5" type="noConversion"/>
  </si>
  <si>
    <t>折旧费</t>
    <phoneticPr fontId="5" type="noConversion"/>
  </si>
  <si>
    <t>无形资产摊销</t>
    <phoneticPr fontId="5" type="noConversion"/>
  </si>
  <si>
    <t>长期待摊费用摊销</t>
    <phoneticPr fontId="5" type="noConversion"/>
  </si>
  <si>
    <t>交易席位费摊销</t>
    <phoneticPr fontId="5" type="noConversion"/>
  </si>
  <si>
    <t>合计</t>
    <phoneticPr fontId="5" type="noConversion"/>
  </si>
  <si>
    <t>2.</t>
    <phoneticPr fontId="2" type="noConversion"/>
  </si>
  <si>
    <t>3.</t>
    <phoneticPr fontId="2" type="noConversion"/>
  </si>
  <si>
    <t>4.</t>
    <phoneticPr fontId="2" type="noConversion"/>
  </si>
  <si>
    <t>一、报表利润</t>
    <phoneticPr fontId="2" type="noConversion"/>
  </si>
  <si>
    <t>二、收入调整项目</t>
    <phoneticPr fontId="2" type="noConversion"/>
  </si>
  <si>
    <t>项目</t>
    <phoneticPr fontId="2" type="noConversion"/>
  </si>
  <si>
    <t>金额</t>
    <phoneticPr fontId="2" type="noConversion"/>
  </si>
  <si>
    <t>对应调整部门</t>
    <phoneticPr fontId="2" type="noConversion"/>
  </si>
  <si>
    <t>考核调整数据</t>
    <phoneticPr fontId="5" type="noConversion"/>
  </si>
  <si>
    <t>考核利润表</t>
    <phoneticPr fontId="5" type="noConversion"/>
  </si>
  <si>
    <t>固定收益</t>
    <phoneticPr fontId="5" type="noConversion"/>
  </si>
  <si>
    <t>证券投资</t>
    <phoneticPr fontId="5" type="noConversion"/>
  </si>
  <si>
    <t>资产管理</t>
    <phoneticPr fontId="5" type="noConversion"/>
  </si>
  <si>
    <t>验证：</t>
    <phoneticPr fontId="5" type="noConversion"/>
  </si>
  <si>
    <t>三、营业税调整项</t>
    <phoneticPr fontId="2" type="noConversion"/>
  </si>
  <si>
    <t>四、费用调整项</t>
    <phoneticPr fontId="2" type="noConversion"/>
  </si>
  <si>
    <t>五、考核利润</t>
    <phoneticPr fontId="5" type="noConversion"/>
  </si>
  <si>
    <t>资金成本</t>
    <phoneticPr fontId="2" type="noConversion"/>
  </si>
  <si>
    <t>考核利润</t>
    <phoneticPr fontId="5" type="noConversion"/>
  </si>
  <si>
    <t>考核调整事项表</t>
    <phoneticPr fontId="5" type="noConversion"/>
  </si>
  <si>
    <t>单位：元</t>
    <phoneticPr fontId="5" type="noConversion"/>
  </si>
  <si>
    <t>注：综合收益考核时按税前金额调为收入</t>
    <phoneticPr fontId="5" type="noConversion"/>
  </si>
  <si>
    <t>注：1、无对应调整部门的填为"其他"，如综合收益与跨期调整事项</t>
    <phoneticPr fontId="5" type="noConversion"/>
  </si>
  <si>
    <t xml:space="preserve">    2、跨部门调整的需提前与调整部门沟通确认，一增一减。</t>
    <phoneticPr fontId="5" type="noConversion"/>
  </si>
  <si>
    <t xml:space="preserve">    3、本表与第一张表考核利润应保持一致；</t>
    <phoneticPr fontId="2" type="noConversion"/>
  </si>
  <si>
    <t xml:space="preserve">    4、调整收入时同步调整税金及投保。</t>
    <phoneticPr fontId="2" type="noConversion"/>
  </si>
  <si>
    <r>
      <t xml:space="preserve">        </t>
    </r>
    <r>
      <rPr>
        <sz val="10"/>
        <rFont val="宋体"/>
        <family val="3"/>
        <charset val="134"/>
      </rPr>
      <t>其中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对联营企业和合营企业的投资收益</t>
    </r>
    <phoneticPr fontId="5" type="noConversion"/>
  </si>
  <si>
    <t>税前综合收益</t>
    <phoneticPr fontId="5" type="noConversion"/>
  </si>
  <si>
    <t>验证：</t>
    <phoneticPr fontId="5" type="noConversion"/>
  </si>
  <si>
    <t>金融衍生品投资</t>
  </si>
  <si>
    <t>调整后</t>
    <phoneticPr fontId="2" type="noConversion"/>
  </si>
  <si>
    <t>调整前</t>
    <phoneticPr fontId="2" type="noConversion"/>
  </si>
  <si>
    <t>人力成本费用</t>
    <phoneticPr fontId="5" type="noConversion"/>
  </si>
  <si>
    <t>职工工资</t>
    <phoneticPr fontId="5" type="noConversion"/>
  </si>
  <si>
    <t>社保费</t>
    <phoneticPr fontId="5" type="noConversion"/>
  </si>
  <si>
    <t>邮电通讯费</t>
    <phoneticPr fontId="5" type="noConversion"/>
  </si>
  <si>
    <t>低值易耗品</t>
    <phoneticPr fontId="5" type="noConversion"/>
  </si>
  <si>
    <t>审计评估费</t>
    <phoneticPr fontId="5" type="noConversion"/>
  </si>
  <si>
    <t>安全保卫费</t>
    <phoneticPr fontId="5" type="noConversion"/>
  </si>
  <si>
    <t>会议费</t>
    <phoneticPr fontId="5" type="noConversion"/>
  </si>
  <si>
    <t>税金</t>
    <phoneticPr fontId="5" type="noConversion"/>
  </si>
  <si>
    <t>财产保险费</t>
    <phoneticPr fontId="5" type="noConversion"/>
  </si>
  <si>
    <t>物业租赁管理费</t>
    <phoneticPr fontId="5" type="noConversion"/>
  </si>
  <si>
    <t>无形资产摊销</t>
    <phoneticPr fontId="5" type="noConversion"/>
  </si>
  <si>
    <t>交易席位费摊销</t>
    <phoneticPr fontId="5" type="noConversion"/>
  </si>
  <si>
    <t>小计</t>
    <phoneticPr fontId="5" type="noConversion"/>
  </si>
  <si>
    <t>合计</t>
    <phoneticPr fontId="5" type="noConversion"/>
  </si>
  <si>
    <t>验证：</t>
    <phoneticPr fontId="2" type="noConversion"/>
  </si>
  <si>
    <t xml:space="preserve">   1.手续费及佣金收入</t>
  </si>
  <si>
    <t xml:space="preserve">      投资银行业务净收入</t>
  </si>
  <si>
    <t xml:space="preserve">      资产管理业务净收入</t>
  </si>
  <si>
    <t>2.利息净收入</t>
  </si>
  <si>
    <t>3.投资收益</t>
  </si>
  <si>
    <t>外部投资收益</t>
  </si>
  <si>
    <t>4.公允价值变动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</si>
  <si>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</si>
  <si>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</si>
  <si>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</si>
  <si>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</si>
  <si>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</si>
  <si>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</si>
  <si>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>三、营业利润</t>
  </si>
  <si>
    <t xml:space="preserve">   加：营业外收入</t>
  </si>
  <si>
    <t xml:space="preserve">   减：营业外支出</t>
  </si>
  <si>
    <t>四、利润总额</t>
  </si>
  <si>
    <t xml:space="preserve">  减：所得税费用</t>
  </si>
  <si>
    <t>五、净利润</t>
  </si>
  <si>
    <t>综合收益</t>
  </si>
  <si>
    <t>六、综合收益总额</t>
  </si>
  <si>
    <t>调整数据</t>
    <phoneticPr fontId="2" type="noConversion"/>
  </si>
  <si>
    <r>
      <t>1</t>
    </r>
    <r>
      <rPr>
        <sz val="10"/>
        <rFont val="宋体"/>
        <family val="3"/>
        <charset val="134"/>
      </rPr>
      <t>、税前综合收益</t>
    </r>
    <phoneticPr fontId="2" type="noConversion"/>
  </si>
  <si>
    <t>验证：</t>
    <phoneticPr fontId="2" type="noConversion"/>
  </si>
  <si>
    <t>合计</t>
  </si>
  <si>
    <t>其他</t>
  </si>
  <si>
    <t>总部中后台</t>
  </si>
  <si>
    <t>经纪业务</t>
  </si>
  <si>
    <t>资管</t>
  </si>
  <si>
    <t>深分公司合计</t>
  </si>
  <si>
    <t>固收</t>
  </si>
  <si>
    <t>证投</t>
  </si>
  <si>
    <t>金融衍生品</t>
  </si>
  <si>
    <t>风险管理部</t>
  </si>
  <si>
    <t>深圳管理部</t>
  </si>
  <si>
    <t>金融工程部</t>
  </si>
  <si>
    <t>中小企业融资</t>
  </si>
  <si>
    <t>投资银行合计</t>
  </si>
  <si>
    <t>财务顾问</t>
  </si>
  <si>
    <t>债券融资</t>
  </si>
  <si>
    <t>股权融资</t>
  </si>
  <si>
    <t>投行总部</t>
  </si>
  <si>
    <t>浙江分公司小计</t>
  </si>
  <si>
    <t>浙分总部</t>
  </si>
  <si>
    <t>综合业务部</t>
  </si>
  <si>
    <t>网络金融部</t>
  </si>
  <si>
    <t>资产管理</t>
  </si>
  <si>
    <t>固定收益</t>
  </si>
  <si>
    <t>证券投资</t>
  </si>
  <si>
    <r>
      <t>1.</t>
    </r>
    <r>
      <rPr>
        <sz val="10"/>
        <rFont val="宋体"/>
        <family val="3"/>
        <charset val="134"/>
      </rPr>
      <t>综合收益所得税</t>
    </r>
    <phoneticPr fontId="2" type="noConversion"/>
  </si>
  <si>
    <r>
      <t>25%</t>
    </r>
    <r>
      <rPr>
        <sz val="10"/>
        <rFont val="宋体"/>
        <family val="3"/>
        <charset val="134"/>
      </rPr>
      <t>递延所得税</t>
    </r>
    <phoneticPr fontId="2" type="noConversion"/>
  </si>
  <si>
    <t>金额</t>
    <phoneticPr fontId="2" type="noConversion"/>
  </si>
  <si>
    <t>调整部门</t>
    <phoneticPr fontId="2" type="noConversion"/>
  </si>
  <si>
    <t>收入类</t>
    <phoneticPr fontId="2" type="noConversion"/>
  </si>
  <si>
    <t>1、曙光上年已考核基金收入调出</t>
  </si>
  <si>
    <t>经纪业务</t>
    <phoneticPr fontId="2" type="noConversion"/>
  </si>
  <si>
    <t>3.转融通利息调整</t>
  </si>
  <si>
    <t>5.可供项目浮盈调入</t>
  </si>
  <si>
    <t>经纪业务</t>
    <phoneticPr fontId="2" type="noConversion"/>
  </si>
  <si>
    <t>6.零售诺德财富结算</t>
  </si>
  <si>
    <t>7.IB业务收入调整</t>
  </si>
  <si>
    <t>固收期货</t>
    <phoneticPr fontId="2" type="noConversion"/>
  </si>
  <si>
    <t>金工期货</t>
    <phoneticPr fontId="2" type="noConversion"/>
  </si>
  <si>
    <t>资管永州交建投收入</t>
    <phoneticPr fontId="2" type="noConversion"/>
  </si>
  <si>
    <t>资管光讯科技、楚天科技可供浮动盈亏，</t>
    <phoneticPr fontId="2" type="noConversion"/>
  </si>
  <si>
    <t>总部融财1号</t>
    <phoneticPr fontId="2" type="noConversion"/>
  </si>
  <si>
    <t>资金运营金泽12号投资收益（已结束）</t>
    <phoneticPr fontId="2" type="noConversion"/>
  </si>
  <si>
    <t>资管航空动力、光讯科技、泰达宏利投资收益</t>
    <phoneticPr fontId="2" type="noConversion"/>
  </si>
  <si>
    <t>做市业务场外公允价值分成30%</t>
    <phoneticPr fontId="2" type="noConversion"/>
  </si>
  <si>
    <t>做市业务场外投资收益分成30%</t>
    <phoneticPr fontId="2" type="noConversion"/>
  </si>
  <si>
    <t>证投2921账户基金+委托固收现金管理*80%浮动盈亏</t>
    <phoneticPr fontId="2" type="noConversion"/>
  </si>
  <si>
    <t>证投2921账户基金+委托固收现金管理*80%投资收益</t>
    <phoneticPr fontId="2" type="noConversion"/>
  </si>
  <si>
    <t>往年分销费收回</t>
    <phoneticPr fontId="2" type="noConversion"/>
  </si>
  <si>
    <t>1资管收入（淮安投资）</t>
    <phoneticPr fontId="2" type="noConversion"/>
  </si>
  <si>
    <t>财务顾问部</t>
    <phoneticPr fontId="2" type="noConversion"/>
  </si>
  <si>
    <t>2资管收入（财富直通车5号业绩报酬）</t>
    <phoneticPr fontId="2" type="noConversion"/>
  </si>
  <si>
    <t>利息收入</t>
  </si>
  <si>
    <t>2.次级债收入</t>
  </si>
  <si>
    <t>麓谷实业私募债</t>
  </si>
  <si>
    <t>股权融资部</t>
    <phoneticPr fontId="2" type="noConversion"/>
  </si>
  <si>
    <t>2.深南中介在总部报账</t>
  </si>
  <si>
    <t>其他</t>
    <phoneticPr fontId="2" type="noConversion"/>
  </si>
  <si>
    <t>其他</t>
    <phoneticPr fontId="2" type="noConversion"/>
  </si>
  <si>
    <t>经纪业务部</t>
    <phoneticPr fontId="2" type="noConversion"/>
  </si>
  <si>
    <t>经纪业务部</t>
    <phoneticPr fontId="2" type="noConversion"/>
  </si>
  <si>
    <t>3.经纪业务折旧分摊</t>
  </si>
  <si>
    <t>4、去年奖金入账今年</t>
  </si>
  <si>
    <t>债券销售费用</t>
    <phoneticPr fontId="2" type="noConversion"/>
  </si>
  <si>
    <t>金额</t>
    <phoneticPr fontId="2" type="noConversion"/>
  </si>
  <si>
    <t>调整依据</t>
    <phoneticPr fontId="2" type="noConversion"/>
  </si>
  <si>
    <t>已考核收入调整</t>
    <phoneticPr fontId="2" type="noConversion"/>
  </si>
  <si>
    <t>单独计算资金成本，信用业务部做账部分调出</t>
    <phoneticPr fontId="2" type="noConversion"/>
  </si>
  <si>
    <t>总部中后台</t>
    <phoneticPr fontId="2" type="noConversion"/>
  </si>
  <si>
    <t>总部中后台</t>
    <phoneticPr fontId="2" type="noConversion"/>
  </si>
  <si>
    <t>经纪业务部申购诺德产品在总部帐套做账，调出</t>
    <phoneticPr fontId="2" type="noConversion"/>
  </si>
  <si>
    <t>固定收益部国债期货业务在证投部做账</t>
    <phoneticPr fontId="2" type="noConversion"/>
  </si>
  <si>
    <t>金融工程部期货业务在证投部做账</t>
    <phoneticPr fontId="2" type="noConversion"/>
  </si>
  <si>
    <t>资产管理投资业务在证投部做账</t>
    <phoneticPr fontId="2" type="noConversion"/>
  </si>
  <si>
    <t>总部投资业务在证投部做账</t>
    <phoneticPr fontId="2" type="noConversion"/>
  </si>
  <si>
    <t>考核办法，中小企业推荐做市股票与证投三七分</t>
    <phoneticPr fontId="2" type="noConversion"/>
  </si>
  <si>
    <t>部门纸质签批资料</t>
    <phoneticPr fontId="2" type="noConversion"/>
  </si>
  <si>
    <t>财政内字[2015]1514号</t>
    <phoneticPr fontId="2" type="noConversion"/>
  </si>
  <si>
    <t>财政内字[2015]1515号</t>
  </si>
  <si>
    <t>资管投行业务在财务管理部帐套</t>
    <phoneticPr fontId="2" type="noConversion"/>
  </si>
  <si>
    <t>资管投行业务在财务管理部帐套</t>
    <phoneticPr fontId="2" type="noConversion"/>
  </si>
  <si>
    <t>考核办法，代理承销款收到期间计入债券部收入</t>
    <phoneticPr fontId="2" type="noConversion"/>
  </si>
  <si>
    <t>财政内字【2015】1022号（一期）.1279号（二期）</t>
    <phoneticPr fontId="2" type="noConversion"/>
  </si>
  <si>
    <t>合计</t>
    <phoneticPr fontId="2" type="noConversion"/>
  </si>
  <si>
    <t>其他</t>
    <phoneticPr fontId="2" type="noConversion"/>
  </si>
  <si>
    <t>考核办法，根据经纪业务部与德盛期货约定办法</t>
    <phoneticPr fontId="2" type="noConversion"/>
  </si>
  <si>
    <t>帐套借用:经纪业务部借总部</t>
    <phoneticPr fontId="2" type="noConversion"/>
  </si>
  <si>
    <t>考核办法：费用分摊</t>
    <phoneticPr fontId="2" type="noConversion"/>
  </si>
  <si>
    <t>历史账务调整：去年奖金在部门报账</t>
    <phoneticPr fontId="2" type="noConversion"/>
  </si>
  <si>
    <t>帐套借用：销售费用为债券部发给固收部，调减去年部分</t>
    <phoneticPr fontId="2" type="noConversion"/>
  </si>
  <si>
    <t>帐套借用：销售费用为债券部发给固收部，调减本年部分</t>
    <phoneticPr fontId="2" type="noConversion"/>
  </si>
  <si>
    <t>考核办法：保荐人津贴由总部承担</t>
    <phoneticPr fontId="2" type="noConversion"/>
  </si>
  <si>
    <t>总部代做账，财政内字【2015】1753号</t>
    <phoneticPr fontId="2" type="noConversion"/>
  </si>
  <si>
    <t>2015年1-12月费用调整表</t>
    <phoneticPr fontId="2" type="noConversion"/>
  </si>
  <si>
    <t>2015年1-12月利润调整表</t>
    <phoneticPr fontId="5" type="noConversion"/>
  </si>
  <si>
    <t>场外泰恩康财务顾问收入、飞翼股份</t>
    <phoneticPr fontId="2" type="noConversion"/>
  </si>
  <si>
    <t>固定收益</t>
    <phoneticPr fontId="2" type="noConversion"/>
  </si>
  <si>
    <t>期末代持撮合户浮动盈亏调出</t>
  </si>
  <si>
    <t>固定收益部提出</t>
    <phoneticPr fontId="2" type="noConversion"/>
  </si>
  <si>
    <t>债券融资部</t>
    <phoneticPr fontId="2" type="noConversion"/>
  </si>
  <si>
    <t>股权融资部</t>
    <phoneticPr fontId="2" type="noConversion"/>
  </si>
  <si>
    <t>金融衍生品</t>
    <phoneticPr fontId="2" type="noConversion"/>
  </si>
  <si>
    <t>财富量化66号补足天津营业部销售费用</t>
  </si>
  <si>
    <t>金融工程部</t>
    <phoneticPr fontId="2" type="noConversion"/>
  </si>
  <si>
    <t>财政字号【2014】2038号，财富量化66号补足天津营业部销售费用</t>
    <phoneticPr fontId="2" type="noConversion"/>
  </si>
  <si>
    <t>经纪业务</t>
    <phoneticPr fontId="2" type="noConversion"/>
  </si>
  <si>
    <t>项目</t>
  </si>
  <si>
    <t>2保荐人1-12月津贴</t>
    <phoneticPr fontId="2" type="noConversion"/>
  </si>
  <si>
    <t>3瑞特精工收入</t>
    <phoneticPr fontId="2" type="noConversion"/>
  </si>
  <si>
    <r>
      <t>4</t>
    </r>
    <r>
      <rPr>
        <sz val="10"/>
        <rFont val="宋体"/>
        <family val="3"/>
        <charset val="134"/>
      </rPr>
      <t>养天和收入</t>
    </r>
    <phoneticPr fontId="2" type="noConversion"/>
  </si>
  <si>
    <t>金博科技</t>
    <phoneticPr fontId="2" type="noConversion"/>
  </si>
  <si>
    <t>岱润霖</t>
    <phoneticPr fontId="2" type="noConversion"/>
  </si>
  <si>
    <t>西藏天康国旅</t>
    <phoneticPr fontId="2" type="noConversion"/>
  </si>
  <si>
    <t>速途网络</t>
    <phoneticPr fontId="2" type="noConversion"/>
  </si>
  <si>
    <t>合作项目承揽费</t>
    <phoneticPr fontId="2" type="noConversion"/>
  </si>
  <si>
    <t>投行与场外部门合作收入分配备忘录（签字版），二八分</t>
    <phoneticPr fontId="2" type="noConversion"/>
  </si>
  <si>
    <t>财丰1号利息</t>
    <phoneticPr fontId="2" type="noConversion"/>
  </si>
  <si>
    <r>
      <t>1</t>
    </r>
    <r>
      <rPr>
        <sz val="10"/>
        <rFont val="宋体"/>
        <family val="3"/>
        <charset val="134"/>
      </rPr>
      <t>资管收入（星城4号）</t>
    </r>
    <phoneticPr fontId="2" type="noConversion"/>
  </si>
  <si>
    <r>
      <t>2</t>
    </r>
    <r>
      <rPr>
        <sz val="10"/>
        <rFont val="宋体"/>
        <family val="3"/>
        <charset val="134"/>
      </rPr>
      <t>资管收入（财富直通车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号业绩报酬）</t>
    </r>
    <phoneticPr fontId="2" type="noConversion"/>
  </si>
  <si>
    <t>合作备忘录（签字版）</t>
    <phoneticPr fontId="2" type="noConversion"/>
  </si>
  <si>
    <t>投行管理总部</t>
    <phoneticPr fontId="2" type="noConversion"/>
  </si>
  <si>
    <t>资产管理部</t>
    <phoneticPr fontId="2" type="noConversion"/>
  </si>
  <si>
    <t>资产管理部</t>
    <phoneticPr fontId="2" type="noConversion"/>
  </si>
  <si>
    <t>投顾项目佣金、业绩报酬分成</t>
    <phoneticPr fontId="2" type="noConversion"/>
  </si>
  <si>
    <t>经纪业务</t>
    <phoneticPr fontId="2" type="noConversion"/>
  </si>
  <si>
    <t>资产管理部</t>
    <phoneticPr fontId="2" type="noConversion"/>
  </si>
  <si>
    <t>考核办法，佣金及业绩报酬计入资产管理</t>
    <phoneticPr fontId="2" type="noConversion"/>
  </si>
  <si>
    <t>星城4号调整项目</t>
    <phoneticPr fontId="2" type="noConversion"/>
  </si>
  <si>
    <t>资产管理部</t>
    <phoneticPr fontId="2" type="noConversion"/>
  </si>
  <si>
    <t>其他</t>
    <phoneticPr fontId="2" type="noConversion"/>
  </si>
  <si>
    <t>跟预算同步，亏损不影响考核收入，计奖时减掉</t>
    <phoneticPr fontId="2" type="noConversion"/>
  </si>
  <si>
    <t>总部分摊费用</t>
    <phoneticPr fontId="2" type="noConversion"/>
  </si>
  <si>
    <t>总部中后台</t>
    <phoneticPr fontId="2" type="noConversion"/>
  </si>
  <si>
    <t>考核办法，分摊直接费用</t>
    <phoneticPr fontId="2" type="noConversion"/>
  </si>
  <si>
    <t>惠和投资调整事项：</t>
    <phoneticPr fontId="2" type="noConversion"/>
  </si>
  <si>
    <t>子公司；</t>
    <phoneticPr fontId="2" type="noConversion"/>
  </si>
  <si>
    <t>德盛期货</t>
    <phoneticPr fontId="2" type="noConversion"/>
  </si>
  <si>
    <t>湘信惠和</t>
    <phoneticPr fontId="5" type="noConversion"/>
  </si>
  <si>
    <t>收入</t>
    <phoneticPr fontId="2" type="noConversion"/>
  </si>
  <si>
    <t>费用</t>
    <phoneticPr fontId="2" type="noConversion"/>
  </si>
  <si>
    <t>收入</t>
    <phoneticPr fontId="2" type="noConversion"/>
  </si>
  <si>
    <r>
      <rPr>
        <sz val="10"/>
        <rFont val="Times New Roman"/>
        <family val="1"/>
      </rPr>
      <t>3.</t>
    </r>
    <r>
      <rPr>
        <sz val="10"/>
        <rFont val="宋体"/>
        <family val="3"/>
        <charset val="134"/>
      </rPr>
      <t>转融通利息调整</t>
    </r>
  </si>
  <si>
    <t>经纪业务部</t>
    <phoneticPr fontId="2" type="noConversion"/>
  </si>
  <si>
    <r>
      <t>6.</t>
    </r>
    <r>
      <rPr>
        <sz val="10"/>
        <rFont val="宋体"/>
        <family val="3"/>
        <charset val="134"/>
      </rPr>
      <t>零售诺德财富结算</t>
    </r>
    <phoneticPr fontId="5" type="noConversion"/>
  </si>
  <si>
    <r>
      <t>7.零售诺德财富结算</t>
    </r>
    <r>
      <rPr>
        <sz val="10"/>
        <rFont val="宋体"/>
        <family val="3"/>
        <charset val="134"/>
      </rPr>
      <t/>
    </r>
  </si>
  <si>
    <r>
      <t>7.IB</t>
    </r>
    <r>
      <rPr>
        <sz val="10"/>
        <rFont val="宋体"/>
        <family val="3"/>
        <charset val="134"/>
      </rPr>
      <t>业务收入调整</t>
    </r>
    <phoneticPr fontId="5" type="noConversion"/>
  </si>
  <si>
    <r>
      <t>11</t>
    </r>
    <r>
      <rPr>
        <sz val="10"/>
        <rFont val="宋体"/>
        <family val="3"/>
        <charset val="134"/>
      </rPr>
      <t>、湘信惠和约购收入分成（深南）</t>
    </r>
    <phoneticPr fontId="5" type="noConversion"/>
  </si>
  <si>
    <r>
      <t>13</t>
    </r>
    <r>
      <rPr>
        <sz val="10"/>
        <rFont val="宋体"/>
        <family val="3"/>
        <charset val="134"/>
      </rPr>
      <t>、跨区域调整（总部员工提成）</t>
    </r>
    <phoneticPr fontId="5" type="noConversion"/>
  </si>
  <si>
    <r>
      <t>14</t>
    </r>
    <r>
      <rPr>
        <sz val="10"/>
        <rFont val="宋体"/>
        <family val="3"/>
        <charset val="134"/>
      </rPr>
      <t>、多收客户佣金（红桂、深南）</t>
    </r>
    <phoneticPr fontId="5" type="noConversion"/>
  </si>
  <si>
    <t>德盛调入(正反向IB）</t>
    <phoneticPr fontId="5" type="noConversion"/>
  </si>
  <si>
    <t>惠和</t>
    <phoneticPr fontId="2" type="noConversion"/>
  </si>
  <si>
    <t>惠和投资</t>
    <phoneticPr fontId="5" type="noConversion"/>
  </si>
  <si>
    <t>飞翼股份40%</t>
    <phoneticPr fontId="5" type="noConversion"/>
  </si>
  <si>
    <t>湘信惠和约购收入分成（深南）</t>
    <phoneticPr fontId="5" type="noConversion"/>
  </si>
  <si>
    <t>费用</t>
    <phoneticPr fontId="2" type="noConversion"/>
  </si>
  <si>
    <t>代付房租</t>
    <phoneticPr fontId="2" type="noConversion"/>
  </si>
  <si>
    <t>惠和投资</t>
    <phoneticPr fontId="2" type="noConversion"/>
  </si>
  <si>
    <t>董事长工资</t>
    <phoneticPr fontId="2" type="noConversion"/>
  </si>
  <si>
    <t>新股拆借利息支出+2906回购</t>
    <phoneticPr fontId="33" type="noConversion"/>
  </si>
  <si>
    <t>资金成本、公司回购做在证投部</t>
    <phoneticPr fontId="2" type="noConversion"/>
  </si>
  <si>
    <t>经纪业务部小计</t>
  </si>
  <si>
    <t>资产管理部</t>
  </si>
  <si>
    <t>中小企业融资部</t>
  </si>
  <si>
    <t>债券融资部</t>
  </si>
  <si>
    <t>股权融资部</t>
  </si>
  <si>
    <t>股权管理总部</t>
  </si>
  <si>
    <t>财务顾问部</t>
  </si>
  <si>
    <t>深圳管理总部</t>
  </si>
  <si>
    <t>固定收益部</t>
  </si>
  <si>
    <t>金融衍生品部</t>
  </si>
  <si>
    <t>证券投资部</t>
  </si>
  <si>
    <r>
      <t>5</t>
    </r>
    <r>
      <rPr>
        <sz val="10"/>
        <rFont val="宋体"/>
        <family val="3"/>
        <charset val="134"/>
      </rPr>
      <t>、芙蓉中路代付总部黄莉工资</t>
    </r>
    <phoneticPr fontId="2" type="noConversion"/>
  </si>
  <si>
    <t>经纪业务部</t>
    <phoneticPr fontId="2" type="noConversion"/>
  </si>
  <si>
    <r>
      <t>7</t>
    </r>
    <r>
      <rPr>
        <sz val="10"/>
        <rFont val="宋体"/>
        <family val="3"/>
        <charset val="134"/>
      </rPr>
      <t>、渠道客户推广服务费多计提部分</t>
    </r>
    <phoneticPr fontId="2" type="noConversion"/>
  </si>
  <si>
    <t>经纪业务部</t>
    <phoneticPr fontId="2" type="noConversion"/>
  </si>
  <si>
    <t>其他</t>
    <phoneticPr fontId="2" type="noConversion"/>
  </si>
  <si>
    <r>
      <t>8</t>
    </r>
    <r>
      <rPr>
        <sz val="10"/>
        <rFont val="宋体"/>
        <family val="3"/>
        <charset val="134"/>
      </rPr>
      <t>、固收部门费用入运营支持部</t>
    </r>
    <phoneticPr fontId="2" type="noConversion"/>
  </si>
  <si>
    <t>固定收益部</t>
    <phoneticPr fontId="2" type="noConversion"/>
  </si>
  <si>
    <r>
      <t>9</t>
    </r>
    <r>
      <rPr>
        <sz val="10"/>
        <rFont val="宋体"/>
        <family val="3"/>
        <charset val="134"/>
      </rPr>
      <t>、湘信惠和约购收入</t>
    </r>
    <r>
      <rPr>
        <sz val="10"/>
        <rFont val="宋体"/>
        <family val="3"/>
        <charset val="134"/>
      </rPr>
      <t>提成（深南）</t>
    </r>
    <phoneticPr fontId="2" type="noConversion"/>
  </si>
  <si>
    <r>
      <t>10</t>
    </r>
    <r>
      <rPr>
        <sz val="10"/>
        <rFont val="宋体"/>
        <family val="3"/>
        <charset val="134"/>
      </rPr>
      <t>、红桂退客户佣金，客户经理退提成</t>
    </r>
    <phoneticPr fontId="2" type="noConversion"/>
  </si>
  <si>
    <r>
      <t>3.</t>
    </r>
    <r>
      <rPr>
        <sz val="10"/>
        <rFont val="宋体"/>
        <family val="3"/>
        <charset val="134"/>
      </rPr>
      <t>飞翼股份承揽费</t>
    </r>
    <phoneticPr fontId="2" type="noConversion"/>
  </si>
  <si>
    <t>4、合作项目承揽费</t>
    <phoneticPr fontId="2" type="noConversion"/>
  </si>
  <si>
    <t>证投和惠和</t>
    <phoneticPr fontId="2" type="noConversion"/>
  </si>
  <si>
    <t>股权</t>
    <phoneticPr fontId="2" type="noConversion"/>
  </si>
  <si>
    <t>中小企业融资部</t>
    <phoneticPr fontId="2" type="noConversion"/>
  </si>
  <si>
    <t>湘信惠和约购收入提成（深南）</t>
    <phoneticPr fontId="5" type="noConversion"/>
  </si>
  <si>
    <t>7.IB业务收入调整</t>
    <phoneticPr fontId="5" type="noConversion"/>
  </si>
  <si>
    <t>纸质分成备忘录</t>
    <phoneticPr fontId="2" type="noConversion"/>
  </si>
  <si>
    <t>投行与场外部门合作收入分配备忘录（签字版），二八分</t>
  </si>
  <si>
    <t>投行与营业部合作收入分配备忘录（签字版），65:35分</t>
    <phoneticPr fontId="2" type="noConversion"/>
  </si>
  <si>
    <t>纸质签批资料</t>
    <phoneticPr fontId="2" type="noConversion"/>
  </si>
  <si>
    <t>考核办法，由公司承担</t>
    <phoneticPr fontId="2" type="noConversion"/>
  </si>
  <si>
    <t>支出类</t>
    <phoneticPr fontId="2" type="noConversion"/>
  </si>
  <si>
    <t>根据会议精神，会在审计报表中体现。</t>
    <phoneticPr fontId="2" type="noConversion"/>
  </si>
  <si>
    <t>5、合作项目承揽费</t>
    <phoneticPr fontId="2" type="noConversion"/>
  </si>
  <si>
    <t>中小企业融资部</t>
    <phoneticPr fontId="2" type="noConversion"/>
  </si>
  <si>
    <t>浙分</t>
    <phoneticPr fontId="2" type="noConversion"/>
  </si>
  <si>
    <r>
      <t>2.</t>
    </r>
    <r>
      <rPr>
        <sz val="10"/>
        <rFont val="宋体"/>
        <family val="3"/>
        <charset val="134"/>
      </rPr>
      <t>代报招待费</t>
    </r>
    <phoneticPr fontId="2" type="noConversion"/>
  </si>
  <si>
    <t>财务顾问部</t>
    <phoneticPr fontId="2" type="noConversion"/>
  </si>
  <si>
    <t>债券融资部</t>
    <phoneticPr fontId="2" type="noConversion"/>
  </si>
  <si>
    <r>
      <t>2</t>
    </r>
    <r>
      <rPr>
        <sz val="10"/>
        <rFont val="宋体"/>
        <family val="3"/>
        <charset val="134"/>
      </rPr>
      <t>保荐人津贴</t>
    </r>
    <phoneticPr fontId="2" type="noConversion"/>
  </si>
  <si>
    <t>股权融资部</t>
    <phoneticPr fontId="2" type="noConversion"/>
  </si>
  <si>
    <t>总部中后台</t>
    <phoneticPr fontId="2" type="noConversion"/>
  </si>
  <si>
    <r>
      <t>3</t>
    </r>
    <r>
      <rPr>
        <sz val="10"/>
        <rFont val="宋体"/>
        <family val="3"/>
        <charset val="134"/>
      </rPr>
      <t>代报招待费</t>
    </r>
    <phoneticPr fontId="2" type="noConversion"/>
  </si>
  <si>
    <t>合作项目承揽费</t>
    <phoneticPr fontId="2" type="noConversion"/>
  </si>
  <si>
    <t>股权融资部</t>
    <phoneticPr fontId="2" type="noConversion"/>
  </si>
  <si>
    <t>中小企业融资部</t>
    <phoneticPr fontId="2" type="noConversion"/>
  </si>
  <si>
    <t>投行管理总部</t>
    <phoneticPr fontId="2" type="noConversion"/>
  </si>
  <si>
    <t>计提减值损失</t>
    <phoneticPr fontId="2" type="noConversion"/>
  </si>
  <si>
    <t>经纪业务部</t>
    <phoneticPr fontId="2" type="noConversion"/>
  </si>
  <si>
    <t>其他</t>
    <phoneticPr fontId="2" type="noConversion"/>
  </si>
  <si>
    <t>收益互换营销费用</t>
    <phoneticPr fontId="2" type="noConversion"/>
  </si>
  <si>
    <t>金融衍生品部</t>
    <phoneticPr fontId="2" type="noConversion"/>
  </si>
  <si>
    <t>经纪业务部</t>
    <phoneticPr fontId="2" type="noConversion"/>
  </si>
  <si>
    <t>两部门协商签批</t>
    <phoneticPr fontId="2" type="noConversion"/>
  </si>
  <si>
    <t>不考虑减值影响：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</si>
</sst>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_-* #,##0.00_-;\-* #,##0.00_-;_-* &quot;-&quot;??_-;_-@_-"/>
    <numFmt numFmtId="177" formatCode="_ &quot;￥&quot;* #,##0_ ;_ &quot;￥&quot;* \-#,##0_ ;_ &quot;￥&quot;* &quot;-&quot;_ ;_ @_ "/>
    <numFmt numFmtId="178" formatCode="0_);[Red]\(0\)"/>
    <numFmt numFmtId="179" formatCode="0_ "/>
    <numFmt numFmtId="180" formatCode="#,##0.00_ "/>
    <numFmt numFmtId="181" formatCode="0.00_ "/>
    <numFmt numFmtId="182" formatCode="0.0_ "/>
    <numFmt numFmtId="183" formatCode="_ * #,##0_ ;_ * \-#,##0_ ;_ * &quot;-&quot;??_ ;_ @_ "/>
    <numFmt numFmtId="184" formatCode="0.00_);[Red]\(0.00\)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仿宋_GB2312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仿宋_GB2312"/>
      <family val="3"/>
      <charset val="134"/>
    </font>
    <font>
      <sz val="10"/>
      <color theme="0"/>
      <name val="Times New Roman"/>
      <family val="1"/>
    </font>
    <font>
      <b/>
      <sz val="10"/>
      <name val="仿宋_GB2312"/>
      <family val="3"/>
      <charset val="134"/>
    </font>
    <font>
      <sz val="9"/>
      <color theme="1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indexed="8"/>
      <name val="Times New Roman"/>
      <family val="1"/>
    </font>
    <font>
      <sz val="10"/>
      <color theme="1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0"/>
      <color rgb="FFFF00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/>
  </cellStyleXfs>
  <cellXfs count="260">
    <xf numFmtId="0" fontId="0" fillId="0" borderId="0" xfId="0">
      <alignment vertical="center"/>
    </xf>
    <xf numFmtId="0" fontId="0" fillId="2" borderId="0" xfId="0" applyFill="1">
      <alignment vertical="center"/>
    </xf>
    <xf numFmtId="9" fontId="6" fillId="4" borderId="3" xfId="2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left"/>
    </xf>
    <xf numFmtId="43" fontId="13" fillId="0" borderId="3" xfId="1" applyNumberFormat="1" applyFont="1" applyFill="1" applyBorder="1" applyAlignment="1">
      <alignment horizontal="left" vertical="center"/>
    </xf>
    <xf numFmtId="176" fontId="10" fillId="5" borderId="3" xfId="1" applyFont="1" applyFill="1" applyBorder="1" applyAlignment="1"/>
    <xf numFmtId="176" fontId="10" fillId="2" borderId="3" xfId="1" applyFont="1" applyFill="1" applyBorder="1" applyAlignment="1"/>
    <xf numFmtId="2" fontId="10" fillId="2" borderId="3" xfId="1" applyNumberFormat="1" applyFont="1" applyFill="1" applyBorder="1" applyAlignment="1"/>
    <xf numFmtId="176" fontId="6" fillId="3" borderId="3" xfId="1" applyFont="1" applyFill="1" applyBorder="1" applyAlignment="1">
      <alignment horizontal="right" wrapText="1"/>
    </xf>
    <xf numFmtId="43" fontId="13" fillId="0" borderId="3" xfId="1" applyNumberFormat="1" applyFont="1" applyBorder="1" applyAlignment="1">
      <alignment horizontal="left" vertical="center" wrapText="1"/>
    </xf>
    <xf numFmtId="176" fontId="10" fillId="7" borderId="3" xfId="1" applyFont="1" applyFill="1" applyBorder="1" applyAlignment="1"/>
    <xf numFmtId="43" fontId="14" fillId="2" borderId="3" xfId="1" applyNumberFormat="1" applyFont="1" applyFill="1" applyBorder="1" applyAlignment="1"/>
    <xf numFmtId="43" fontId="13" fillId="3" borderId="3" xfId="1" applyNumberFormat="1" applyFont="1" applyFill="1" applyBorder="1" applyAlignment="1">
      <alignment horizontal="left" vertical="center"/>
    </xf>
    <xf numFmtId="176" fontId="6" fillId="3" borderId="3" xfId="1" applyFont="1" applyFill="1" applyBorder="1" applyAlignment="1">
      <alignment horizontal="center" wrapText="1"/>
    </xf>
    <xf numFmtId="43" fontId="15" fillId="3" borderId="10" xfId="1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9" fontId="17" fillId="4" borderId="3" xfId="2" applyFont="1" applyFill="1" applyBorder="1" applyAlignment="1">
      <alignment horizontal="left" wrapText="1"/>
    </xf>
    <xf numFmtId="178" fontId="6" fillId="4" borderId="3" xfId="2" applyNumberFormat="1" applyFont="1" applyFill="1" applyBorder="1" applyAlignment="1">
      <alignment horizontal="left" wrapText="1"/>
    </xf>
    <xf numFmtId="179" fontId="10" fillId="5" borderId="4" xfId="0" applyNumberFormat="1" applyFont="1" applyFill="1" applyBorder="1" applyAlignment="1">
      <alignment horizontal="center"/>
    </xf>
    <xf numFmtId="179" fontId="0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6" fillId="4" borderId="3" xfId="2" applyNumberFormat="1" applyFont="1" applyFill="1" applyBorder="1" applyAlignment="1">
      <alignment horizontal="center" wrapText="1"/>
    </xf>
    <xf numFmtId="179" fontId="7" fillId="5" borderId="4" xfId="0" applyNumberFormat="1" applyFont="1" applyFill="1" applyBorder="1" applyAlignment="1">
      <alignment horizontal="center"/>
    </xf>
    <xf numFmtId="179" fontId="9" fillId="0" borderId="5" xfId="0" applyNumberFormat="1" applyFont="1" applyBorder="1" applyAlignment="1">
      <alignment horizontal="center" vertical="center"/>
    </xf>
    <xf numFmtId="179" fontId="8" fillId="4" borderId="4" xfId="0" applyNumberFormat="1" applyFont="1" applyFill="1" applyBorder="1" applyAlignment="1">
      <alignment horizontal="center"/>
    </xf>
    <xf numFmtId="179" fontId="8" fillId="2" borderId="6" xfId="0" applyNumberFormat="1" applyFont="1" applyFill="1" applyBorder="1" applyAlignment="1">
      <alignment horizontal="center"/>
    </xf>
    <xf numFmtId="179" fontId="8" fillId="3" borderId="7" xfId="0" applyNumberFormat="1" applyFont="1" applyFill="1" applyBorder="1" applyAlignment="1">
      <alignment horizontal="center"/>
    </xf>
    <xf numFmtId="49" fontId="0" fillId="2" borderId="0" xfId="0" applyNumberFormat="1" applyFill="1">
      <alignment vertical="center"/>
    </xf>
    <xf numFmtId="0" fontId="1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9" fontId="18" fillId="8" borderId="0" xfId="0" applyNumberFormat="1" applyFon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23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176" fontId="6" fillId="4" borderId="3" xfId="2" applyNumberFormat="1" applyFont="1" applyFill="1" applyBorder="1" applyAlignment="1">
      <alignment horizontal="left" wrapText="1"/>
    </xf>
    <xf numFmtId="176" fontId="10" fillId="7" borderId="3" xfId="1" applyNumberFormat="1" applyFont="1" applyFill="1" applyBorder="1" applyAlignment="1"/>
    <xf numFmtId="176" fontId="8" fillId="3" borderId="7" xfId="0" applyNumberFormat="1" applyFont="1" applyFill="1" applyBorder="1" applyAlignment="1">
      <alignment horizontal="left"/>
    </xf>
    <xf numFmtId="176" fontId="0" fillId="0" borderId="0" xfId="0" applyNumberFormat="1">
      <alignment vertical="center"/>
    </xf>
    <xf numFmtId="49" fontId="23" fillId="0" borderId="0" xfId="0" applyNumberFormat="1" applyFont="1">
      <alignment vertical="center"/>
    </xf>
    <xf numFmtId="49" fontId="10" fillId="7" borderId="3" xfId="1" applyNumberFormat="1" applyFont="1" applyFill="1" applyBorder="1" applyAlignment="1"/>
    <xf numFmtId="179" fontId="0" fillId="0" borderId="0" xfId="0" applyNumberFormat="1" applyAlignment="1">
      <alignment vertical="center"/>
    </xf>
    <xf numFmtId="179" fontId="20" fillId="0" borderId="0" xfId="0" applyNumberFormat="1" applyFont="1" applyAlignment="1">
      <alignment vertical="center"/>
    </xf>
    <xf numFmtId="179" fontId="12" fillId="0" borderId="0" xfId="0" applyNumberFormat="1" applyFont="1" applyAlignment="1">
      <alignment vertical="center"/>
    </xf>
    <xf numFmtId="179" fontId="0" fillId="2" borderId="0" xfId="0" applyNumberFormat="1" applyFill="1" applyAlignment="1">
      <alignment vertical="center"/>
    </xf>
    <xf numFmtId="179" fontId="6" fillId="4" borderId="3" xfId="2" applyNumberFormat="1" applyFont="1" applyFill="1" applyBorder="1" applyAlignment="1">
      <alignment vertical="center" wrapText="1"/>
    </xf>
    <xf numFmtId="179" fontId="7" fillId="5" borderId="4" xfId="0" applyNumberFormat="1" applyFont="1" applyFill="1" applyBorder="1" applyAlignment="1">
      <alignment vertical="center"/>
    </xf>
    <xf numFmtId="179" fontId="9" fillId="0" borderId="5" xfId="0" applyNumberFormat="1" applyFont="1" applyBorder="1" applyAlignment="1">
      <alignment vertical="center"/>
    </xf>
    <xf numFmtId="179" fontId="8" fillId="4" borderId="4" xfId="0" applyNumberFormat="1" applyFont="1" applyFill="1" applyBorder="1" applyAlignment="1">
      <alignment vertical="center"/>
    </xf>
    <xf numFmtId="179" fontId="10" fillId="5" borderId="4" xfId="0" applyNumberFormat="1" applyFont="1" applyFill="1" applyBorder="1" applyAlignment="1">
      <alignment vertical="center"/>
    </xf>
    <xf numFmtId="179" fontId="8" fillId="2" borderId="6" xfId="0" applyNumberFormat="1" applyFont="1" applyFill="1" applyBorder="1" applyAlignment="1">
      <alignment vertical="center"/>
    </xf>
    <xf numFmtId="179" fontId="8" fillId="3" borderId="7" xfId="0" applyNumberFormat="1" applyFont="1" applyFill="1" applyBorder="1" applyAlignment="1">
      <alignment vertical="center"/>
    </xf>
    <xf numFmtId="179" fontId="11" fillId="4" borderId="4" xfId="0" applyNumberFormat="1" applyFont="1" applyFill="1" applyBorder="1" applyAlignment="1">
      <alignment horizontal="center"/>
    </xf>
    <xf numFmtId="179" fontId="11" fillId="3" borderId="7" xfId="0" applyNumberFormat="1" applyFont="1" applyFill="1" applyBorder="1" applyAlignment="1">
      <alignment horizontal="center"/>
    </xf>
    <xf numFmtId="179" fontId="8" fillId="4" borderId="0" xfId="0" applyNumberFormat="1" applyFont="1" applyFill="1" applyBorder="1" applyAlignment="1">
      <alignment horizontal="center"/>
    </xf>
    <xf numFmtId="179" fontId="10" fillId="5" borderId="4" xfId="0" applyNumberFormat="1" applyFont="1" applyFill="1" applyBorder="1" applyAlignment="1" applyProtection="1">
      <alignment horizontal="center"/>
      <protection locked="0"/>
    </xf>
    <xf numFmtId="179" fontId="18" fillId="0" borderId="0" xfId="0" applyNumberFormat="1" applyFont="1" applyAlignment="1">
      <alignment horizontal="center" vertical="center"/>
    </xf>
    <xf numFmtId="176" fontId="11" fillId="7" borderId="3" xfId="1" applyNumberFormat="1" applyFont="1" applyFill="1" applyBorder="1" applyAlignment="1"/>
    <xf numFmtId="179" fontId="6" fillId="4" borderId="3" xfId="2" applyNumberFormat="1" applyFont="1" applyFill="1" applyBorder="1" applyAlignment="1">
      <alignment horizontal="left" wrapText="1"/>
    </xf>
    <xf numFmtId="179" fontId="10" fillId="7" borderId="3" xfId="1" applyNumberFormat="1" applyFont="1" applyFill="1" applyBorder="1" applyAlignment="1"/>
    <xf numFmtId="179" fontId="8" fillId="3" borderId="7" xfId="0" applyNumberFormat="1" applyFont="1" applyFill="1" applyBorder="1" applyAlignment="1">
      <alignment horizontal="left"/>
    </xf>
    <xf numFmtId="179" fontId="0" fillId="0" borderId="0" xfId="0" applyNumberFormat="1">
      <alignment vertical="center"/>
    </xf>
    <xf numFmtId="179" fontId="8" fillId="8" borderId="6" xfId="0" applyNumberFormat="1" applyFont="1" applyFill="1" applyBorder="1" applyAlignment="1">
      <alignment horizontal="center"/>
    </xf>
    <xf numFmtId="181" fontId="7" fillId="5" borderId="4" xfId="0" applyNumberFormat="1" applyFont="1" applyFill="1" applyBorder="1" applyAlignment="1">
      <alignment vertical="center"/>
    </xf>
    <xf numFmtId="181" fontId="9" fillId="0" borderId="5" xfId="0" applyNumberFormat="1" applyFont="1" applyBorder="1" applyAlignment="1">
      <alignment vertical="center"/>
    </xf>
    <xf numFmtId="181" fontId="10" fillId="5" borderId="4" xfId="0" applyNumberFormat="1" applyFont="1" applyFill="1" applyBorder="1" applyAlignment="1">
      <alignment vertical="center"/>
    </xf>
    <xf numFmtId="0" fontId="26" fillId="8" borderId="0" xfId="0" applyFont="1" applyFill="1">
      <alignment vertical="center"/>
    </xf>
    <xf numFmtId="43" fontId="13" fillId="0" borderId="0" xfId="1" applyNumberFormat="1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43" fontId="12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4" fillId="3" borderId="1" xfId="3" applyNumberFormat="1" applyFont="1" applyFill="1" applyBorder="1" applyAlignment="1">
      <alignment horizontal="center" vertical="center"/>
    </xf>
    <xf numFmtId="43" fontId="4" fillId="6" borderId="1" xfId="3" applyNumberFormat="1" applyFont="1" applyFill="1" applyBorder="1" applyAlignment="1">
      <alignment horizontal="center" vertical="center"/>
    </xf>
    <xf numFmtId="43" fontId="4" fillId="3" borderId="8" xfId="3" applyNumberFormat="1" applyFont="1" applyFill="1" applyBorder="1" applyAlignment="1">
      <alignment horizontal="center" vertical="center"/>
    </xf>
    <xf numFmtId="43" fontId="4" fillId="3" borderId="9" xfId="3" applyNumberFormat="1" applyFont="1" applyFill="1" applyBorder="1" applyAlignment="1">
      <alignment horizontal="center" vertical="center"/>
    </xf>
    <xf numFmtId="43" fontId="4" fillId="6" borderId="11" xfId="3" applyNumberFormat="1" applyFont="1" applyFill="1" applyBorder="1" applyAlignment="1">
      <alignment horizontal="center" vertical="center"/>
    </xf>
    <xf numFmtId="43" fontId="4" fillId="3" borderId="11" xfId="3" applyNumberFormat="1" applyFont="1" applyFill="1" applyBorder="1" applyAlignment="1">
      <alignment horizontal="center" vertical="center"/>
    </xf>
    <xf numFmtId="180" fontId="10" fillId="5" borderId="3" xfId="1" applyNumberFormat="1" applyFont="1" applyFill="1" applyBorder="1" applyAlignment="1"/>
    <xf numFmtId="179" fontId="6" fillId="4" borderId="3" xfId="2" applyNumberFormat="1" applyFont="1" applyFill="1" applyBorder="1" applyAlignment="1">
      <alignment horizontal="center" vertical="center" wrapText="1"/>
    </xf>
    <xf numFmtId="179" fontId="7" fillId="5" borderId="4" xfId="0" applyNumberFormat="1" applyFont="1" applyFill="1" applyBorder="1" applyAlignment="1">
      <alignment horizontal="center" vertical="center"/>
    </xf>
    <xf numFmtId="179" fontId="8" fillId="4" borderId="4" xfId="0" applyNumberFormat="1" applyFont="1" applyFill="1" applyBorder="1" applyAlignment="1">
      <alignment horizontal="center" vertical="center"/>
    </xf>
    <xf numFmtId="179" fontId="10" fillId="5" borderId="4" xfId="0" applyNumberFormat="1" applyFont="1" applyFill="1" applyBorder="1" applyAlignment="1">
      <alignment horizontal="center" vertical="center"/>
    </xf>
    <xf numFmtId="179" fontId="8" fillId="2" borderId="6" xfId="0" applyNumberFormat="1" applyFont="1" applyFill="1" applyBorder="1" applyAlignment="1">
      <alignment horizontal="center" vertical="center"/>
    </xf>
    <xf numFmtId="179" fontId="8" fillId="3" borderId="7" xfId="0" applyNumberFormat="1" applyFont="1" applyFill="1" applyBorder="1" applyAlignment="1">
      <alignment horizontal="center" vertical="center"/>
    </xf>
    <xf numFmtId="179" fontId="4" fillId="6" borderId="1" xfId="3" applyNumberFormat="1" applyFont="1" applyFill="1" applyBorder="1" applyAlignment="1">
      <alignment horizontal="center" vertical="center"/>
    </xf>
    <xf numFmtId="179" fontId="4" fillId="3" borderId="1" xfId="3" applyNumberFormat="1" applyFont="1" applyFill="1" applyBorder="1" applyAlignment="1">
      <alignment horizontal="center" vertical="center"/>
    </xf>
    <xf numFmtId="179" fontId="4" fillId="3" borderId="1" xfId="3" applyNumberFormat="1" applyFont="1" applyFill="1" applyBorder="1" applyAlignment="1">
      <alignment vertical="center"/>
    </xf>
    <xf numFmtId="179" fontId="4" fillId="6" borderId="1" xfId="3" applyNumberFormat="1" applyFont="1" applyFill="1" applyBorder="1" applyAlignment="1">
      <alignment vertical="center"/>
    </xf>
    <xf numFmtId="9" fontId="0" fillId="0" borderId="0" xfId="2" applyFont="1" applyAlignment="1">
      <alignment horizontal="center" vertical="center"/>
    </xf>
    <xf numFmtId="43" fontId="4" fillId="3" borderId="11" xfId="3" applyNumberFormat="1" applyFont="1" applyFill="1" applyBorder="1" applyAlignment="1" applyProtection="1">
      <alignment horizontal="center" vertical="center"/>
    </xf>
    <xf numFmtId="43" fontId="4" fillId="6" borderId="11" xfId="3" applyNumberFormat="1" applyFont="1" applyFill="1" applyBorder="1" applyAlignment="1" applyProtection="1">
      <alignment horizontal="center" vertical="center"/>
    </xf>
    <xf numFmtId="183" fontId="10" fillId="5" borderId="3" xfId="1" applyNumberFormat="1" applyFont="1" applyFill="1" applyBorder="1" applyAlignment="1" applyProtection="1"/>
    <xf numFmtId="183" fontId="6" fillId="3" borderId="3" xfId="1" applyNumberFormat="1" applyFont="1" applyFill="1" applyBorder="1" applyAlignment="1" applyProtection="1">
      <alignment horizontal="right" wrapText="1"/>
    </xf>
    <xf numFmtId="183" fontId="13" fillId="3" borderId="3" xfId="1" applyNumberFormat="1" applyFont="1" applyFill="1" applyBorder="1" applyAlignment="1" applyProtection="1">
      <alignment horizontal="left" vertical="center"/>
    </xf>
    <xf numFmtId="183" fontId="6" fillId="3" borderId="3" xfId="1" applyNumberFormat="1" applyFont="1" applyFill="1" applyBorder="1" applyAlignment="1" applyProtection="1">
      <alignment horizontal="center" wrapText="1"/>
    </xf>
    <xf numFmtId="183" fontId="15" fillId="3" borderId="10" xfId="1" applyNumberFormat="1" applyFont="1" applyFill="1" applyBorder="1" applyAlignment="1" applyProtection="1">
      <alignment horizontal="left" vertical="center"/>
    </xf>
    <xf numFmtId="179" fontId="4" fillId="3" borderId="1" xfId="3" applyNumberFormat="1" applyFont="1" applyFill="1" applyBorder="1" applyAlignment="1" applyProtection="1">
      <alignment horizontal="center" vertical="center"/>
      <protection hidden="1"/>
    </xf>
    <xf numFmtId="179" fontId="4" fillId="6" borderId="1" xfId="3" applyNumberFormat="1" applyFont="1" applyFill="1" applyBorder="1" applyAlignment="1" applyProtection="1">
      <alignment horizontal="center" vertical="center"/>
      <protection hidden="1"/>
    </xf>
    <xf numFmtId="179" fontId="6" fillId="4" borderId="3" xfId="2" applyNumberFormat="1" applyFont="1" applyFill="1" applyBorder="1" applyAlignment="1" applyProtection="1">
      <alignment horizontal="center" wrapText="1"/>
      <protection hidden="1"/>
    </xf>
    <xf numFmtId="179" fontId="19" fillId="4" borderId="3" xfId="2" applyNumberFormat="1" applyFont="1" applyFill="1" applyBorder="1" applyAlignment="1" applyProtection="1">
      <alignment horizontal="center" wrapText="1"/>
      <protection hidden="1"/>
    </xf>
    <xf numFmtId="179" fontId="7" fillId="5" borderId="4" xfId="0" applyNumberFormat="1" applyFont="1" applyFill="1" applyBorder="1" applyAlignment="1" applyProtection="1">
      <alignment horizontal="center"/>
      <protection hidden="1"/>
    </xf>
    <xf numFmtId="179" fontId="10" fillId="5" borderId="4" xfId="0" applyNumberFormat="1" applyFont="1" applyFill="1" applyBorder="1" applyAlignment="1" applyProtection="1">
      <alignment horizontal="center"/>
      <protection hidden="1"/>
    </xf>
    <xf numFmtId="179" fontId="9" fillId="0" borderId="5" xfId="0" applyNumberFormat="1" applyFont="1" applyBorder="1" applyAlignment="1" applyProtection="1">
      <alignment horizontal="center" vertical="center"/>
      <protection hidden="1"/>
    </xf>
    <xf numFmtId="179" fontId="8" fillId="4" borderId="4" xfId="0" applyNumberFormat="1" applyFont="1" applyFill="1" applyBorder="1" applyAlignment="1" applyProtection="1">
      <alignment horizontal="center"/>
      <protection hidden="1"/>
    </xf>
    <xf numFmtId="179" fontId="11" fillId="4" borderId="4" xfId="0" applyNumberFormat="1" applyFont="1" applyFill="1" applyBorder="1" applyAlignment="1" applyProtection="1">
      <alignment horizontal="center"/>
      <protection hidden="1"/>
    </xf>
    <xf numFmtId="182" fontId="10" fillId="5" borderId="4" xfId="0" applyNumberFormat="1" applyFont="1" applyFill="1" applyBorder="1" applyAlignment="1" applyProtection="1">
      <alignment horizontal="center"/>
      <protection hidden="1"/>
    </xf>
    <xf numFmtId="179" fontId="8" fillId="2" borderId="6" xfId="0" applyNumberFormat="1" applyFont="1" applyFill="1" applyBorder="1" applyAlignment="1" applyProtection="1">
      <alignment horizontal="center"/>
      <protection hidden="1"/>
    </xf>
    <xf numFmtId="179" fontId="11" fillId="2" borderId="6" xfId="0" applyNumberFormat="1" applyFont="1" applyFill="1" applyBorder="1" applyAlignment="1" applyProtection="1">
      <alignment horizontal="center"/>
      <protection hidden="1"/>
    </xf>
    <xf numFmtId="179" fontId="8" fillId="3" borderId="7" xfId="0" applyNumberFormat="1" applyFont="1" applyFill="1" applyBorder="1" applyAlignment="1" applyProtection="1">
      <alignment horizontal="center"/>
      <protection hidden="1"/>
    </xf>
    <xf numFmtId="179" fontId="11" fillId="3" borderId="7" xfId="0" applyNumberFormat="1" applyFont="1" applyFill="1" applyBorder="1" applyAlignment="1" applyProtection="1">
      <alignment horizontal="center"/>
      <protection hidden="1"/>
    </xf>
    <xf numFmtId="0" fontId="0" fillId="8" borderId="0" xfId="0" applyFill="1" applyAlignment="1">
      <alignment horizontal="center" vertical="center"/>
    </xf>
    <xf numFmtId="176" fontId="10" fillId="5" borderId="3" xfId="1" applyFont="1" applyFill="1" applyBorder="1" applyAlignment="1">
      <alignment horizontal="center"/>
    </xf>
    <xf numFmtId="43" fontId="13" fillId="3" borderId="3" xfId="1" applyNumberFormat="1" applyFont="1" applyFill="1" applyBorder="1" applyAlignment="1">
      <alignment horizontal="center" vertical="center"/>
    </xf>
    <xf numFmtId="43" fontId="15" fillId="3" borderId="10" xfId="1" applyNumberFormat="1" applyFont="1" applyFill="1" applyBorder="1" applyAlignment="1">
      <alignment horizontal="center" vertical="center"/>
    </xf>
    <xf numFmtId="0" fontId="15" fillId="3" borderId="10" xfId="1" applyNumberFormat="1" applyFont="1" applyFill="1" applyBorder="1" applyAlignment="1">
      <alignment horizontal="center" vertical="center"/>
    </xf>
    <xf numFmtId="183" fontId="10" fillId="5" borderId="3" xfId="1" applyNumberFormat="1" applyFont="1" applyFill="1" applyBorder="1" applyAlignment="1" applyProtection="1">
      <alignment horizontal="center"/>
    </xf>
    <xf numFmtId="183" fontId="13" fillId="3" borderId="3" xfId="1" applyNumberFormat="1" applyFont="1" applyFill="1" applyBorder="1" applyAlignment="1" applyProtection="1">
      <alignment horizontal="center" vertical="center"/>
    </xf>
    <xf numFmtId="183" fontId="15" fillId="3" borderId="10" xfId="1" applyNumberFormat="1" applyFont="1" applyFill="1" applyBorder="1" applyAlignment="1" applyProtection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43" fontId="15" fillId="3" borderId="10" xfId="1" applyNumberFormat="1" applyFont="1" applyFill="1" applyBorder="1" applyAlignment="1" applyProtection="1">
      <alignment horizontal="left" vertical="center"/>
    </xf>
    <xf numFmtId="181" fontId="8" fillId="3" borderId="7" xfId="0" applyNumberFormat="1" applyFont="1" applyFill="1" applyBorder="1" applyAlignment="1">
      <alignment vertical="center"/>
    </xf>
    <xf numFmtId="181" fontId="6" fillId="4" borderId="3" xfId="2" applyNumberFormat="1" applyFont="1" applyFill="1" applyBorder="1" applyAlignment="1">
      <alignment vertical="center" wrapText="1"/>
    </xf>
    <xf numFmtId="181" fontId="8" fillId="4" borderId="4" xfId="0" applyNumberFormat="1" applyFont="1" applyFill="1" applyBorder="1" applyAlignment="1">
      <alignment vertical="center"/>
    </xf>
    <xf numFmtId="181" fontId="7" fillId="8" borderId="4" xfId="0" applyNumberFormat="1" applyFont="1" applyFill="1" applyBorder="1" applyAlignment="1">
      <alignment vertical="center"/>
    </xf>
    <xf numFmtId="181" fontId="8" fillId="4" borderId="0" xfId="0" applyNumberFormat="1" applyFont="1" applyFill="1" applyBorder="1" applyAlignment="1">
      <alignment horizont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181" fontId="11" fillId="3" borderId="7" xfId="0" applyNumberFormat="1" applyFont="1" applyFill="1" applyBorder="1" applyAlignment="1">
      <alignment horizontal="center"/>
    </xf>
    <xf numFmtId="181" fontId="11" fillId="3" borderId="7" xfId="0" applyNumberFormat="1" applyFont="1" applyFill="1" applyBorder="1" applyAlignment="1" applyProtection="1">
      <alignment horizontal="center"/>
      <protection hidden="1"/>
    </xf>
    <xf numFmtId="181" fontId="10" fillId="5" borderId="4" xfId="0" applyNumberFormat="1" applyFont="1" applyFill="1" applyBorder="1" applyAlignment="1" applyProtection="1">
      <alignment horizontal="center"/>
      <protection hidden="1"/>
    </xf>
    <xf numFmtId="181" fontId="19" fillId="4" borderId="3" xfId="2" applyNumberFormat="1" applyFont="1" applyFill="1" applyBorder="1" applyAlignment="1" applyProtection="1">
      <alignment horizontal="center" wrapText="1"/>
      <protection hidden="1"/>
    </xf>
    <xf numFmtId="181" fontId="9" fillId="0" borderId="5" xfId="0" applyNumberFormat="1" applyFont="1" applyBorder="1" applyAlignment="1" applyProtection="1">
      <alignment horizontal="center" vertical="center"/>
      <protection hidden="1"/>
    </xf>
    <xf numFmtId="181" fontId="11" fillId="4" borderId="4" xfId="0" applyNumberFormat="1" applyFont="1" applyFill="1" applyBorder="1" applyAlignment="1" applyProtection="1">
      <alignment horizontal="center"/>
      <protection hidden="1"/>
    </xf>
    <xf numFmtId="181" fontId="11" fillId="2" borderId="6" xfId="0" applyNumberFormat="1" applyFont="1" applyFill="1" applyBorder="1" applyAlignment="1" applyProtection="1">
      <alignment horizontal="center"/>
      <protection hidden="1"/>
    </xf>
    <xf numFmtId="181" fontId="10" fillId="5" borderId="4" xfId="0" applyNumberFormat="1" applyFont="1" applyFill="1" applyBorder="1" applyAlignment="1">
      <alignment horizontal="center" vertical="center"/>
    </xf>
    <xf numFmtId="181" fontId="6" fillId="4" borderId="3" xfId="2" applyNumberFormat="1" applyFont="1" applyFill="1" applyBorder="1" applyAlignment="1">
      <alignment horizontal="center" vertical="center" wrapText="1"/>
    </xf>
    <xf numFmtId="181" fontId="7" fillId="5" borderId="4" xfId="0" applyNumberFormat="1" applyFont="1" applyFill="1" applyBorder="1" applyAlignment="1">
      <alignment horizontal="center" vertical="center"/>
    </xf>
    <xf numFmtId="181" fontId="9" fillId="0" borderId="5" xfId="0" applyNumberFormat="1" applyFont="1" applyBorder="1" applyAlignment="1">
      <alignment horizontal="center" vertical="center"/>
    </xf>
    <xf numFmtId="181" fontId="8" fillId="4" borderId="4" xfId="0" applyNumberFormat="1" applyFont="1" applyFill="1" applyBorder="1" applyAlignment="1">
      <alignment horizontal="center" vertical="center"/>
    </xf>
    <xf numFmtId="181" fontId="8" fillId="2" borderId="6" xfId="0" applyNumberFormat="1" applyFont="1" applyFill="1" applyBorder="1" applyAlignment="1">
      <alignment horizontal="center" vertical="center"/>
    </xf>
    <xf numFmtId="181" fontId="8" fillId="3" borderId="7" xfId="0" applyNumberFormat="1" applyFont="1" applyFill="1" applyBorder="1" applyAlignment="1">
      <alignment horizontal="center" vertical="center"/>
    </xf>
    <xf numFmtId="179" fontId="11" fillId="5" borderId="4" xfId="0" applyNumberFormat="1" applyFont="1" applyFill="1" applyBorder="1" applyAlignment="1">
      <alignment horizontal="center"/>
    </xf>
    <xf numFmtId="182" fontId="11" fillId="3" borderId="7" xfId="0" applyNumberFormat="1" applyFont="1" applyFill="1" applyBorder="1" applyAlignment="1">
      <alignment horizontal="center"/>
    </xf>
    <xf numFmtId="182" fontId="7" fillId="5" borderId="4" xfId="0" applyNumberFormat="1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181" fontId="11" fillId="4" borderId="4" xfId="0" applyNumberFormat="1" applyFont="1" applyFill="1" applyBorder="1" applyAlignment="1">
      <alignment horizontal="center"/>
    </xf>
    <xf numFmtId="181" fontId="0" fillId="0" borderId="0" xfId="0" applyNumberFormat="1" applyFont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/>
    </xf>
    <xf numFmtId="179" fontId="7" fillId="2" borderId="4" xfId="0" applyNumberFormat="1" applyFont="1" applyFill="1" applyBorder="1" applyAlignment="1">
      <alignment horizontal="center" vertical="center"/>
    </xf>
    <xf numFmtId="176" fontId="10" fillId="5" borderId="3" xfId="1" applyFont="1" applyFill="1" applyBorder="1" applyAlignment="1">
      <alignment horizontal="left"/>
    </xf>
    <xf numFmtId="0" fontId="29" fillId="0" borderId="16" xfId="0" applyFont="1" applyBorder="1">
      <alignment vertical="center"/>
    </xf>
    <xf numFmtId="43" fontId="30" fillId="3" borderId="16" xfId="3" applyNumberFormat="1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 wrapText="1"/>
    </xf>
    <xf numFmtId="176" fontId="31" fillId="2" borderId="19" xfId="1" applyNumberFormat="1" applyFont="1" applyFill="1" applyBorder="1" applyAlignment="1" applyProtection="1">
      <protection locked="0"/>
    </xf>
    <xf numFmtId="176" fontId="31" fillId="2" borderId="19" xfId="1" applyNumberFormat="1" applyFont="1" applyFill="1" applyBorder="1" applyAlignment="1" applyProtection="1">
      <alignment horizontal="center"/>
      <protection locked="0"/>
    </xf>
    <xf numFmtId="2" fontId="31" fillId="2" borderId="19" xfId="0" applyNumberFormat="1" applyFont="1" applyFill="1" applyBorder="1" applyAlignment="1">
      <alignment horizontal="center" vertical="center"/>
    </xf>
    <xf numFmtId="49" fontId="31" fillId="2" borderId="19" xfId="1" applyNumberFormat="1" applyFont="1" applyFill="1" applyBorder="1" applyAlignment="1">
      <alignment horizontal="center"/>
    </xf>
    <xf numFmtId="176" fontId="31" fillId="2" borderId="19" xfId="1" applyNumberFormat="1" applyFont="1" applyFill="1" applyBorder="1" applyAlignment="1">
      <alignment horizontal="center"/>
    </xf>
    <xf numFmtId="176" fontId="31" fillId="2" borderId="19" xfId="1" applyFont="1" applyFill="1" applyBorder="1" applyAlignment="1">
      <alignment horizontal="center"/>
    </xf>
    <xf numFmtId="176" fontId="31" fillId="2" borderId="19" xfId="0" applyNumberFormat="1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2" fontId="30" fillId="2" borderId="19" xfId="0" applyNumberFormat="1" applyFont="1" applyFill="1" applyBorder="1" applyAlignment="1">
      <alignment horizontal="center" vertical="center"/>
    </xf>
    <xf numFmtId="0" fontId="29" fillId="0" borderId="19" xfId="0" applyFont="1" applyBorder="1">
      <alignment vertical="center"/>
    </xf>
    <xf numFmtId="0" fontId="31" fillId="2" borderId="19" xfId="0" applyFont="1" applyFill="1" applyBorder="1" applyAlignment="1" applyProtection="1">
      <alignment horizontal="center" vertical="center"/>
      <protection locked="0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49" fontId="31" fillId="7" borderId="13" xfId="1" applyNumberFormat="1" applyFont="1" applyFill="1" applyBorder="1" applyAlignment="1"/>
    <xf numFmtId="178" fontId="31" fillId="7" borderId="13" xfId="1" applyNumberFormat="1" applyFont="1" applyFill="1" applyBorder="1" applyAlignment="1">
      <alignment horizontal="center"/>
    </xf>
    <xf numFmtId="176" fontId="31" fillId="7" borderId="13" xfId="1" applyNumberFormat="1" applyFont="1" applyFill="1" applyBorder="1" applyAlignment="1">
      <alignment horizontal="center"/>
    </xf>
    <xf numFmtId="49" fontId="31" fillId="7" borderId="13" xfId="1" applyNumberFormat="1" applyFont="1" applyFill="1" applyBorder="1" applyAlignment="1">
      <alignment horizontal="center"/>
    </xf>
    <xf numFmtId="49" fontId="31" fillId="7" borderId="3" xfId="1" applyNumberFormat="1" applyFont="1" applyFill="1" applyBorder="1" applyAlignment="1"/>
    <xf numFmtId="176" fontId="31" fillId="8" borderId="3" xfId="1" applyFont="1" applyFill="1" applyBorder="1" applyAlignment="1">
      <alignment horizontal="center"/>
    </xf>
    <xf numFmtId="43" fontId="30" fillId="3" borderId="17" xfId="3" applyNumberFormat="1" applyFont="1" applyFill="1" applyBorder="1" applyAlignment="1">
      <alignment horizontal="left" vertical="center"/>
    </xf>
    <xf numFmtId="0" fontId="31" fillId="2" borderId="17" xfId="0" applyFont="1" applyFill="1" applyBorder="1" applyAlignment="1">
      <alignment horizontal="left" vertical="center"/>
    </xf>
    <xf numFmtId="176" fontId="31" fillId="2" borderId="17" xfId="1" applyNumberFormat="1" applyFont="1" applyFill="1" applyBorder="1" applyAlignment="1" applyProtection="1">
      <alignment horizontal="left"/>
      <protection locked="0"/>
    </xf>
    <xf numFmtId="176" fontId="31" fillId="2" borderId="17" xfId="1" applyNumberFormat="1" applyFont="1" applyFill="1" applyBorder="1" applyAlignment="1">
      <alignment horizontal="left"/>
    </xf>
    <xf numFmtId="176" fontId="31" fillId="2" borderId="17" xfId="1" applyNumberFormat="1" applyFont="1" applyFill="1" applyBorder="1" applyAlignment="1">
      <alignment horizontal="left" vertical="center"/>
    </xf>
    <xf numFmtId="0" fontId="30" fillId="2" borderId="17" xfId="0" applyFont="1" applyFill="1" applyBorder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176" fontId="31" fillId="2" borderId="18" xfId="1" applyNumberFormat="1" applyFont="1" applyFill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0" fillId="2" borderId="21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43" fontId="35" fillId="8" borderId="0" xfId="0" applyNumberFormat="1" applyFont="1" applyFill="1" applyAlignment="1">
      <alignment horizontal="center" vertical="center"/>
    </xf>
    <xf numFmtId="184" fontId="0" fillId="2" borderId="0" xfId="0" applyNumberFormat="1" applyFill="1">
      <alignment vertical="center"/>
    </xf>
    <xf numFmtId="184" fontId="4" fillId="6" borderId="1" xfId="3" applyNumberFormat="1" applyFont="1" applyFill="1" applyBorder="1" applyAlignment="1">
      <alignment horizontal="center" vertical="center"/>
    </xf>
    <xf numFmtId="184" fontId="10" fillId="5" borderId="3" xfId="1" applyNumberFormat="1" applyFont="1" applyFill="1" applyBorder="1" applyAlignment="1"/>
    <xf numFmtId="184" fontId="6" fillId="3" borderId="3" xfId="1" applyNumberFormat="1" applyFont="1" applyFill="1" applyBorder="1" applyAlignment="1">
      <alignment horizontal="right" wrapText="1"/>
    </xf>
    <xf numFmtId="184" fontId="13" fillId="3" borderId="3" xfId="1" applyNumberFormat="1" applyFont="1" applyFill="1" applyBorder="1" applyAlignment="1">
      <alignment horizontal="left" vertical="center"/>
    </xf>
    <xf numFmtId="184" fontId="6" fillId="3" borderId="3" xfId="1" applyNumberFormat="1" applyFont="1" applyFill="1" applyBorder="1" applyAlignment="1">
      <alignment horizontal="center" wrapText="1"/>
    </xf>
    <xf numFmtId="184" fontId="15" fillId="3" borderId="10" xfId="1" applyNumberFormat="1" applyFont="1" applyFill="1" applyBorder="1" applyAlignment="1">
      <alignment horizontal="left" vertical="center"/>
    </xf>
    <xf numFmtId="184" fontId="0" fillId="0" borderId="0" xfId="0" applyNumberFormat="1">
      <alignment vertical="center"/>
    </xf>
    <xf numFmtId="184" fontId="10" fillId="5" borderId="3" xfId="1" applyNumberFormat="1" applyFont="1" applyFill="1" applyBorder="1" applyAlignment="1" applyProtection="1"/>
    <xf numFmtId="184" fontId="6" fillId="3" borderId="3" xfId="1" applyNumberFormat="1" applyFont="1" applyFill="1" applyBorder="1" applyAlignment="1" applyProtection="1">
      <alignment horizontal="right" wrapText="1"/>
    </xf>
    <xf numFmtId="184" fontId="13" fillId="3" borderId="3" xfId="1" applyNumberFormat="1" applyFont="1" applyFill="1" applyBorder="1" applyAlignment="1" applyProtection="1">
      <alignment horizontal="left" vertical="center"/>
    </xf>
    <xf numFmtId="184" fontId="6" fillId="3" borderId="3" xfId="1" applyNumberFormat="1" applyFont="1" applyFill="1" applyBorder="1" applyAlignment="1" applyProtection="1">
      <alignment horizontal="center" wrapText="1"/>
    </xf>
    <xf numFmtId="184" fontId="15" fillId="3" borderId="10" xfId="1" applyNumberFormat="1" applyFont="1" applyFill="1" applyBorder="1" applyAlignment="1" applyProtection="1">
      <alignment horizontal="left" vertical="center"/>
    </xf>
    <xf numFmtId="184" fontId="12" fillId="0" borderId="0" xfId="0" applyNumberFormat="1" applyFont="1">
      <alignment vertical="center"/>
    </xf>
    <xf numFmtId="184" fontId="0" fillId="2" borderId="0" xfId="0" applyNumberFormat="1" applyFill="1" applyAlignment="1">
      <alignment horizontal="center" vertical="center"/>
    </xf>
    <xf numFmtId="184" fontId="6" fillId="4" borderId="3" xfId="2" applyNumberFormat="1" applyFont="1" applyFill="1" applyBorder="1" applyAlignment="1">
      <alignment horizontal="center" wrapText="1"/>
    </xf>
    <xf numFmtId="184" fontId="7" fillId="5" borderId="4" xfId="0" applyNumberFormat="1" applyFont="1" applyFill="1" applyBorder="1" applyAlignment="1">
      <alignment horizontal="center"/>
    </xf>
    <xf numFmtId="184" fontId="8" fillId="4" borderId="4" xfId="0" applyNumberFormat="1" applyFont="1" applyFill="1" applyBorder="1" applyAlignment="1">
      <alignment horizontal="center"/>
    </xf>
    <xf numFmtId="184" fontId="10" fillId="5" borderId="4" xfId="0" applyNumberFormat="1" applyFont="1" applyFill="1" applyBorder="1" applyAlignment="1">
      <alignment horizontal="center"/>
    </xf>
    <xf numFmtId="184" fontId="8" fillId="3" borderId="7" xfId="0" applyNumberFormat="1" applyFont="1" applyFill="1" applyBorder="1" applyAlignment="1">
      <alignment horizontal="center"/>
    </xf>
    <xf numFmtId="184" fontId="4" fillId="6" borderId="1" xfId="3" applyNumberFormat="1" applyFont="1" applyFill="1" applyBorder="1" applyAlignment="1">
      <alignment vertical="center"/>
    </xf>
    <xf numFmtId="184" fontId="6" fillId="4" borderId="3" xfId="2" applyNumberFormat="1" applyFont="1" applyFill="1" applyBorder="1" applyAlignment="1">
      <alignment vertical="center" wrapText="1"/>
    </xf>
    <xf numFmtId="184" fontId="7" fillId="5" borderId="4" xfId="0" applyNumberFormat="1" applyFont="1" applyFill="1" applyBorder="1" applyAlignment="1">
      <alignment vertical="center"/>
    </xf>
    <xf numFmtId="184" fontId="9" fillId="0" borderId="5" xfId="0" applyNumberFormat="1" applyFont="1" applyBorder="1" applyAlignment="1">
      <alignment vertical="center"/>
    </xf>
    <xf numFmtId="184" fontId="8" fillId="4" borderId="4" xfId="0" applyNumberFormat="1" applyFont="1" applyFill="1" applyBorder="1" applyAlignment="1">
      <alignment vertical="center"/>
    </xf>
    <xf numFmtId="184" fontId="10" fillId="5" borderId="4" xfId="0" applyNumberFormat="1" applyFont="1" applyFill="1" applyBorder="1" applyAlignment="1">
      <alignment vertical="center"/>
    </xf>
    <xf numFmtId="184" fontId="8" fillId="2" borderId="6" xfId="0" applyNumberFormat="1" applyFont="1" applyFill="1" applyBorder="1" applyAlignment="1">
      <alignment vertical="center"/>
    </xf>
    <xf numFmtId="184" fontId="8" fillId="3" borderId="7" xfId="0" applyNumberFormat="1" applyFont="1" applyFill="1" applyBorder="1" applyAlignment="1">
      <alignment vertical="center"/>
    </xf>
    <xf numFmtId="184" fontId="0" fillId="0" borderId="0" xfId="0" applyNumberFormat="1" applyAlignment="1">
      <alignment horizontal="center" vertical="center"/>
    </xf>
    <xf numFmtId="184" fontId="8" fillId="4" borderId="0" xfId="0" applyNumberFormat="1" applyFont="1" applyFill="1" applyBorder="1" applyAlignment="1">
      <alignment horizontal="center"/>
    </xf>
    <xf numFmtId="184" fontId="20" fillId="0" borderId="0" xfId="0" applyNumberFormat="1" applyFont="1" applyAlignment="1">
      <alignment horizontal="center" vertical="center"/>
    </xf>
    <xf numFmtId="184" fontId="4" fillId="6" borderId="1" xfId="3" applyNumberFormat="1" applyFont="1" applyFill="1" applyBorder="1" applyAlignment="1" applyProtection="1">
      <alignment horizontal="center" vertical="center"/>
      <protection hidden="1"/>
    </xf>
    <xf numFmtId="184" fontId="19" fillId="4" borderId="3" xfId="2" applyNumberFormat="1" applyFont="1" applyFill="1" applyBorder="1" applyAlignment="1" applyProtection="1">
      <alignment horizontal="center" wrapText="1"/>
      <protection hidden="1"/>
    </xf>
    <xf numFmtId="184" fontId="10" fillId="5" borderId="4" xfId="0" applyNumberFormat="1" applyFont="1" applyFill="1" applyBorder="1" applyAlignment="1" applyProtection="1">
      <alignment horizontal="center"/>
      <protection hidden="1"/>
    </xf>
    <xf numFmtId="184" fontId="9" fillId="0" borderId="5" xfId="0" applyNumberFormat="1" applyFont="1" applyBorder="1" applyAlignment="1" applyProtection="1">
      <alignment horizontal="center" vertical="center"/>
      <protection hidden="1"/>
    </xf>
    <xf numFmtId="184" fontId="11" fillId="4" borderId="4" xfId="0" applyNumberFormat="1" applyFont="1" applyFill="1" applyBorder="1" applyAlignment="1" applyProtection="1">
      <alignment horizontal="center"/>
      <protection hidden="1"/>
    </xf>
    <xf numFmtId="184" fontId="11" fillId="2" borderId="6" xfId="0" applyNumberFormat="1" applyFont="1" applyFill="1" applyBorder="1" applyAlignment="1" applyProtection="1">
      <alignment horizontal="center"/>
      <protection hidden="1"/>
    </xf>
    <xf numFmtId="184" fontId="11" fillId="3" borderId="7" xfId="0" applyNumberFormat="1" applyFont="1" applyFill="1" applyBorder="1" applyAlignment="1" applyProtection="1">
      <alignment horizontal="center"/>
      <protection hidden="1"/>
    </xf>
    <xf numFmtId="184" fontId="0" fillId="0" borderId="0" xfId="0" applyNumberFormat="1" applyFont="1" applyAlignment="1">
      <alignment horizontal="center" vertical="center"/>
    </xf>
    <xf numFmtId="184" fontId="11" fillId="4" borderId="4" xfId="0" applyNumberFormat="1" applyFont="1" applyFill="1" applyBorder="1" applyAlignment="1">
      <alignment horizontal="center"/>
    </xf>
    <xf numFmtId="184" fontId="11" fillId="3" borderId="7" xfId="0" applyNumberFormat="1" applyFont="1" applyFill="1" applyBorder="1" applyAlignment="1">
      <alignment horizontal="center"/>
    </xf>
    <xf numFmtId="184" fontId="27" fillId="0" borderId="0" xfId="0" applyNumberFormat="1" applyFont="1" applyAlignment="1">
      <alignment horizontal="center" vertical="center"/>
    </xf>
    <xf numFmtId="176" fontId="31" fillId="2" borderId="18" xfId="1" applyNumberFormat="1" applyFont="1" applyFill="1" applyBorder="1" applyAlignment="1">
      <alignment horizontal="left" vertical="center"/>
    </xf>
    <xf numFmtId="176" fontId="31" fillId="2" borderId="21" xfId="1" applyFont="1" applyFill="1" applyBorder="1" applyAlignment="1">
      <alignment horizontal="center"/>
    </xf>
    <xf numFmtId="9" fontId="0" fillId="0" borderId="0" xfId="2" applyFont="1">
      <alignment vertical="center"/>
    </xf>
    <xf numFmtId="0" fontId="0" fillId="0" borderId="0" xfId="2" applyNumberFormat="1" applyFont="1">
      <alignment vertical="center"/>
    </xf>
    <xf numFmtId="0" fontId="22" fillId="0" borderId="0" xfId="0" applyFont="1" applyAlignment="1">
      <alignment horizontal="center" vertical="center"/>
    </xf>
    <xf numFmtId="43" fontId="13" fillId="0" borderId="4" xfId="1" applyNumberFormat="1" applyFont="1" applyBorder="1" applyAlignment="1">
      <alignment horizontal="center" vertical="top" textRotation="255" wrapText="1"/>
    </xf>
    <xf numFmtId="43" fontId="13" fillId="0" borderId="4" xfId="1" applyNumberFormat="1" applyFont="1" applyBorder="1" applyAlignment="1">
      <alignment horizontal="center" vertical="center" textRotation="255" wrapText="1"/>
    </xf>
    <xf numFmtId="43" fontId="13" fillId="0" borderId="4" xfId="1" applyNumberFormat="1" applyFont="1" applyFill="1" applyBorder="1" applyAlignment="1">
      <alignment horizontal="center" vertical="center" textRotation="255"/>
    </xf>
    <xf numFmtId="43" fontId="13" fillId="0" borderId="6" xfId="1" applyNumberFormat="1" applyFont="1" applyFill="1" applyBorder="1" applyAlignment="1">
      <alignment horizontal="center" vertical="center" textRotation="255"/>
    </xf>
    <xf numFmtId="43" fontId="13" fillId="0" borderId="12" xfId="1" applyNumberFormat="1" applyFont="1" applyFill="1" applyBorder="1" applyAlignment="1">
      <alignment horizontal="center" vertical="center" textRotation="255"/>
    </xf>
    <xf numFmtId="43" fontId="13" fillId="0" borderId="2" xfId="1" applyNumberFormat="1" applyFont="1" applyFill="1" applyBorder="1" applyAlignment="1">
      <alignment horizontal="center" vertical="center" textRotation="255"/>
    </xf>
    <xf numFmtId="43" fontId="13" fillId="0" borderId="6" xfId="1" applyNumberFormat="1" applyFont="1" applyBorder="1" applyAlignment="1">
      <alignment horizontal="center" vertical="top" textRotation="255" wrapText="1"/>
    </xf>
    <xf numFmtId="43" fontId="13" fillId="0" borderId="12" xfId="1" applyNumberFormat="1" applyFont="1" applyBorder="1" applyAlignment="1">
      <alignment horizontal="center" vertical="top" textRotation="255" wrapText="1"/>
    </xf>
    <xf numFmtId="43" fontId="13" fillId="0" borderId="2" xfId="1" applyNumberFormat="1" applyFont="1" applyBorder="1" applyAlignment="1">
      <alignment horizontal="center" vertical="top" textRotation="255" wrapText="1"/>
    </xf>
    <xf numFmtId="43" fontId="13" fillId="0" borderId="6" xfId="1" applyNumberFormat="1" applyFont="1" applyBorder="1" applyAlignment="1">
      <alignment horizontal="center" vertical="center" textRotation="255" wrapText="1"/>
    </xf>
    <xf numFmtId="43" fontId="13" fillId="0" borderId="12" xfId="1" applyNumberFormat="1" applyFont="1" applyBorder="1" applyAlignment="1">
      <alignment horizontal="center" vertical="center" textRotation="255" wrapText="1"/>
    </xf>
    <xf numFmtId="43" fontId="13" fillId="0" borderId="2" xfId="1" applyNumberFormat="1" applyFont="1" applyBorder="1" applyAlignment="1">
      <alignment horizontal="center" vertical="center" textRotation="255" wrapText="1"/>
    </xf>
    <xf numFmtId="43" fontId="4" fillId="3" borderId="9" xfId="3" applyNumberFormat="1" applyFont="1" applyFill="1" applyBorder="1" applyAlignment="1">
      <alignment horizontal="center" vertical="center"/>
    </xf>
    <xf numFmtId="43" fontId="4" fillId="3" borderId="3" xfId="3" applyNumberFormat="1" applyFont="1" applyFill="1" applyBorder="1" applyAlignment="1">
      <alignment horizontal="center" vertical="center"/>
    </xf>
    <xf numFmtId="49" fontId="21" fillId="2" borderId="0" xfId="0" applyNumberFormat="1" applyFont="1" applyFill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176" fontId="31" fillId="2" borderId="17" xfId="1" applyNumberFormat="1" applyFont="1" applyFill="1" applyBorder="1" applyAlignment="1">
      <alignment horizontal="left" vertical="center"/>
    </xf>
    <xf numFmtId="176" fontId="31" fillId="2" borderId="14" xfId="1" applyNumberFormat="1" applyFont="1" applyFill="1" applyBorder="1" applyAlignment="1">
      <alignment horizontal="left" vertical="center"/>
    </xf>
    <xf numFmtId="176" fontId="31" fillId="2" borderId="15" xfId="1" applyNumberFormat="1" applyFont="1" applyFill="1" applyBorder="1" applyAlignment="1">
      <alignment horizontal="left" vertical="center"/>
    </xf>
    <xf numFmtId="176" fontId="31" fillId="2" borderId="18" xfId="1" applyNumberFormat="1" applyFont="1" applyFill="1" applyBorder="1" applyAlignment="1">
      <alignment horizontal="left" vertical="center"/>
    </xf>
    <xf numFmtId="0" fontId="29" fillId="0" borderId="20" xfId="0" applyFon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2015/9&#26376;/&#32771;&#26680;&#25968;&#25454;&#35843;&#25972;&#34920;2015&#24180;9&#26376;&#65288;&#28145;&#20998;&#65289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5/11&#26376;/&#32771;&#26680;&#25968;&#25454;&#35843;&#25972;&#34920;&#65288;2015&#24180;1-11&#2637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2">
          <cell r="I2" t="str">
            <v>其他</v>
          </cell>
        </row>
        <row r="3">
          <cell r="I3" t="str">
            <v>总部中后台</v>
          </cell>
        </row>
        <row r="4">
          <cell r="I4" t="str">
            <v>经纪业务</v>
          </cell>
        </row>
        <row r="5">
          <cell r="I5" t="str">
            <v>资产管理</v>
          </cell>
        </row>
        <row r="6">
          <cell r="I6" t="str">
            <v>固定收益</v>
          </cell>
        </row>
        <row r="7">
          <cell r="I7" t="str">
            <v>证券投资</v>
          </cell>
        </row>
        <row r="8">
          <cell r="I8" t="str">
            <v>产品投资</v>
          </cell>
        </row>
        <row r="9">
          <cell r="I9" t="str">
            <v>风险管理部</v>
          </cell>
        </row>
        <row r="10">
          <cell r="I10" t="str">
            <v>深圳管理部</v>
          </cell>
        </row>
        <row r="11">
          <cell r="I11" t="str">
            <v>金融工程部</v>
          </cell>
        </row>
        <row r="12">
          <cell r="I12" t="str">
            <v>场外市场</v>
          </cell>
        </row>
        <row r="13">
          <cell r="I13" t="str">
            <v>财务顾问</v>
          </cell>
        </row>
        <row r="14">
          <cell r="I14" t="str">
            <v>债券融资</v>
          </cell>
        </row>
        <row r="15">
          <cell r="I15" t="str">
            <v>股权融资</v>
          </cell>
        </row>
        <row r="16">
          <cell r="I16" t="str">
            <v>投行总部</v>
          </cell>
        </row>
        <row r="17">
          <cell r="I17" t="str">
            <v>浙分总部</v>
          </cell>
        </row>
        <row r="18">
          <cell r="I18" t="str">
            <v>综合业务部</v>
          </cell>
        </row>
        <row r="19">
          <cell r="I19" t="str">
            <v>网络金融部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（分填报单位）"/>
      <sheetName val="调整事项"/>
    </sheetNames>
    <sheetDataSet>
      <sheetData sheetId="0"/>
      <sheetData sheetId="1">
        <row r="123">
          <cell r="C123">
            <v>2408.1899110000004</v>
          </cell>
          <cell r="D123">
            <v>9.4604999999999997</v>
          </cell>
          <cell r="E123">
            <v>408.9538</v>
          </cell>
          <cell r="F123">
            <v>1052.5821039999998</v>
          </cell>
          <cell r="G123">
            <v>188.59718000000001</v>
          </cell>
          <cell r="H123">
            <v>149.68939700000001</v>
          </cell>
          <cell r="I123">
            <v>53.623357999999996</v>
          </cell>
          <cell r="J123">
            <v>41.806989999999999</v>
          </cell>
          <cell r="K123">
            <v>28.895690000000002</v>
          </cell>
          <cell r="L123">
            <v>0</v>
          </cell>
          <cell r="M123">
            <v>6.1748589999999997</v>
          </cell>
          <cell r="N123">
            <v>19.188500000000001</v>
          </cell>
          <cell r="O123">
            <v>36.634360000000001</v>
          </cell>
          <cell r="P123">
            <v>530.2758970000001</v>
          </cell>
          <cell r="Q123">
            <v>22.370488000000002</v>
          </cell>
          <cell r="R123">
            <v>395.81619900000004</v>
          </cell>
          <cell r="S123">
            <v>86.82441</v>
          </cell>
          <cell r="T123">
            <v>25.264800000000001</v>
          </cell>
          <cell r="U123">
            <v>31.996673000000001</v>
          </cell>
          <cell r="V123">
            <v>10.86839</v>
          </cell>
          <cell r="W123">
            <v>6.8138880000000004</v>
          </cell>
          <cell r="X123">
            <v>14.314395000000001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"/>
  <sheetViews>
    <sheetView tabSelected="1" workbookViewId="0">
      <pane xSplit="1" ySplit="3" topLeftCell="B30" activePane="bottomRight" state="frozen"/>
      <selection pane="topRight" activeCell="B1" sqref="B1"/>
      <selection pane="bottomLeft" activeCell="A5" sqref="A5"/>
      <selection pane="bottomRight" activeCell="H42" sqref="H42"/>
    </sheetView>
  </sheetViews>
  <sheetFormatPr defaultRowHeight="13.5"/>
  <cols>
    <col min="1" max="1" width="25.125" style="29" customWidth="1"/>
    <col min="2" max="2" width="14.125" style="29" customWidth="1"/>
    <col min="3" max="3" width="12" style="29" customWidth="1"/>
    <col min="4" max="4" width="12.5" style="29" customWidth="1"/>
    <col min="5" max="7" width="12" style="29" customWidth="1"/>
    <col min="8" max="8" width="12.625" style="29" customWidth="1"/>
    <col min="9" max="9" width="12" style="29" customWidth="1"/>
    <col min="10" max="10" width="13.625" style="220" customWidth="1"/>
    <col min="11" max="19" width="12" style="29" customWidth="1"/>
    <col min="20" max="20" width="16.375" style="29" bestFit="1" customWidth="1"/>
    <col min="21" max="25" width="12" style="29" customWidth="1"/>
    <col min="26" max="16384" width="9" style="29"/>
  </cols>
  <sheetData>
    <row r="1" spans="1:25" ht="22.5" customHeight="1">
      <c r="A1" s="238" t="s">
        <v>267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</row>
    <row r="2" spans="1:25" ht="14.25" thickBot="1">
      <c r="A2" s="30" t="s">
        <v>47</v>
      </c>
      <c r="B2" s="28" t="s">
        <v>121</v>
      </c>
      <c r="C2" s="31"/>
      <c r="D2" s="116">
        <v>12</v>
      </c>
      <c r="E2" s="31"/>
      <c r="F2" s="31"/>
      <c r="G2" s="31"/>
      <c r="H2" s="31"/>
      <c r="I2" s="31"/>
      <c r="J2" s="206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s="20" customFormat="1">
      <c r="A3" s="91" t="s">
        <v>279</v>
      </c>
      <c r="B3" s="91" t="s">
        <v>173</v>
      </c>
      <c r="C3" s="91" t="s">
        <v>174</v>
      </c>
      <c r="D3" s="91" t="s">
        <v>175</v>
      </c>
      <c r="E3" s="91" t="s">
        <v>176</v>
      </c>
      <c r="F3" s="91" t="s">
        <v>195</v>
      </c>
      <c r="G3" s="91" t="s">
        <v>178</v>
      </c>
      <c r="H3" s="90" t="s">
        <v>196</v>
      </c>
      <c r="I3" s="90" t="s">
        <v>197</v>
      </c>
      <c r="J3" s="193" t="s">
        <v>130</v>
      </c>
      <c r="K3" s="90" t="s">
        <v>182</v>
      </c>
      <c r="L3" s="90" t="s">
        <v>183</v>
      </c>
      <c r="M3" s="90" t="s">
        <v>184</v>
      </c>
      <c r="N3" s="77" t="s">
        <v>185</v>
      </c>
      <c r="O3" s="91" t="s">
        <v>186</v>
      </c>
      <c r="P3" s="90" t="s">
        <v>187</v>
      </c>
      <c r="Q3" s="90" t="s">
        <v>188</v>
      </c>
      <c r="R3" s="90" t="s">
        <v>189</v>
      </c>
      <c r="S3" s="90" t="s">
        <v>190</v>
      </c>
      <c r="T3" s="91" t="s">
        <v>191</v>
      </c>
      <c r="U3" s="90" t="s">
        <v>192</v>
      </c>
      <c r="V3" s="90" t="s">
        <v>193</v>
      </c>
      <c r="W3" s="90" t="s">
        <v>194</v>
      </c>
      <c r="X3" s="91"/>
      <c r="Y3" s="91"/>
    </row>
    <row r="4" spans="1:25" s="20" customFormat="1">
      <c r="A4" s="21" t="s">
        <v>1</v>
      </c>
      <c r="B4" s="21">
        <v>242641.53152799999</v>
      </c>
      <c r="C4" s="21">
        <v>257.00149499999998</v>
      </c>
      <c r="D4" s="21">
        <v>-24920.83848799999</v>
      </c>
      <c r="E4" s="21">
        <v>173361.56023999996</v>
      </c>
      <c r="F4" s="21">
        <v>30743.045762999998</v>
      </c>
      <c r="G4" s="21">
        <v>47802.441494000006</v>
      </c>
      <c r="H4" s="21">
        <v>27502.468609</v>
      </c>
      <c r="I4" s="21">
        <v>19395.477752999999</v>
      </c>
      <c r="J4" s="207">
        <v>181.37159699999998</v>
      </c>
      <c r="K4" s="21">
        <v>0</v>
      </c>
      <c r="L4" s="21">
        <v>0.26515299999999997</v>
      </c>
      <c r="M4" s="21">
        <v>722.85838200000001</v>
      </c>
      <c r="N4" s="21">
        <v>2986.1876999999999</v>
      </c>
      <c r="O4" s="21">
        <v>12412.133204999998</v>
      </c>
      <c r="P4" s="21">
        <v>397</v>
      </c>
      <c r="Q4" s="21">
        <v>11848.333204999999</v>
      </c>
      <c r="R4" s="21">
        <v>160</v>
      </c>
      <c r="S4" s="21">
        <v>6.8</v>
      </c>
      <c r="T4" s="21">
        <v>1.1900000000000105E-4</v>
      </c>
      <c r="U4" s="21">
        <v>1.1900000000000105E-4</v>
      </c>
      <c r="V4" s="21">
        <v>0</v>
      </c>
      <c r="W4" s="21">
        <v>0</v>
      </c>
      <c r="X4" s="21">
        <v>0</v>
      </c>
      <c r="Y4" s="21">
        <v>0</v>
      </c>
    </row>
    <row r="5" spans="1:25" s="20" customFormat="1">
      <c r="A5" s="22" t="s">
        <v>149</v>
      </c>
      <c r="B5" s="22">
        <v>155919.92270699999</v>
      </c>
      <c r="C5" s="18">
        <v>29.019416999999997</v>
      </c>
      <c r="D5" s="22">
        <v>-221.58551299999704</v>
      </c>
      <c r="E5" s="22">
        <v>117719.01008299999</v>
      </c>
      <c r="F5" s="22">
        <v>23014.781096999999</v>
      </c>
      <c r="G5" s="22">
        <v>-19.575281999999987</v>
      </c>
      <c r="H5" s="22">
        <v>-80</v>
      </c>
      <c r="I5" s="22">
        <v>0</v>
      </c>
      <c r="J5" s="208">
        <v>0</v>
      </c>
      <c r="K5" s="22"/>
      <c r="L5" s="22">
        <v>-0.192</v>
      </c>
      <c r="M5" s="22">
        <v>60.616718000000006</v>
      </c>
      <c r="N5" s="22">
        <v>2986.1876999999999</v>
      </c>
      <c r="O5" s="22">
        <v>12412.133204999998</v>
      </c>
      <c r="P5" s="18">
        <v>397</v>
      </c>
      <c r="Q5" s="18">
        <v>11848.333204999999</v>
      </c>
      <c r="R5" s="18">
        <v>160</v>
      </c>
      <c r="S5" s="18">
        <v>6.8</v>
      </c>
      <c r="T5" s="18">
        <v>-4.8000000000000001E-2</v>
      </c>
      <c r="U5" s="22">
        <v>-4.8000000000000001E-2</v>
      </c>
      <c r="V5" s="18">
        <v>0</v>
      </c>
      <c r="W5" s="18">
        <v>0</v>
      </c>
      <c r="X5" s="22"/>
      <c r="Y5" s="22"/>
    </row>
    <row r="6" spans="1:25" s="19" customFormat="1">
      <c r="A6" s="23" t="s">
        <v>3</v>
      </c>
      <c r="B6" s="23">
        <v>117306.84980999999</v>
      </c>
      <c r="C6" s="18">
        <v>29.019416999999997</v>
      </c>
      <c r="D6" s="22">
        <v>-179.84975399999203</v>
      </c>
      <c r="E6" s="18">
        <v>117407.40419599997</v>
      </c>
      <c r="F6" s="18">
        <v>34.739485999999999</v>
      </c>
      <c r="G6" s="22">
        <v>15.536465</v>
      </c>
      <c r="H6" s="22">
        <v>0</v>
      </c>
      <c r="I6" s="22">
        <v>0</v>
      </c>
      <c r="J6" s="208">
        <v>0</v>
      </c>
      <c r="K6" s="23"/>
      <c r="L6" s="22">
        <v>0</v>
      </c>
      <c r="M6" s="22">
        <v>15.536465</v>
      </c>
      <c r="N6" s="22">
        <v>0</v>
      </c>
      <c r="O6" s="22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22">
        <v>0</v>
      </c>
      <c r="V6" s="18">
        <v>0</v>
      </c>
      <c r="W6" s="18">
        <v>0</v>
      </c>
      <c r="X6" s="23"/>
      <c r="Y6" s="23"/>
    </row>
    <row r="7" spans="1:25" s="19" customFormat="1">
      <c r="A7" s="23" t="s">
        <v>150</v>
      </c>
      <c r="B7" s="23">
        <v>14994.520905000001</v>
      </c>
      <c r="C7" s="18">
        <v>0</v>
      </c>
      <c r="D7" s="22">
        <v>1.8189894035458565E-12</v>
      </c>
      <c r="E7" s="18">
        <v>0</v>
      </c>
      <c r="F7" s="18">
        <v>0</v>
      </c>
      <c r="G7" s="22">
        <v>0</v>
      </c>
      <c r="H7" s="22">
        <v>0</v>
      </c>
      <c r="I7" s="22">
        <v>0</v>
      </c>
      <c r="J7" s="208">
        <v>0</v>
      </c>
      <c r="K7" s="23"/>
      <c r="L7" s="22">
        <v>0</v>
      </c>
      <c r="M7" s="22">
        <v>0</v>
      </c>
      <c r="N7" s="22">
        <v>2986.1876999999999</v>
      </c>
      <c r="O7" s="22">
        <v>12008.333204999999</v>
      </c>
      <c r="P7" s="18">
        <v>0</v>
      </c>
      <c r="Q7" s="18">
        <v>11848.333204999999</v>
      </c>
      <c r="R7" s="18">
        <v>160</v>
      </c>
      <c r="S7" s="18">
        <v>0</v>
      </c>
      <c r="T7" s="18">
        <v>0</v>
      </c>
      <c r="U7" s="22">
        <v>0</v>
      </c>
      <c r="V7" s="18">
        <v>0</v>
      </c>
      <c r="W7" s="18">
        <v>0</v>
      </c>
      <c r="X7" s="23"/>
      <c r="Y7" s="23"/>
    </row>
    <row r="8" spans="1:25" s="19" customFormat="1">
      <c r="A8" s="23" t="s">
        <v>151</v>
      </c>
      <c r="B8" s="23">
        <v>22980.096610999997</v>
      </c>
      <c r="C8" s="18">
        <v>0</v>
      </c>
      <c r="D8" s="22">
        <v>0</v>
      </c>
      <c r="E8" s="18">
        <v>0</v>
      </c>
      <c r="F8" s="18">
        <v>22980.096610999997</v>
      </c>
      <c r="G8" s="22">
        <v>0</v>
      </c>
      <c r="H8" s="22">
        <v>0</v>
      </c>
      <c r="I8" s="22">
        <v>0</v>
      </c>
      <c r="J8" s="208">
        <v>0</v>
      </c>
      <c r="K8" s="23"/>
      <c r="L8" s="22">
        <v>0</v>
      </c>
      <c r="M8" s="22">
        <v>0</v>
      </c>
      <c r="N8" s="22">
        <v>0</v>
      </c>
      <c r="O8" s="22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22">
        <v>0</v>
      </c>
      <c r="V8" s="18">
        <v>0</v>
      </c>
      <c r="W8" s="18">
        <v>0</v>
      </c>
      <c r="X8" s="23"/>
      <c r="Y8" s="23"/>
    </row>
    <row r="9" spans="1:25" s="20" customFormat="1">
      <c r="A9" s="22" t="s">
        <v>152</v>
      </c>
      <c r="B9" s="22">
        <v>30037.862382999992</v>
      </c>
      <c r="C9" s="18">
        <v>227.982078</v>
      </c>
      <c r="D9" s="22">
        <v>-24842.94135999999</v>
      </c>
      <c r="E9" s="22">
        <v>55330.440691999982</v>
      </c>
      <c r="F9" s="22">
        <v>-44.589378000000004</v>
      </c>
      <c r="G9" s="22">
        <v>-633.07776799999999</v>
      </c>
      <c r="H9" s="22">
        <v>-737.97832800000003</v>
      </c>
      <c r="I9" s="22">
        <v>91.042764000000005</v>
      </c>
      <c r="J9" s="208">
        <v>4.0300000000000004E-4</v>
      </c>
      <c r="K9" s="22"/>
      <c r="L9" s="22">
        <v>0.45715299999999998</v>
      </c>
      <c r="M9" s="22">
        <v>13.40024</v>
      </c>
      <c r="N9" s="22">
        <v>0</v>
      </c>
      <c r="O9" s="22">
        <v>0</v>
      </c>
      <c r="P9" s="18">
        <v>0</v>
      </c>
      <c r="Q9" s="18">
        <v>0</v>
      </c>
      <c r="R9" s="18">
        <v>0</v>
      </c>
      <c r="S9" s="18">
        <v>0</v>
      </c>
      <c r="T9" s="18">
        <v>4.8119000000000002E-2</v>
      </c>
      <c r="U9" s="22">
        <v>4.8119000000000002E-2</v>
      </c>
      <c r="V9" s="18">
        <v>0</v>
      </c>
      <c r="W9" s="18">
        <v>0</v>
      </c>
      <c r="X9" s="22"/>
      <c r="Y9" s="22"/>
    </row>
    <row r="10" spans="1:25" s="20" customFormat="1">
      <c r="A10" s="22" t="s">
        <v>153</v>
      </c>
      <c r="B10" s="22">
        <v>50851.656522000005</v>
      </c>
      <c r="C10" s="18">
        <v>0</v>
      </c>
      <c r="D10" s="22">
        <v>144.87125399999786</v>
      </c>
      <c r="E10" s="22">
        <v>150.61301599999999</v>
      </c>
      <c r="F10" s="22">
        <v>7772.8540439999997</v>
      </c>
      <c r="G10" s="22">
        <v>42783.318208000004</v>
      </c>
      <c r="H10" s="22">
        <v>25507.358490999999</v>
      </c>
      <c r="I10" s="22">
        <v>16240.875524000001</v>
      </c>
      <c r="J10" s="208">
        <v>406.46152699999999</v>
      </c>
      <c r="K10" s="22"/>
      <c r="L10" s="22">
        <v>0</v>
      </c>
      <c r="M10" s="22">
        <v>628.62266599999998</v>
      </c>
      <c r="N10" s="22">
        <v>0</v>
      </c>
      <c r="O10" s="22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22">
        <v>0</v>
      </c>
      <c r="V10" s="18">
        <v>0</v>
      </c>
      <c r="W10" s="18">
        <v>0</v>
      </c>
      <c r="X10" s="22"/>
      <c r="Y10" s="22"/>
    </row>
    <row r="11" spans="1:25" s="20" customFormat="1">
      <c r="A11" s="147" t="s">
        <v>154</v>
      </c>
      <c r="B11" s="22">
        <v>36.342889</v>
      </c>
      <c r="C11" s="18">
        <v>0</v>
      </c>
      <c r="D11" s="22">
        <v>36.342889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08">
        <v>0</v>
      </c>
      <c r="K11" s="22"/>
      <c r="L11" s="22">
        <v>0</v>
      </c>
      <c r="M11" s="22">
        <v>0</v>
      </c>
      <c r="N11" s="22">
        <v>0</v>
      </c>
      <c r="O11" s="22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22">
        <v>0</v>
      </c>
      <c r="V11" s="18">
        <v>0</v>
      </c>
      <c r="W11" s="18">
        <v>0</v>
      </c>
      <c r="X11" s="22"/>
      <c r="Y11" s="22"/>
    </row>
    <row r="12" spans="1:25" s="20" customFormat="1">
      <c r="A12" s="22" t="s">
        <v>155</v>
      </c>
      <c r="B12" s="22">
        <v>5678.9945079999998</v>
      </c>
      <c r="C12" s="18">
        <v>0</v>
      </c>
      <c r="D12" s="22">
        <v>7.2181719999998677</v>
      </c>
      <c r="E12" s="22">
        <v>0</v>
      </c>
      <c r="F12" s="22">
        <v>0</v>
      </c>
      <c r="G12" s="22">
        <v>5671.7763359999999</v>
      </c>
      <c r="H12" s="22">
        <v>2813.0884460000002</v>
      </c>
      <c r="I12" s="22">
        <v>3063.5594649999998</v>
      </c>
      <c r="J12" s="208">
        <v>-225.09033300000002</v>
      </c>
      <c r="K12" s="22"/>
      <c r="L12" s="22">
        <v>0</v>
      </c>
      <c r="M12" s="22">
        <v>20.218757999999998</v>
      </c>
      <c r="N12" s="22">
        <v>0</v>
      </c>
      <c r="O12" s="22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22">
        <v>0</v>
      </c>
      <c r="V12" s="18">
        <v>0</v>
      </c>
      <c r="W12" s="18">
        <v>0</v>
      </c>
      <c r="X12" s="22"/>
      <c r="Y12" s="22"/>
    </row>
    <row r="13" spans="1:25" s="20" customFormat="1">
      <c r="A13" s="22" t="s">
        <v>156</v>
      </c>
      <c r="B13" s="22">
        <v>74.616732999999982</v>
      </c>
      <c r="C13" s="18">
        <v>0</v>
      </c>
      <c r="D13" s="22">
        <v>-8.4010410000000064</v>
      </c>
      <c r="E13" s="22">
        <v>83.017773999999989</v>
      </c>
      <c r="F13" s="22">
        <v>0</v>
      </c>
      <c r="G13" s="22">
        <v>0</v>
      </c>
      <c r="H13" s="22">
        <v>0</v>
      </c>
      <c r="I13" s="22">
        <v>0</v>
      </c>
      <c r="J13" s="208">
        <v>0</v>
      </c>
      <c r="K13" s="22"/>
      <c r="L13" s="22">
        <v>0</v>
      </c>
      <c r="M13" s="22">
        <v>0</v>
      </c>
      <c r="N13" s="22">
        <v>0</v>
      </c>
      <c r="O13" s="22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22">
        <v>0</v>
      </c>
      <c r="V13" s="18">
        <v>0</v>
      </c>
      <c r="W13" s="18">
        <v>0</v>
      </c>
      <c r="X13" s="22"/>
      <c r="Y13" s="22"/>
    </row>
    <row r="14" spans="1:25" s="20" customFormat="1">
      <c r="A14" s="22" t="s">
        <v>157</v>
      </c>
      <c r="B14" s="22">
        <v>78.478674999999996</v>
      </c>
      <c r="C14" s="18">
        <v>0</v>
      </c>
      <c r="D14" s="22">
        <v>0</v>
      </c>
      <c r="E14" s="22">
        <v>78.478674999999996</v>
      </c>
      <c r="F14" s="22">
        <v>0</v>
      </c>
      <c r="G14" s="22">
        <v>0</v>
      </c>
      <c r="H14" s="22">
        <v>0</v>
      </c>
      <c r="I14" s="22">
        <v>0</v>
      </c>
      <c r="J14" s="208">
        <v>0</v>
      </c>
      <c r="K14" s="22"/>
      <c r="L14" s="22">
        <v>0</v>
      </c>
      <c r="M14" s="22">
        <v>0</v>
      </c>
      <c r="N14" s="22">
        <v>0</v>
      </c>
      <c r="O14" s="22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22">
        <v>0</v>
      </c>
      <c r="V14" s="18">
        <v>0</v>
      </c>
      <c r="W14" s="18">
        <v>0</v>
      </c>
      <c r="X14" s="22"/>
      <c r="Y14" s="22"/>
    </row>
    <row r="15" spans="1:25" s="20" customFormat="1">
      <c r="A15" s="24" t="s">
        <v>11</v>
      </c>
      <c r="B15" s="24">
        <v>118087.50244199998</v>
      </c>
      <c r="C15" s="24">
        <v>36517.832493999995</v>
      </c>
      <c r="D15" s="24">
        <v>7562.4942699999847</v>
      </c>
      <c r="E15" s="24">
        <v>57265.664998999993</v>
      </c>
      <c r="F15" s="24">
        <v>3305.9691790000006</v>
      </c>
      <c r="G15" s="24">
        <v>6027.5577740000008</v>
      </c>
      <c r="H15" s="24">
        <v>3057.908598</v>
      </c>
      <c r="I15" s="24">
        <v>1660.9807049999999</v>
      </c>
      <c r="J15" s="209">
        <v>410.85044299999998</v>
      </c>
      <c r="K15" s="24">
        <v>0</v>
      </c>
      <c r="L15" s="24">
        <v>367.03666900000002</v>
      </c>
      <c r="M15" s="24">
        <v>530.78135900000007</v>
      </c>
      <c r="N15" s="24">
        <v>1297.8558639999999</v>
      </c>
      <c r="O15" s="24">
        <v>5182.4902099999999</v>
      </c>
      <c r="P15" s="24">
        <v>301.78074900000001</v>
      </c>
      <c r="Q15" s="24">
        <v>3693.0217320000002</v>
      </c>
      <c r="R15" s="24">
        <v>893.64337699999999</v>
      </c>
      <c r="S15" s="24">
        <v>294.044352</v>
      </c>
      <c r="T15" s="24">
        <v>927.637652</v>
      </c>
      <c r="U15" s="24">
        <v>111.79667600000001</v>
      </c>
      <c r="V15" s="24">
        <v>145.438256</v>
      </c>
      <c r="W15" s="24">
        <v>670.40272000000004</v>
      </c>
      <c r="X15" s="24">
        <v>0</v>
      </c>
      <c r="Y15" s="24">
        <v>0</v>
      </c>
    </row>
    <row r="16" spans="1:25" s="19" customFormat="1">
      <c r="A16" s="18" t="s">
        <v>158</v>
      </c>
      <c r="B16" s="22">
        <v>14292.634718999996</v>
      </c>
      <c r="C16" s="18">
        <v>1.4811669999999999</v>
      </c>
      <c r="D16" s="22">
        <v>9.9616719999986572</v>
      </c>
      <c r="E16" s="22">
        <v>9340.5363999999972</v>
      </c>
      <c r="F16" s="22">
        <v>1708.6516610000003</v>
      </c>
      <c r="G16" s="22">
        <v>2378.3209069999998</v>
      </c>
      <c r="H16" s="22">
        <v>1412.991779</v>
      </c>
      <c r="I16" s="22">
        <v>903.72595699999999</v>
      </c>
      <c r="J16" s="208">
        <v>22.660301</v>
      </c>
      <c r="K16" s="18"/>
      <c r="L16" s="22">
        <v>-1.4899999999999999E-4</v>
      </c>
      <c r="M16" s="22">
        <v>38.943019</v>
      </c>
      <c r="N16" s="22">
        <v>165.55424600000001</v>
      </c>
      <c r="O16" s="22">
        <v>688.12866600000007</v>
      </c>
      <c r="P16" s="18">
        <v>22.009679999999999</v>
      </c>
      <c r="Q16" s="18">
        <v>656.87159400000007</v>
      </c>
      <c r="R16" s="18">
        <v>8.8704000000000001</v>
      </c>
      <c r="S16" s="18">
        <v>0.37699199999999999</v>
      </c>
      <c r="T16" s="18">
        <v>0</v>
      </c>
      <c r="U16" s="22">
        <v>0</v>
      </c>
      <c r="V16" s="18">
        <v>0</v>
      </c>
      <c r="W16" s="18">
        <v>0</v>
      </c>
      <c r="X16" s="18"/>
      <c r="Y16" s="18"/>
    </row>
    <row r="17" spans="1:25" s="19" customFormat="1">
      <c r="A17" s="18" t="s">
        <v>159</v>
      </c>
      <c r="B17" s="22">
        <v>102528.70423299998</v>
      </c>
      <c r="C17" s="18">
        <v>36516.351326999997</v>
      </c>
      <c r="D17" s="22">
        <v>7430.7880949999862</v>
      </c>
      <c r="E17" s="22">
        <v>46780.709611999999</v>
      </c>
      <c r="F17" s="22">
        <v>1597.3175180000001</v>
      </c>
      <c r="G17" s="22">
        <v>3649.2368670000005</v>
      </c>
      <c r="H17" s="22">
        <v>1644.916819</v>
      </c>
      <c r="I17" s="22">
        <v>757.25474800000006</v>
      </c>
      <c r="J17" s="208">
        <v>388.19014199999998</v>
      </c>
      <c r="K17" s="18"/>
      <c r="L17" s="22">
        <v>367.03681800000004</v>
      </c>
      <c r="M17" s="22">
        <v>491.83834000000002</v>
      </c>
      <c r="N17" s="22">
        <v>1132.301618</v>
      </c>
      <c r="O17" s="22">
        <v>4494.3615440000003</v>
      </c>
      <c r="P17" s="18">
        <v>279.77106900000001</v>
      </c>
      <c r="Q17" s="18">
        <v>3036.150138</v>
      </c>
      <c r="R17" s="18">
        <v>884.77297699999997</v>
      </c>
      <c r="S17" s="18">
        <v>293.66736000000003</v>
      </c>
      <c r="T17" s="18">
        <v>927.637652</v>
      </c>
      <c r="U17" s="22">
        <v>111.79667600000001</v>
      </c>
      <c r="V17" s="18">
        <v>145.438256</v>
      </c>
      <c r="W17" s="18">
        <v>670.40272000000004</v>
      </c>
      <c r="X17" s="18"/>
      <c r="Y17" s="18"/>
    </row>
    <row r="18" spans="1:25" s="19" customFormat="1">
      <c r="A18" s="18" t="s">
        <v>160</v>
      </c>
      <c r="B18" s="18">
        <v>1266.1634899999999</v>
      </c>
      <c r="C18" s="18">
        <v>0</v>
      </c>
      <c r="D18" s="22">
        <v>121.7445029999999</v>
      </c>
      <c r="E18" s="18">
        <v>1144.418987</v>
      </c>
      <c r="F18" s="18">
        <v>0</v>
      </c>
      <c r="G18" s="18">
        <v>0</v>
      </c>
      <c r="H18" s="18">
        <v>0</v>
      </c>
      <c r="I18" s="18">
        <v>0</v>
      </c>
      <c r="J18" s="210">
        <v>0</v>
      </c>
      <c r="K18" s="18"/>
      <c r="L18" s="18">
        <v>0</v>
      </c>
      <c r="M18" s="18"/>
      <c r="N18" s="18"/>
      <c r="O18" s="18"/>
      <c r="P18" s="18"/>
      <c r="Q18" s="18"/>
      <c r="R18" s="18"/>
      <c r="S18" s="18"/>
      <c r="T18" s="18"/>
      <c r="U18" s="22">
        <v>0</v>
      </c>
      <c r="V18" s="18">
        <v>0</v>
      </c>
      <c r="W18" s="18">
        <v>0</v>
      </c>
      <c r="X18" s="18"/>
      <c r="Y18" s="18"/>
    </row>
    <row r="19" spans="1:25" s="19" customFormat="1">
      <c r="A19" s="18" t="s">
        <v>161</v>
      </c>
      <c r="B19" s="18"/>
      <c r="C19" s="18">
        <v>0</v>
      </c>
      <c r="D19" s="22">
        <v>0</v>
      </c>
      <c r="E19" s="18"/>
      <c r="F19" s="18">
        <v>0</v>
      </c>
      <c r="G19" s="18"/>
      <c r="H19" s="18">
        <v>0</v>
      </c>
      <c r="I19" s="18"/>
      <c r="J19" s="210">
        <v>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2">
        <v>0</v>
      </c>
      <c r="V19" s="18">
        <v>0</v>
      </c>
      <c r="W19" s="18">
        <v>0</v>
      </c>
      <c r="X19" s="18"/>
      <c r="Y19" s="18"/>
    </row>
    <row r="20" spans="1:25" s="20" customFormat="1">
      <c r="A20" s="24" t="s">
        <v>162</v>
      </c>
      <c r="B20" s="24">
        <v>124554.02908600001</v>
      </c>
      <c r="C20" s="24">
        <v>-36260.830998999998</v>
      </c>
      <c r="D20" s="24">
        <v>-32483.332757999975</v>
      </c>
      <c r="E20" s="24">
        <v>116095.89524099996</v>
      </c>
      <c r="F20" s="24">
        <v>27437.076583999999</v>
      </c>
      <c r="G20" s="24">
        <v>41774.883720000005</v>
      </c>
      <c r="H20" s="24">
        <v>24444.560011000001</v>
      </c>
      <c r="I20" s="24">
        <v>17734.497047999997</v>
      </c>
      <c r="J20" s="209">
        <v>-229.478846</v>
      </c>
      <c r="K20" s="24">
        <v>0</v>
      </c>
      <c r="L20" s="24">
        <v>-366.77151600000002</v>
      </c>
      <c r="M20" s="24">
        <v>192.07702299999994</v>
      </c>
      <c r="N20" s="24">
        <v>1688.3318360000001</v>
      </c>
      <c r="O20" s="24">
        <v>7229.6429949999983</v>
      </c>
      <c r="P20" s="24">
        <v>95.219250999999986</v>
      </c>
      <c r="Q20" s="24">
        <v>8155.3114729999988</v>
      </c>
      <c r="R20" s="24">
        <v>-733.64337699999999</v>
      </c>
      <c r="S20" s="24">
        <v>-287.24435199999999</v>
      </c>
      <c r="T20" s="24">
        <v>-927.63753299999996</v>
      </c>
      <c r="U20" s="24">
        <v>-111.79655700000001</v>
      </c>
      <c r="V20" s="24">
        <v>-145.438256</v>
      </c>
      <c r="W20" s="24">
        <v>-670.40272000000004</v>
      </c>
      <c r="X20" s="24">
        <v>0</v>
      </c>
      <c r="Y20" s="24">
        <v>0</v>
      </c>
    </row>
    <row r="21" spans="1:25" s="19" customFormat="1">
      <c r="A21" s="18" t="s">
        <v>163</v>
      </c>
      <c r="B21" s="22">
        <v>65.223984999999999</v>
      </c>
      <c r="C21" s="18">
        <v>0</v>
      </c>
      <c r="D21" s="22">
        <v>45.679440999999997</v>
      </c>
      <c r="E21" s="18">
        <v>19.544544000000002</v>
      </c>
      <c r="F21" s="22">
        <v>0</v>
      </c>
      <c r="G21" s="22">
        <v>0</v>
      </c>
      <c r="H21" s="22">
        <v>0</v>
      </c>
      <c r="I21" s="22">
        <v>0</v>
      </c>
      <c r="J21" s="208">
        <v>0</v>
      </c>
      <c r="K21" s="18"/>
      <c r="L21" s="22">
        <v>0</v>
      </c>
      <c r="M21" s="22">
        <v>0</v>
      </c>
      <c r="N21" s="18">
        <v>0</v>
      </c>
      <c r="O21" s="22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22">
        <v>0</v>
      </c>
      <c r="V21" s="18">
        <v>0</v>
      </c>
      <c r="W21" s="18">
        <v>0</v>
      </c>
      <c r="X21" s="18"/>
      <c r="Y21" s="18"/>
    </row>
    <row r="22" spans="1:25" s="19" customFormat="1">
      <c r="A22" s="18" t="s">
        <v>164</v>
      </c>
      <c r="B22" s="22">
        <v>439.72316000000006</v>
      </c>
      <c r="C22" s="18">
        <v>0</v>
      </c>
      <c r="D22" s="22">
        <v>364.19209699999999</v>
      </c>
      <c r="E22" s="18">
        <v>57.994106000000002</v>
      </c>
      <c r="F22" s="22">
        <v>0.11346600000000001</v>
      </c>
      <c r="G22" s="22">
        <v>0.88530100000000012</v>
      </c>
      <c r="H22" s="22">
        <v>6.2995000000000009E-2</v>
      </c>
      <c r="I22" s="22">
        <v>0</v>
      </c>
      <c r="J22" s="208">
        <v>0.57230600000000009</v>
      </c>
      <c r="K22" s="18"/>
      <c r="L22" s="22">
        <v>0</v>
      </c>
      <c r="M22" s="22">
        <v>0.25</v>
      </c>
      <c r="N22" s="18">
        <v>1.121324</v>
      </c>
      <c r="O22" s="22">
        <v>15.416866000000001</v>
      </c>
      <c r="P22" s="18">
        <v>0.125</v>
      </c>
      <c r="Q22" s="18">
        <v>15.291866000000001</v>
      </c>
      <c r="R22" s="18">
        <v>0</v>
      </c>
      <c r="S22" s="18">
        <v>0</v>
      </c>
      <c r="T22" s="18">
        <v>0</v>
      </c>
      <c r="U22" s="22">
        <v>0</v>
      </c>
      <c r="V22" s="18">
        <v>0</v>
      </c>
      <c r="W22" s="18">
        <v>0</v>
      </c>
      <c r="X22" s="18"/>
      <c r="Y22" s="18"/>
    </row>
    <row r="23" spans="1:25" s="20" customFormat="1">
      <c r="A23" s="24" t="s">
        <v>165</v>
      </c>
      <c r="B23" s="24">
        <v>124179.52991100002</v>
      </c>
      <c r="C23" s="24">
        <v>-36260.830998999998</v>
      </c>
      <c r="D23" s="24">
        <v>-32801.845413999974</v>
      </c>
      <c r="E23" s="24">
        <v>116057.44567899997</v>
      </c>
      <c r="F23" s="24">
        <v>27436.963118</v>
      </c>
      <c r="G23" s="24">
        <v>41773.998419000003</v>
      </c>
      <c r="H23" s="24">
        <v>24444.497016000001</v>
      </c>
      <c r="I23" s="24">
        <v>17734.497047999997</v>
      </c>
      <c r="J23" s="209">
        <v>-230.051152</v>
      </c>
      <c r="K23" s="24">
        <v>0</v>
      </c>
      <c r="L23" s="24">
        <v>-366.77151600000002</v>
      </c>
      <c r="M23" s="24">
        <v>191.82702299999994</v>
      </c>
      <c r="N23" s="24">
        <v>1687.2105120000001</v>
      </c>
      <c r="O23" s="24">
        <v>7214.2261289999988</v>
      </c>
      <c r="P23" s="24">
        <v>95.094250999999986</v>
      </c>
      <c r="Q23" s="24">
        <v>8140.0196069999993</v>
      </c>
      <c r="R23" s="24">
        <v>-733.64337699999999</v>
      </c>
      <c r="S23" s="24">
        <v>-287.24435199999999</v>
      </c>
      <c r="T23" s="24">
        <v>-927.63753299999996</v>
      </c>
      <c r="U23" s="24">
        <v>-111.79655700000001</v>
      </c>
      <c r="V23" s="24">
        <v>-145.438256</v>
      </c>
      <c r="W23" s="24">
        <v>-670.40272000000004</v>
      </c>
      <c r="X23" s="24">
        <v>0</v>
      </c>
      <c r="Y23" s="24">
        <v>0</v>
      </c>
    </row>
    <row r="24" spans="1:25" s="19" customFormat="1">
      <c r="A24" s="18" t="s">
        <v>166</v>
      </c>
      <c r="B24" s="22">
        <v>26607.980895999997</v>
      </c>
      <c r="C24" s="18"/>
      <c r="D24" s="18">
        <v>26607.980895999997</v>
      </c>
      <c r="E24" s="18"/>
      <c r="F24" s="18"/>
      <c r="G24" s="18"/>
      <c r="H24" s="18"/>
      <c r="I24" s="18"/>
      <c r="J24" s="210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20" customFormat="1">
      <c r="A25" s="24" t="s">
        <v>167</v>
      </c>
      <c r="B25" s="24">
        <v>97571.549015000026</v>
      </c>
      <c r="C25" s="24">
        <v>-36260.830998999998</v>
      </c>
      <c r="D25" s="24">
        <v>-59409.826309999975</v>
      </c>
      <c r="E25" s="24">
        <v>116057.44567899997</v>
      </c>
      <c r="F25" s="24">
        <v>27436.963118</v>
      </c>
      <c r="G25" s="24">
        <v>41773.998419000003</v>
      </c>
      <c r="H25" s="24">
        <v>24444.497016000001</v>
      </c>
      <c r="I25" s="24">
        <v>17734.497047999997</v>
      </c>
      <c r="J25" s="209">
        <v>-230.051152</v>
      </c>
      <c r="K25" s="24">
        <v>0</v>
      </c>
      <c r="L25" s="24">
        <v>-366.77151600000002</v>
      </c>
      <c r="M25" s="24">
        <v>191.82702299999994</v>
      </c>
      <c r="N25" s="24">
        <v>1687.2105120000001</v>
      </c>
      <c r="O25" s="24">
        <v>7214.2261289999988</v>
      </c>
      <c r="P25" s="24">
        <v>95.094250999999986</v>
      </c>
      <c r="Q25" s="24">
        <v>8140.0196069999993</v>
      </c>
      <c r="R25" s="24">
        <v>-733.64337699999999</v>
      </c>
      <c r="S25" s="24">
        <v>-287.24435199999999</v>
      </c>
      <c r="T25" s="24">
        <v>-927.63753299999996</v>
      </c>
      <c r="U25" s="24">
        <v>-111.79655700000001</v>
      </c>
      <c r="V25" s="24">
        <v>-145.438256</v>
      </c>
      <c r="W25" s="24">
        <v>-670.40272000000004</v>
      </c>
      <c r="X25" s="24">
        <v>0</v>
      </c>
      <c r="Y25" s="24">
        <v>0</v>
      </c>
    </row>
    <row r="26" spans="1:25" s="20" customFormat="1">
      <c r="A26" s="25" t="s">
        <v>168</v>
      </c>
      <c r="B26" s="66">
        <v>1976.0217359999999</v>
      </c>
      <c r="C26" s="25"/>
      <c r="D26" s="25">
        <v>-76.501533999999992</v>
      </c>
      <c r="E26" s="25">
        <v>16.367937000000001</v>
      </c>
      <c r="F26" s="18">
        <v>286.00398899999999</v>
      </c>
      <c r="G26" s="22">
        <v>1750.1513440000001</v>
      </c>
      <c r="H26" s="22">
        <v>1275.5311240000001</v>
      </c>
      <c r="I26" s="22">
        <v>589.231267</v>
      </c>
      <c r="J26" s="210">
        <v>0</v>
      </c>
      <c r="K26" s="25"/>
      <c r="L26" s="25"/>
      <c r="M26" s="22">
        <v>-114.611047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s="20" customFormat="1" ht="14.25" thickBot="1">
      <c r="A27" s="26" t="s">
        <v>169</v>
      </c>
      <c r="B27" s="26">
        <v>99547.570751000021</v>
      </c>
      <c r="C27" s="26">
        <v>-36260.830998999998</v>
      </c>
      <c r="D27" s="26">
        <v>-59486.327843999978</v>
      </c>
      <c r="E27" s="26">
        <v>116073.81361599997</v>
      </c>
      <c r="F27" s="26">
        <v>27722.967107</v>
      </c>
      <c r="G27" s="26">
        <v>43524.149763000001</v>
      </c>
      <c r="H27" s="26">
        <v>25720.028140000002</v>
      </c>
      <c r="I27" s="26">
        <v>18323.728314999997</v>
      </c>
      <c r="J27" s="211">
        <v>-230.051152</v>
      </c>
      <c r="K27" s="26">
        <v>0</v>
      </c>
      <c r="L27" s="26">
        <v>-366.77151600000002</v>
      </c>
      <c r="M27" s="26">
        <v>77.215975999999941</v>
      </c>
      <c r="N27" s="26">
        <v>1687.2105120000001</v>
      </c>
      <c r="O27" s="26">
        <v>7214.2261289999988</v>
      </c>
      <c r="P27" s="26">
        <v>95.094250999999986</v>
      </c>
      <c r="Q27" s="26">
        <v>8140.0196069999993</v>
      </c>
      <c r="R27" s="26">
        <v>-733.64337699999999</v>
      </c>
      <c r="S27" s="26">
        <v>-287.24435199999999</v>
      </c>
      <c r="T27" s="26">
        <v>-927.63753299999996</v>
      </c>
      <c r="U27" s="26">
        <v>-111.79655700000001</v>
      </c>
      <c r="V27" s="26">
        <v>-145.438256</v>
      </c>
      <c r="W27" s="26">
        <v>-670.40272000000004</v>
      </c>
      <c r="X27" s="26">
        <v>0</v>
      </c>
      <c r="Y27" s="26">
        <v>0</v>
      </c>
    </row>
    <row r="28" spans="1:25" s="20" customFormat="1">
      <c r="A28" s="35"/>
      <c r="B28" s="35">
        <f>B26/0.75-B59</f>
        <v>-4.3519999999261927E-3</v>
      </c>
      <c r="C28" s="35"/>
      <c r="D28" s="35"/>
      <c r="E28" s="35"/>
      <c r="F28" s="35"/>
      <c r="G28" s="35"/>
      <c r="H28" s="35"/>
      <c r="I28" s="35"/>
      <c r="J28" s="206"/>
      <c r="K28" s="35"/>
      <c r="L28" s="35"/>
      <c r="M28" s="35"/>
      <c r="P28" s="45"/>
      <c r="Q28" s="45"/>
      <c r="R28" s="45"/>
      <c r="S28" s="45"/>
      <c r="T28" s="45"/>
      <c r="U28" s="45"/>
      <c r="V28" s="45"/>
      <c r="X28" s="45"/>
      <c r="Y28" s="45"/>
    </row>
    <row r="29" spans="1:25" s="32" customFormat="1">
      <c r="A29" s="35" t="s">
        <v>114</v>
      </c>
      <c r="B29" s="35">
        <f>B23-SUM(C23:G23)-N23-O23-T23</f>
        <v>3.7175595934968442E-11</v>
      </c>
      <c r="C29" s="35">
        <f>B26/0.75</f>
        <v>2634.6956479999999</v>
      </c>
      <c r="D29" s="35"/>
      <c r="E29" s="35"/>
      <c r="F29" s="35"/>
      <c r="G29" s="35"/>
      <c r="H29" s="35"/>
      <c r="I29" s="35"/>
      <c r="J29" s="206"/>
      <c r="K29" s="35"/>
      <c r="L29" s="35"/>
      <c r="M29" s="35"/>
      <c r="N29" s="35"/>
      <c r="O29" s="35"/>
      <c r="P29" s="35"/>
      <c r="Q29" s="35"/>
      <c r="R29" s="35"/>
      <c r="S29" s="46"/>
      <c r="T29" s="46"/>
      <c r="U29" s="46"/>
      <c r="V29" s="46"/>
      <c r="W29" s="33"/>
      <c r="X29" s="46"/>
      <c r="Y29" s="46"/>
    </row>
    <row r="30" spans="1:25" s="20" customFormat="1">
      <c r="A30" s="35"/>
      <c r="B30" s="35"/>
      <c r="C30" s="35"/>
      <c r="D30" s="35"/>
      <c r="E30" s="35"/>
      <c r="F30" s="35"/>
      <c r="G30" s="35"/>
      <c r="H30" s="35"/>
      <c r="I30" s="35"/>
      <c r="J30" s="206"/>
      <c r="K30" s="35"/>
      <c r="L30" s="35"/>
      <c r="M30" s="35"/>
      <c r="N30" s="35"/>
      <c r="O30" s="35"/>
      <c r="P30" s="35"/>
      <c r="Q30" s="35"/>
      <c r="R30" s="35"/>
      <c r="S30" s="47"/>
      <c r="T30" s="47"/>
      <c r="U30" s="47"/>
      <c r="V30" s="47"/>
      <c r="W30" s="32"/>
      <c r="X30" s="47"/>
      <c r="Y30" s="47"/>
    </row>
    <row r="31" spans="1:25" s="20" customFormat="1" ht="14.25" thickBot="1">
      <c r="A31" s="34" t="s">
        <v>109</v>
      </c>
      <c r="B31" s="35"/>
      <c r="C31" s="35"/>
      <c r="D31" s="35"/>
      <c r="E31" s="35"/>
      <c r="F31" s="35"/>
      <c r="G31" s="35"/>
      <c r="H31" s="35"/>
      <c r="I31" s="35"/>
      <c r="J31" s="206"/>
      <c r="K31" s="35"/>
      <c r="L31" s="35"/>
      <c r="M31" s="35"/>
      <c r="N31" s="35"/>
      <c r="O31" s="35"/>
      <c r="P31" s="48"/>
      <c r="Q31" s="48"/>
      <c r="R31" s="48"/>
      <c r="S31" s="48"/>
      <c r="T31" s="48"/>
      <c r="U31" s="48"/>
      <c r="V31" s="48"/>
      <c r="W31" s="35"/>
      <c r="X31" s="48"/>
      <c r="Y31" s="48"/>
    </row>
    <row r="32" spans="1:25" s="20" customFormat="1">
      <c r="A32" s="91" t="s">
        <v>0</v>
      </c>
      <c r="B32" s="92" t="s">
        <v>45</v>
      </c>
      <c r="C32" s="92" t="s">
        <v>26</v>
      </c>
      <c r="D32" s="92" t="s">
        <v>46</v>
      </c>
      <c r="E32" s="92" t="s">
        <v>27</v>
      </c>
      <c r="F32" s="92" t="s">
        <v>113</v>
      </c>
      <c r="G32" s="92" t="s">
        <v>29</v>
      </c>
      <c r="H32" s="93" t="s">
        <v>111</v>
      </c>
      <c r="I32" s="90" t="s">
        <v>112</v>
      </c>
      <c r="J32" s="212" t="s">
        <v>130</v>
      </c>
      <c r="K32" s="93" t="s">
        <v>32</v>
      </c>
      <c r="L32" s="90" t="s">
        <v>33</v>
      </c>
      <c r="M32" s="90" t="s">
        <v>34</v>
      </c>
      <c r="N32" s="77" t="s">
        <v>185</v>
      </c>
      <c r="O32" s="91" t="s">
        <v>36</v>
      </c>
      <c r="P32" s="93" t="s">
        <v>37</v>
      </c>
      <c r="Q32" s="93" t="s">
        <v>38</v>
      </c>
      <c r="R32" s="93" t="s">
        <v>39</v>
      </c>
      <c r="S32" s="93" t="s">
        <v>40</v>
      </c>
      <c r="T32" s="92" t="s">
        <v>41</v>
      </c>
      <c r="U32" s="93" t="s">
        <v>42</v>
      </c>
      <c r="V32" s="93" t="s">
        <v>43</v>
      </c>
      <c r="W32" s="90" t="s">
        <v>44</v>
      </c>
      <c r="X32" s="92"/>
      <c r="Y32" s="92"/>
    </row>
    <row r="33" spans="1:25" s="20" customFormat="1">
      <c r="A33" s="21" t="s">
        <v>1</v>
      </c>
      <c r="B33" s="127">
        <f>B34+B38+B39+B41+B42+B43</f>
        <v>2634.7030000000004</v>
      </c>
      <c r="C33" s="84">
        <f t="shared" ref="C33:Y33" si="0">C34+C38+C39+C41+C42+C43</f>
        <v>-12211.890999999998</v>
      </c>
      <c r="D33" s="84">
        <f t="shared" si="0"/>
        <v>-2888.71</v>
      </c>
      <c r="E33" s="84">
        <f>E34+E38+E39+E41+E42+E43</f>
        <v>3464.2690000000002</v>
      </c>
      <c r="F33" s="141">
        <f>F34+F38+F39+F41+F42+F43</f>
        <v>20468.879999999997</v>
      </c>
      <c r="G33" s="84">
        <f>G34+G38+G39+G41+G42+G43</f>
        <v>-7112.4250000000011</v>
      </c>
      <c r="H33" s="49">
        <f>H34+H38+H39+H41+H42+H43</f>
        <v>-1383.95</v>
      </c>
      <c r="I33" s="84">
        <f>I34+I38+I39+I41+I42+I43</f>
        <v>-5802.0550000000003</v>
      </c>
      <c r="J33" s="213">
        <f t="shared" si="0"/>
        <v>-7.35</v>
      </c>
      <c r="K33" s="49">
        <f t="shared" si="0"/>
        <v>0</v>
      </c>
      <c r="L33" s="84">
        <f t="shared" si="0"/>
        <v>0</v>
      </c>
      <c r="M33" s="141">
        <f t="shared" si="0"/>
        <v>80.930000000000007</v>
      </c>
      <c r="N33" s="84">
        <f>N34+N38+N39+N41+N42+N43</f>
        <v>-524.99</v>
      </c>
      <c r="O33" s="84">
        <f t="shared" si="0"/>
        <v>1429.82</v>
      </c>
      <c r="P33" s="49">
        <f t="shared" si="0"/>
        <v>-368.21</v>
      </c>
      <c r="Q33" s="49">
        <f>Q34+Q38+Q39+Q41+Q42+Q43</f>
        <v>1213.6199999999999</v>
      </c>
      <c r="R33" s="49">
        <f>R34+R38+R39+R41+R42+R43</f>
        <v>98</v>
      </c>
      <c r="S33" s="49">
        <f>S34+S38+S39+S41+S42+S43</f>
        <v>486.40999999999997</v>
      </c>
      <c r="T33" s="49">
        <f t="shared" si="0"/>
        <v>9.75</v>
      </c>
      <c r="U33" s="49">
        <f>U34+U38+U39+U41+U42+U43</f>
        <v>9.75</v>
      </c>
      <c r="V33" s="49">
        <f t="shared" si="0"/>
        <v>0</v>
      </c>
      <c r="W33" s="84">
        <f t="shared" si="0"/>
        <v>0</v>
      </c>
      <c r="X33" s="49">
        <f t="shared" si="0"/>
        <v>0</v>
      </c>
      <c r="Y33" s="49">
        <f t="shared" si="0"/>
        <v>0</v>
      </c>
    </row>
    <row r="34" spans="1:25" s="20" customFormat="1">
      <c r="A34" s="22" t="s">
        <v>2</v>
      </c>
      <c r="B34" s="67">
        <f>SUM(C34:G34)+N34+O34+T34</f>
        <v>3.0000000000427463E-3</v>
      </c>
      <c r="C34" s="85">
        <f>C35+C36+C37</f>
        <v>-922.06100000000004</v>
      </c>
      <c r="D34" s="85"/>
      <c r="E34" s="85">
        <f>E35+E36+E37</f>
        <v>165.81900000000002</v>
      </c>
      <c r="F34" s="142">
        <f>F36+F35+F37</f>
        <v>94.18</v>
      </c>
      <c r="G34" s="85">
        <f>SUM(H34:M34)</f>
        <v>244.07499999999999</v>
      </c>
      <c r="H34" s="67">
        <f>SUM(H35:H37)</f>
        <v>0</v>
      </c>
      <c r="I34" s="85">
        <f>SUM(I35:I37)</f>
        <v>244.07499999999999</v>
      </c>
      <c r="J34" s="214">
        <f>SUM(J35:J37)</f>
        <v>0</v>
      </c>
      <c r="K34" s="50">
        <f>SUM(K35:K37)</f>
        <v>0</v>
      </c>
      <c r="L34" s="85">
        <f t="shared" ref="L34:N34" si="1">SUM(L35:L37)</f>
        <v>0</v>
      </c>
      <c r="M34" s="142">
        <f t="shared" si="1"/>
        <v>0</v>
      </c>
      <c r="N34" s="85">
        <f t="shared" si="1"/>
        <v>-540.96</v>
      </c>
      <c r="O34" s="85">
        <f>SUM(P34:S34)</f>
        <v>949.19999999999993</v>
      </c>
      <c r="P34" s="50">
        <f>P36+P37+P35</f>
        <v>-368.21</v>
      </c>
      <c r="Q34" s="50">
        <f>Q36+Q37+Q35</f>
        <v>1108</v>
      </c>
      <c r="R34" s="50">
        <f>R36+R37+R35</f>
        <v>98</v>
      </c>
      <c r="S34" s="50">
        <f>S37+S35+S36</f>
        <v>111.41</v>
      </c>
      <c r="T34" s="50">
        <f>SUM(U34:W34)</f>
        <v>9.75</v>
      </c>
      <c r="U34" s="50">
        <f>U37+U35+U36</f>
        <v>9.75</v>
      </c>
      <c r="V34" s="50"/>
      <c r="W34" s="85">
        <f>W35+W36+W37</f>
        <v>0</v>
      </c>
      <c r="X34" s="50"/>
      <c r="Y34" s="50"/>
    </row>
    <row r="35" spans="1:25" s="20" customFormat="1">
      <c r="A35" s="23" t="s">
        <v>3</v>
      </c>
      <c r="B35" s="67">
        <f>SUM(C35:G35)+N35+O35+T35</f>
        <v>0</v>
      </c>
      <c r="C35" s="23">
        <f>20.24-95.7+109.48+0.03</f>
        <v>34.049999999999997</v>
      </c>
      <c r="D35" s="85"/>
      <c r="E35" s="85">
        <f>-20.24+95.7-109.48-0.03+70.92</f>
        <v>36.870000000000005</v>
      </c>
      <c r="F35" s="142">
        <f>-70.92</f>
        <v>-70.92</v>
      </c>
      <c r="G35" s="85">
        <f t="shared" ref="G35:G51" si="2">SUM(H35:M35)</f>
        <v>0</v>
      </c>
      <c r="H35" s="68"/>
      <c r="I35" s="23"/>
      <c r="J35" s="215"/>
      <c r="K35" s="51"/>
      <c r="L35" s="23"/>
      <c r="M35" s="143"/>
      <c r="N35" s="23"/>
      <c r="O35" s="85">
        <f t="shared" ref="O35:O51" si="3">SUM(P35:S35)</f>
        <v>0</v>
      </c>
      <c r="P35" s="50"/>
      <c r="Q35" s="51"/>
      <c r="R35" s="51"/>
      <c r="S35" s="51"/>
      <c r="T35" s="50">
        <f t="shared" ref="T35:T51" si="4">SUM(U35:W35)</f>
        <v>0</v>
      </c>
      <c r="U35" s="51"/>
      <c r="V35" s="51"/>
      <c r="W35" s="85">
        <f>-W6</f>
        <v>0</v>
      </c>
      <c r="X35" s="51"/>
      <c r="Y35" s="51"/>
    </row>
    <row r="36" spans="1:25" s="20" customFormat="1">
      <c r="A36" s="23" t="s">
        <v>4</v>
      </c>
      <c r="B36" s="67">
        <f>SUM(C36:G36)+N36+O36+T36</f>
        <v>3.9999999999054126E-3</v>
      </c>
      <c r="C36" s="23">
        <f>-700-420+320-104.074-52.037</f>
        <v>-956.11099999999999</v>
      </c>
      <c r="D36" s="85"/>
      <c r="E36" s="85">
        <v>37.25</v>
      </c>
      <c r="F36" s="142">
        <f>395</f>
        <v>395</v>
      </c>
      <c r="G36" s="85">
        <f>SUM(H36:M36)</f>
        <v>244.07499999999999</v>
      </c>
      <c r="H36" s="68"/>
      <c r="I36" s="23">
        <f>140+104.075</f>
        <v>244.07499999999999</v>
      </c>
      <c r="J36" s="215"/>
      <c r="K36" s="51"/>
      <c r="L36" s="23"/>
      <c r="M36" s="143"/>
      <c r="N36" s="23">
        <f>-540.96</f>
        <v>-540.96</v>
      </c>
      <c r="O36" s="85">
        <f t="shared" si="3"/>
        <v>811</v>
      </c>
      <c r="P36" s="50">
        <v>-395</v>
      </c>
      <c r="Q36" s="51">
        <f>700+420-60*0.2</f>
        <v>1108</v>
      </c>
      <c r="R36" s="51">
        <v>98</v>
      </c>
      <c r="S36" s="51"/>
      <c r="T36" s="50">
        <f t="shared" si="4"/>
        <v>9.75</v>
      </c>
      <c r="U36" s="51">
        <v>9.75</v>
      </c>
      <c r="V36" s="51"/>
      <c r="W36" s="23"/>
      <c r="X36" s="51"/>
      <c r="Y36" s="51"/>
    </row>
    <row r="37" spans="1:25" s="20" customFormat="1">
      <c r="A37" s="23" t="s">
        <v>5</v>
      </c>
      <c r="B37" s="67">
        <f t="shared" ref="B37:B51" si="5">SUM(C37:G37)+N37+O37+T37</f>
        <v>-9.9999999997635314E-4</v>
      </c>
      <c r="C37" s="23"/>
      <c r="D37" s="85"/>
      <c r="E37" s="85">
        <f>91.699</f>
        <v>91.698999999999998</v>
      </c>
      <c r="F37" s="142">
        <f>-300.82-F35</f>
        <v>-229.89999999999998</v>
      </c>
      <c r="G37" s="85">
        <f t="shared" si="2"/>
        <v>0</v>
      </c>
      <c r="H37" s="68"/>
      <c r="I37" s="23"/>
      <c r="J37" s="215"/>
      <c r="K37" s="51"/>
      <c r="L37" s="23"/>
      <c r="M37" s="143"/>
      <c r="N37" s="23"/>
      <c r="O37" s="85">
        <f t="shared" si="3"/>
        <v>138.19999999999999</v>
      </c>
      <c r="P37" s="50">
        <v>26.79</v>
      </c>
      <c r="Q37" s="51"/>
      <c r="R37" s="51"/>
      <c r="S37" s="51">
        <v>111.41</v>
      </c>
      <c r="T37" s="50">
        <f t="shared" si="4"/>
        <v>0</v>
      </c>
      <c r="U37" s="51"/>
      <c r="V37" s="51"/>
      <c r="W37" s="23"/>
      <c r="X37" s="51"/>
      <c r="Y37" s="51"/>
    </row>
    <row r="38" spans="1:25" s="20" customFormat="1">
      <c r="A38" s="22" t="s">
        <v>6</v>
      </c>
      <c r="B38" s="67">
        <f>SUM(C38:G38)+N38+O38+T38</f>
        <v>-1.1368683772161603E-13</v>
      </c>
      <c r="C38" s="85">
        <f>-W38</f>
        <v>0</v>
      </c>
      <c r="D38" s="85">
        <f>-I38-E38-O38-J38</f>
        <v>-2580.48</v>
      </c>
      <c r="E38" s="85">
        <f>3097.79-60.44</f>
        <v>3037.35</v>
      </c>
      <c r="F38" s="142"/>
      <c r="G38" s="85">
        <f t="shared" si="2"/>
        <v>-562.49</v>
      </c>
      <c r="H38" s="67"/>
      <c r="I38" s="85">
        <v>-564.79999999999995</v>
      </c>
      <c r="J38" s="214">
        <f>2.31</f>
        <v>2.31</v>
      </c>
      <c r="K38" s="50"/>
      <c r="L38" s="85"/>
      <c r="M38" s="142"/>
      <c r="N38" s="85"/>
      <c r="O38" s="85">
        <f t="shared" si="3"/>
        <v>105.62</v>
      </c>
      <c r="P38" s="50"/>
      <c r="Q38" s="50">
        <v>105.62</v>
      </c>
      <c r="R38" s="50"/>
      <c r="S38" s="50"/>
      <c r="T38" s="50">
        <f t="shared" si="4"/>
        <v>0</v>
      </c>
      <c r="U38" s="50"/>
      <c r="V38" s="50"/>
      <c r="W38" s="85"/>
      <c r="X38" s="50"/>
      <c r="Y38" s="50"/>
    </row>
    <row r="39" spans="1:25" s="20" customFormat="1">
      <c r="A39" s="22" t="s">
        <v>7</v>
      </c>
      <c r="B39" s="67">
        <f>SUM(C39:G39)+N39+O39+T39</f>
        <v>4.5474735088646412E-13</v>
      </c>
      <c r="C39" s="85">
        <f>362.07+49.3-15588+508.1+62.5</f>
        <v>-14606.029999999999</v>
      </c>
      <c r="D39" s="85">
        <v>-308.23</v>
      </c>
      <c r="E39" s="85">
        <f>308.23+23.39+9.66</f>
        <v>341.28000000000003</v>
      </c>
      <c r="F39" s="142">
        <f>1599.89+4820.64+15588-375</f>
        <v>21633.53</v>
      </c>
      <c r="G39" s="85">
        <f>SUM(H39:M39)</f>
        <v>-7452.0300000000007</v>
      </c>
      <c r="H39" s="50">
        <f>88.67-508.1-362.07</f>
        <v>-781.5</v>
      </c>
      <c r="I39" s="85">
        <f>-1599.89-4820.64-N39-88.67-49.3+90.5</f>
        <v>-6484.4800000000005</v>
      </c>
      <c r="J39" s="214">
        <v>-9.66</v>
      </c>
      <c r="K39" s="50"/>
      <c r="L39" s="85"/>
      <c r="M39" s="142">
        <f>-23.39-90.5-62.5</f>
        <v>-176.39</v>
      </c>
      <c r="N39" s="85">
        <v>16.48</v>
      </c>
      <c r="O39" s="85">
        <f>SUM(P39:S39)</f>
        <v>375</v>
      </c>
      <c r="P39" s="50"/>
      <c r="Q39" s="50"/>
      <c r="R39" s="50"/>
      <c r="S39" s="50">
        <v>375</v>
      </c>
      <c r="T39" s="50">
        <f t="shared" si="4"/>
        <v>0</v>
      </c>
      <c r="U39" s="50"/>
      <c r="V39" s="50"/>
      <c r="W39" s="85"/>
      <c r="X39" s="50"/>
      <c r="Y39" s="50"/>
    </row>
    <row r="40" spans="1:25" s="20" customFormat="1" ht="14.25" customHeight="1">
      <c r="A40" s="59" t="s">
        <v>127</v>
      </c>
      <c r="B40" s="67"/>
      <c r="C40" s="85"/>
      <c r="D40" s="85"/>
      <c r="E40" s="85"/>
      <c r="F40" s="142"/>
      <c r="G40" s="85"/>
      <c r="H40" s="67"/>
      <c r="I40" s="85"/>
      <c r="J40" s="214"/>
      <c r="K40" s="50"/>
      <c r="L40" s="85"/>
      <c r="M40" s="142"/>
      <c r="N40" s="85"/>
      <c r="O40" s="85"/>
      <c r="P40" s="50"/>
      <c r="Q40" s="50"/>
      <c r="R40" s="50"/>
      <c r="S40" s="50"/>
      <c r="T40" s="50"/>
      <c r="U40" s="50"/>
      <c r="V40" s="50"/>
      <c r="W40" s="85"/>
      <c r="X40" s="50"/>
      <c r="Y40" s="50"/>
    </row>
    <row r="41" spans="1:25" s="20" customFormat="1">
      <c r="A41" s="22" t="s">
        <v>8</v>
      </c>
      <c r="B41" s="67">
        <f>SUM(C41:G41)+N41+O41+T41</f>
        <v>2634.7</v>
      </c>
      <c r="C41" s="85">
        <f>190.77+779.4+2294.9+51.13</f>
        <v>3316.2000000000003</v>
      </c>
      <c r="D41" s="85"/>
      <c r="E41" s="85">
        <f>E59+D59</f>
        <v>-80.180000000000007</v>
      </c>
      <c r="F41" s="149">
        <f>F59-809.64-779.4-51.13</f>
        <v>-1258.8300000000002</v>
      </c>
      <c r="G41" s="85">
        <f>SUM(H41:M41)</f>
        <v>658.02</v>
      </c>
      <c r="H41" s="50">
        <f>H59-22.19+13.93-2294.9</f>
        <v>-602.45000000000005</v>
      </c>
      <c r="I41" s="154">
        <f>I59+22.19-410.13-190.77-N41+809.64-13.93</f>
        <v>1003.1500000000001</v>
      </c>
      <c r="J41" s="214"/>
      <c r="K41" s="50"/>
      <c r="L41" s="85"/>
      <c r="M41" s="142">
        <f>M59+410.13</f>
        <v>257.32</v>
      </c>
      <c r="N41" s="85">
        <v>-0.51</v>
      </c>
      <c r="O41" s="85">
        <f t="shared" si="3"/>
        <v>0</v>
      </c>
      <c r="P41" s="50"/>
      <c r="Q41" s="50"/>
      <c r="R41" s="50"/>
      <c r="S41" s="50"/>
      <c r="T41" s="50">
        <f t="shared" si="4"/>
        <v>0</v>
      </c>
      <c r="U41" s="50"/>
      <c r="V41" s="50"/>
      <c r="W41" s="85"/>
      <c r="X41" s="50"/>
      <c r="Y41" s="50"/>
    </row>
    <row r="42" spans="1:25" s="20" customFormat="1">
      <c r="A42" s="22" t="s">
        <v>9</v>
      </c>
      <c r="B42" s="67">
        <f t="shared" si="5"/>
        <v>0</v>
      </c>
      <c r="C42" s="85"/>
      <c r="D42" s="85"/>
      <c r="E42" s="85"/>
      <c r="F42" s="85"/>
      <c r="G42" s="85">
        <f t="shared" si="2"/>
        <v>0</v>
      </c>
      <c r="H42" s="67"/>
      <c r="I42" s="85"/>
      <c r="J42" s="214"/>
      <c r="K42" s="50"/>
      <c r="L42" s="85"/>
      <c r="M42" s="142"/>
      <c r="N42" s="85"/>
      <c r="O42" s="85">
        <f t="shared" si="3"/>
        <v>0</v>
      </c>
      <c r="P42" s="50"/>
      <c r="Q42" s="50"/>
      <c r="R42" s="50"/>
      <c r="S42" s="50"/>
      <c r="T42" s="50">
        <f t="shared" si="4"/>
        <v>0</v>
      </c>
      <c r="U42" s="50"/>
      <c r="V42" s="50"/>
      <c r="W42" s="85"/>
      <c r="X42" s="50"/>
      <c r="Y42" s="50"/>
    </row>
    <row r="43" spans="1:25" s="20" customFormat="1">
      <c r="A43" s="22" t="s">
        <v>10</v>
      </c>
      <c r="B43" s="67">
        <f t="shared" si="5"/>
        <v>0</v>
      </c>
      <c r="C43" s="85"/>
      <c r="D43" s="85"/>
      <c r="E43" s="85"/>
      <c r="F43" s="85"/>
      <c r="G43" s="85">
        <f t="shared" si="2"/>
        <v>0</v>
      </c>
      <c r="H43" s="67"/>
      <c r="I43" s="85"/>
      <c r="J43" s="214"/>
      <c r="K43" s="50"/>
      <c r="L43" s="85"/>
      <c r="M43" s="142"/>
      <c r="N43" s="85"/>
      <c r="O43" s="85">
        <f t="shared" si="3"/>
        <v>0</v>
      </c>
      <c r="P43" s="50"/>
      <c r="Q43" s="50"/>
      <c r="R43" s="50"/>
      <c r="S43" s="50"/>
      <c r="T43" s="50">
        <f t="shared" si="4"/>
        <v>0</v>
      </c>
      <c r="U43" s="50"/>
      <c r="V43" s="50"/>
      <c r="W43" s="85"/>
      <c r="X43" s="50"/>
      <c r="Y43" s="50"/>
    </row>
    <row r="44" spans="1:25" s="20" customFormat="1">
      <c r="A44" s="24" t="s">
        <v>11</v>
      </c>
      <c r="B44" s="128">
        <f>SUM(B45:B48)</f>
        <v>-1.4921397450962104E-13</v>
      </c>
      <c r="C44" s="86">
        <f t="shared" ref="C44:Y44" si="6">SUM(C45:C48)</f>
        <v>279.00772999999958</v>
      </c>
      <c r="D44" s="86">
        <f t="shared" si="6"/>
        <v>-310.08999999999997</v>
      </c>
      <c r="E44" s="86">
        <f t="shared" si="6"/>
        <v>-907.74799999999993</v>
      </c>
      <c r="F44" s="86">
        <f>SUM(F45:F48)</f>
        <v>1522.5213423999999</v>
      </c>
      <c r="G44" s="86">
        <f t="shared" si="6"/>
        <v>-1002.9686839999999</v>
      </c>
      <c r="H44" s="52">
        <f>SUM(H45:H48)</f>
        <v>-642.2476999999999</v>
      </c>
      <c r="I44" s="86">
        <f t="shared" si="6"/>
        <v>-418.5</v>
      </c>
      <c r="J44" s="216">
        <f t="shared" si="6"/>
        <v>30.839016000000001</v>
      </c>
      <c r="K44" s="52">
        <f t="shared" si="6"/>
        <v>0</v>
      </c>
      <c r="L44" s="86">
        <f t="shared" si="6"/>
        <v>-14.650000000000002</v>
      </c>
      <c r="M44" s="144">
        <f>SUM(M45:M48)</f>
        <v>41.589999999999996</v>
      </c>
      <c r="N44" s="86">
        <f t="shared" si="6"/>
        <v>-79.597071199999988</v>
      </c>
      <c r="O44" s="86">
        <f t="shared" si="6"/>
        <v>607.20192080000015</v>
      </c>
      <c r="P44" s="52">
        <f t="shared" si="6"/>
        <v>-41.125662399999996</v>
      </c>
      <c r="Q44" s="52">
        <f t="shared" si="6"/>
        <v>836.65379280000002</v>
      </c>
      <c r="R44" s="52">
        <f t="shared" si="6"/>
        <v>-212.24688</v>
      </c>
      <c r="S44" s="52">
        <f t="shared" si="6"/>
        <v>23.920670399999999</v>
      </c>
      <c r="T44" s="52">
        <f t="shared" si="6"/>
        <v>-108.32723799999999</v>
      </c>
      <c r="U44" s="52">
        <f t="shared" si="6"/>
        <v>-5.2863349999999993</v>
      </c>
      <c r="V44" s="52">
        <f t="shared" si="6"/>
        <v>0</v>
      </c>
      <c r="W44" s="86">
        <f t="shared" si="6"/>
        <v>-103.040903</v>
      </c>
      <c r="X44" s="52">
        <f t="shared" si="6"/>
        <v>0</v>
      </c>
      <c r="Y44" s="52">
        <f t="shared" si="6"/>
        <v>0</v>
      </c>
    </row>
    <row r="45" spans="1:25" s="20" customFormat="1">
      <c r="A45" s="18" t="s">
        <v>12</v>
      </c>
      <c r="B45" s="67">
        <f>SUM(C45:G45)+N45+O45+T45</f>
        <v>-1.4921397450962104E-13</v>
      </c>
      <c r="C45" s="87">
        <f>-SUM(D45:G45)-SUM(N45:O45)-T45-W45</f>
        <v>-1020.9493480000001</v>
      </c>
      <c r="D45" s="85"/>
      <c r="E45" s="140">
        <f>195.14</f>
        <v>195.14</v>
      </c>
      <c r="F45" s="142">
        <f>(F33-F41)*0.99*0.056</f>
        <v>1204.5842424</v>
      </c>
      <c r="G45" s="85">
        <f t="shared" si="2"/>
        <v>-429.50748400000003</v>
      </c>
      <c r="H45" s="50">
        <f>-42.04</f>
        <v>-42.04</v>
      </c>
      <c r="I45" s="142">
        <v>-377.05</v>
      </c>
      <c r="J45" s="217">
        <f>J33*0.99*0.056</f>
        <v>-0.40748399999999996</v>
      </c>
      <c r="K45" s="53"/>
      <c r="L45" s="87"/>
      <c r="M45" s="140">
        <v>-10.01</v>
      </c>
      <c r="N45" s="87">
        <f>(N33-N41)*0.99*0.056</f>
        <v>-29.077171199999999</v>
      </c>
      <c r="O45" s="85">
        <f t="shared" si="3"/>
        <v>79.269220799999999</v>
      </c>
      <c r="P45" s="69">
        <f>P33*0.99*0.056</f>
        <v>-20.4135624</v>
      </c>
      <c r="Q45" s="53">
        <f>Q33*0.99*0.056</f>
        <v>67.283092800000006</v>
      </c>
      <c r="R45" s="53">
        <f>R33*0.99*0.056</f>
        <v>5.4331199999999997</v>
      </c>
      <c r="S45" s="53">
        <f>S33*0.99*0.056</f>
        <v>26.966570399999998</v>
      </c>
      <c r="T45" s="50">
        <f t="shared" si="4"/>
        <v>0.54054000000000002</v>
      </c>
      <c r="U45" s="69">
        <f>U33*0.99*0.056</f>
        <v>0.54054000000000002</v>
      </c>
      <c r="V45" s="53"/>
      <c r="W45" s="87"/>
      <c r="X45" s="53"/>
      <c r="Y45" s="53"/>
    </row>
    <row r="46" spans="1:25" s="20" customFormat="1">
      <c r="A46" s="18" t="s">
        <v>13</v>
      </c>
      <c r="B46" s="67">
        <f>SUM(C46:G46)+N46+O46+T46</f>
        <v>0</v>
      </c>
      <c r="C46" s="87">
        <f>累计考核费用!D104</f>
        <v>1299.9570779999997</v>
      </c>
      <c r="D46" s="85">
        <f>累计考核费用!E104</f>
        <v>-310.08999999999997</v>
      </c>
      <c r="E46" s="142">
        <f>累计考核费用!F104</f>
        <v>-1102.8879999999999</v>
      </c>
      <c r="F46" s="142">
        <f>累计考核费用!G104</f>
        <v>317.93709999999999</v>
      </c>
      <c r="G46" s="85">
        <f t="shared" si="2"/>
        <v>-573.46119999999996</v>
      </c>
      <c r="H46" s="50">
        <f>累计考核费用!I104</f>
        <v>-600.20769999999993</v>
      </c>
      <c r="I46" s="85">
        <f>累计考核费用!J104</f>
        <v>-41.45</v>
      </c>
      <c r="J46" s="214">
        <f>累计考核费用!K104</f>
        <v>31.246500000000001</v>
      </c>
      <c r="K46" s="50">
        <f>累计考核费用!L104</f>
        <v>0</v>
      </c>
      <c r="L46" s="85">
        <f>累计考核费用!M104</f>
        <v>-14.650000000000002</v>
      </c>
      <c r="M46" s="142">
        <f>累计考核费用!N104</f>
        <v>51.599999999999994</v>
      </c>
      <c r="N46" s="85">
        <f>累计考核费用!O104</f>
        <v>-50.519899999999993</v>
      </c>
      <c r="O46" s="85">
        <f t="shared" si="3"/>
        <v>527.93270000000018</v>
      </c>
      <c r="P46" s="50">
        <f>累计考核费用!Q104</f>
        <v>-20.7121</v>
      </c>
      <c r="Q46" s="50">
        <f>累计考核费用!R104</f>
        <v>769.37070000000006</v>
      </c>
      <c r="R46" s="50">
        <f>累计考核费用!S104</f>
        <v>-217.68</v>
      </c>
      <c r="S46" s="50">
        <f>累计考核费用!T104</f>
        <v>-3.0459000000000014</v>
      </c>
      <c r="T46" s="50">
        <f>SUM(U46:W46)</f>
        <v>-108.867778</v>
      </c>
      <c r="U46" s="50">
        <f>累计考核费用!V104</f>
        <v>-5.8268749999999994</v>
      </c>
      <c r="V46" s="50">
        <f>累计考核费用!W104</f>
        <v>0</v>
      </c>
      <c r="W46" s="50">
        <f>累计考核费用!X104</f>
        <v>-103.040903</v>
      </c>
      <c r="X46" s="53"/>
      <c r="Y46" s="53"/>
    </row>
    <row r="47" spans="1:25" s="20" customFormat="1">
      <c r="A47" s="18" t="s">
        <v>14</v>
      </c>
      <c r="B47" s="67">
        <f t="shared" si="5"/>
        <v>0</v>
      </c>
      <c r="C47" s="87"/>
      <c r="D47" s="85"/>
      <c r="E47" s="142"/>
      <c r="F47" s="85"/>
      <c r="G47" s="85">
        <f t="shared" si="2"/>
        <v>0</v>
      </c>
      <c r="H47" s="69"/>
      <c r="I47" s="87"/>
      <c r="J47" s="217"/>
      <c r="K47" s="53"/>
      <c r="L47" s="87"/>
      <c r="M47" s="140"/>
      <c r="N47" s="87"/>
      <c r="O47" s="85">
        <f t="shared" si="3"/>
        <v>0</v>
      </c>
      <c r="P47" s="53"/>
      <c r="Q47" s="53"/>
      <c r="R47" s="53"/>
      <c r="S47" s="53"/>
      <c r="T47" s="50">
        <f t="shared" si="4"/>
        <v>0</v>
      </c>
      <c r="U47" s="53"/>
      <c r="V47" s="53"/>
      <c r="W47" s="87"/>
      <c r="X47" s="53"/>
      <c r="Y47" s="53"/>
    </row>
    <row r="48" spans="1:25" s="20" customFormat="1">
      <c r="A48" s="18" t="s">
        <v>15</v>
      </c>
      <c r="B48" s="67">
        <f t="shared" si="5"/>
        <v>0</v>
      </c>
      <c r="C48" s="87"/>
      <c r="D48" s="85"/>
      <c r="E48" s="85"/>
      <c r="F48" s="85"/>
      <c r="G48" s="85">
        <f t="shared" si="2"/>
        <v>0</v>
      </c>
      <c r="H48" s="69"/>
      <c r="I48" s="87"/>
      <c r="J48" s="217"/>
      <c r="K48" s="53"/>
      <c r="L48" s="87"/>
      <c r="M48" s="140"/>
      <c r="N48" s="87"/>
      <c r="O48" s="85">
        <f t="shared" si="3"/>
        <v>0</v>
      </c>
      <c r="P48" s="53"/>
      <c r="Q48" s="53"/>
      <c r="R48" s="53"/>
      <c r="S48" s="53"/>
      <c r="T48" s="50">
        <f t="shared" si="4"/>
        <v>0</v>
      </c>
      <c r="U48" s="53"/>
      <c r="V48" s="53"/>
      <c r="W48" s="87"/>
      <c r="X48" s="53"/>
      <c r="Y48" s="53"/>
    </row>
    <row r="49" spans="1:26" s="20" customFormat="1">
      <c r="A49" s="24" t="s">
        <v>16</v>
      </c>
      <c r="B49" s="128">
        <f>B33-B44</f>
        <v>2634.7030000000004</v>
      </c>
      <c r="C49" s="86">
        <f t="shared" ref="C49:Y49" si="7">C33-C44</f>
        <v>-12490.898729999997</v>
      </c>
      <c r="D49" s="86">
        <f t="shared" si="7"/>
        <v>-2578.62</v>
      </c>
      <c r="E49" s="86">
        <f>E33-E44</f>
        <v>4372.0169999999998</v>
      </c>
      <c r="F49" s="86">
        <f t="shared" si="7"/>
        <v>18946.358657599998</v>
      </c>
      <c r="G49" s="86">
        <f t="shared" si="7"/>
        <v>-6109.4563160000016</v>
      </c>
      <c r="H49" s="52">
        <f>H33-H44</f>
        <v>-741.70230000000015</v>
      </c>
      <c r="I49" s="86">
        <f>I33-I44</f>
        <v>-5383.5550000000003</v>
      </c>
      <c r="J49" s="216">
        <f t="shared" si="7"/>
        <v>-38.189016000000002</v>
      </c>
      <c r="K49" s="52">
        <f t="shared" si="7"/>
        <v>0</v>
      </c>
      <c r="L49" s="86">
        <f t="shared" si="7"/>
        <v>14.650000000000002</v>
      </c>
      <c r="M49" s="144">
        <f>M33-M44</f>
        <v>39.340000000000011</v>
      </c>
      <c r="N49" s="86">
        <f t="shared" si="7"/>
        <v>-445.39292880000005</v>
      </c>
      <c r="O49" s="86">
        <f t="shared" si="7"/>
        <v>822.61807919999978</v>
      </c>
      <c r="P49" s="52">
        <f t="shared" si="7"/>
        <v>-327.08433759999997</v>
      </c>
      <c r="Q49" s="52">
        <f t="shared" si="7"/>
        <v>376.96620719999987</v>
      </c>
      <c r="R49" s="52">
        <f t="shared" si="7"/>
        <v>310.24688000000003</v>
      </c>
      <c r="S49" s="52">
        <f t="shared" si="7"/>
        <v>462.48932959999996</v>
      </c>
      <c r="T49" s="52">
        <f t="shared" si="7"/>
        <v>118.07723799999999</v>
      </c>
      <c r="U49" s="52">
        <f t="shared" si="7"/>
        <v>15.036334999999999</v>
      </c>
      <c r="V49" s="52">
        <f t="shared" si="7"/>
        <v>0</v>
      </c>
      <c r="W49" s="86">
        <f t="shared" si="7"/>
        <v>103.040903</v>
      </c>
      <c r="X49" s="52">
        <f t="shared" si="7"/>
        <v>0</v>
      </c>
      <c r="Y49" s="52">
        <f t="shared" si="7"/>
        <v>0</v>
      </c>
    </row>
    <row r="50" spans="1:26" s="20" customFormat="1">
      <c r="A50" s="18" t="s">
        <v>17</v>
      </c>
      <c r="B50" s="67">
        <f t="shared" si="5"/>
        <v>0</v>
      </c>
      <c r="C50" s="87"/>
      <c r="D50" s="85"/>
      <c r="E50" s="85"/>
      <c r="F50" s="85"/>
      <c r="G50" s="85">
        <f t="shared" si="2"/>
        <v>0</v>
      </c>
      <c r="H50" s="53"/>
      <c r="I50" s="87"/>
      <c r="J50" s="217"/>
      <c r="K50" s="53"/>
      <c r="L50" s="87"/>
      <c r="M50" s="140"/>
      <c r="N50" s="87"/>
      <c r="O50" s="85">
        <f t="shared" si="3"/>
        <v>0</v>
      </c>
      <c r="P50" s="53"/>
      <c r="Q50" s="53"/>
      <c r="R50" s="53"/>
      <c r="S50" s="53"/>
      <c r="T50" s="50">
        <f t="shared" si="4"/>
        <v>0</v>
      </c>
      <c r="U50" s="53"/>
      <c r="V50" s="53"/>
      <c r="W50" s="87"/>
      <c r="X50" s="53"/>
      <c r="Y50" s="53"/>
    </row>
    <row r="51" spans="1:26" s="20" customFormat="1">
      <c r="A51" s="18" t="s">
        <v>18</v>
      </c>
      <c r="B51" s="67">
        <f t="shared" si="5"/>
        <v>0</v>
      </c>
      <c r="C51" s="87"/>
      <c r="D51" s="85"/>
      <c r="E51" s="85"/>
      <c r="F51" s="85"/>
      <c r="G51" s="85">
        <f t="shared" si="2"/>
        <v>0</v>
      </c>
      <c r="H51" s="53"/>
      <c r="I51" s="87"/>
      <c r="J51" s="217"/>
      <c r="K51" s="53"/>
      <c r="L51" s="87"/>
      <c r="M51" s="140"/>
      <c r="N51" s="87"/>
      <c r="O51" s="85">
        <f t="shared" si="3"/>
        <v>0</v>
      </c>
      <c r="P51" s="53"/>
      <c r="Q51" s="53"/>
      <c r="R51" s="53"/>
      <c r="S51" s="53"/>
      <c r="T51" s="50">
        <f t="shared" si="4"/>
        <v>0</v>
      </c>
      <c r="U51" s="53"/>
      <c r="V51" s="53"/>
      <c r="W51" s="87"/>
      <c r="X51" s="53"/>
      <c r="Y51" s="53"/>
    </row>
    <row r="52" spans="1:26" s="20" customFormat="1">
      <c r="A52" s="24" t="s">
        <v>19</v>
      </c>
      <c r="B52" s="128">
        <f>B49+B50-B51</f>
        <v>2634.7030000000004</v>
      </c>
      <c r="C52" s="86">
        <f>C49+C50-C51</f>
        <v>-12490.898729999997</v>
      </c>
      <c r="D52" s="86">
        <f t="shared" ref="D52" si="8">D49+D50-D51</f>
        <v>-2578.62</v>
      </c>
      <c r="E52" s="86">
        <f>E49+E50-E51</f>
        <v>4372.0169999999998</v>
      </c>
      <c r="F52" s="86">
        <f t="shared" ref="F52" si="9">F49+F50-F51</f>
        <v>18946.358657599998</v>
      </c>
      <c r="G52" s="86">
        <f t="shared" ref="G52" si="10">G49+G50-G51</f>
        <v>-6109.4563160000016</v>
      </c>
      <c r="H52" s="52">
        <f t="shared" ref="H52" si="11">H49+H50-H51</f>
        <v>-741.70230000000015</v>
      </c>
      <c r="I52" s="86">
        <f t="shared" ref="I52" si="12">I49+I50-I51</f>
        <v>-5383.5550000000003</v>
      </c>
      <c r="J52" s="216">
        <f t="shared" ref="J52" si="13">J49+J50-J51</f>
        <v>-38.189016000000002</v>
      </c>
      <c r="K52" s="52">
        <f t="shared" ref="K52" si="14">K49+K50-K51</f>
        <v>0</v>
      </c>
      <c r="L52" s="86">
        <f t="shared" ref="L52" si="15">L49+L50-L51</f>
        <v>14.650000000000002</v>
      </c>
      <c r="M52" s="144">
        <f t="shared" ref="M52" si="16">M49+M50-M51</f>
        <v>39.340000000000011</v>
      </c>
      <c r="N52" s="86">
        <f t="shared" ref="N52" si="17">N49+N50-N51</f>
        <v>-445.39292880000005</v>
      </c>
      <c r="O52" s="86">
        <f t="shared" ref="O52" si="18">O49+O50-O51</f>
        <v>822.61807919999978</v>
      </c>
      <c r="P52" s="52">
        <f t="shared" ref="P52" si="19">P49+P50-P51</f>
        <v>-327.08433759999997</v>
      </c>
      <c r="Q52" s="52">
        <f t="shared" ref="Q52" si="20">Q49+Q50-Q51</f>
        <v>376.96620719999987</v>
      </c>
      <c r="R52" s="52">
        <f t="shared" ref="R52" si="21">R49+R50-R51</f>
        <v>310.24688000000003</v>
      </c>
      <c r="S52" s="52">
        <f t="shared" ref="S52" si="22">S49+S50-S51</f>
        <v>462.48932959999996</v>
      </c>
      <c r="T52" s="52">
        <f t="shared" ref="T52" si="23">T49+T50-T51</f>
        <v>118.07723799999999</v>
      </c>
      <c r="U52" s="52">
        <f t="shared" ref="U52" si="24">U49+U50-U51</f>
        <v>15.036334999999999</v>
      </c>
      <c r="V52" s="52">
        <f t="shared" ref="V52" si="25">V49+V50-V51</f>
        <v>0</v>
      </c>
      <c r="W52" s="86">
        <f t="shared" ref="W52" si="26">W49+W50-W51</f>
        <v>103.040903</v>
      </c>
      <c r="X52" s="52">
        <f t="shared" ref="X52" si="27">X49+X50-X51</f>
        <v>0</v>
      </c>
      <c r="Y52" s="52">
        <f t="shared" ref="Y52" si="28">Y49+Y50-Y51</f>
        <v>0</v>
      </c>
    </row>
    <row r="53" spans="1:26" s="20" customFormat="1">
      <c r="A53" s="18" t="s">
        <v>20</v>
      </c>
      <c r="B53" s="129">
        <f>ROUND(B59*0.25,2)</f>
        <v>658.68</v>
      </c>
      <c r="C53" s="87"/>
      <c r="D53" s="87"/>
      <c r="E53" s="87"/>
      <c r="F53" s="87"/>
      <c r="G53" s="87"/>
      <c r="H53" s="53"/>
      <c r="I53" s="87"/>
      <c r="J53" s="217"/>
      <c r="K53" s="53"/>
      <c r="L53" s="87"/>
      <c r="M53" s="140"/>
      <c r="N53" s="87"/>
      <c r="O53" s="87"/>
      <c r="P53" s="53"/>
      <c r="Q53" s="53"/>
      <c r="R53" s="53"/>
      <c r="S53" s="53"/>
      <c r="T53" s="53"/>
      <c r="U53" s="53"/>
      <c r="V53" s="53"/>
      <c r="W53" s="87"/>
      <c r="X53" s="53"/>
      <c r="Y53" s="53"/>
    </row>
    <row r="54" spans="1:26" s="20" customFormat="1">
      <c r="A54" s="24" t="s">
        <v>21</v>
      </c>
      <c r="B54" s="128">
        <f>B52-B53</f>
        <v>1976.0230000000006</v>
      </c>
      <c r="C54" s="86">
        <f>C52-C53</f>
        <v>-12490.898729999997</v>
      </c>
      <c r="D54" s="86">
        <f t="shared" ref="D54:Y54" si="29">D52-D53</f>
        <v>-2578.62</v>
      </c>
      <c r="E54" s="86">
        <f t="shared" si="29"/>
        <v>4372.0169999999998</v>
      </c>
      <c r="F54" s="144">
        <f>F52-F53</f>
        <v>18946.358657599998</v>
      </c>
      <c r="G54" s="86">
        <f t="shared" si="29"/>
        <v>-6109.4563160000016</v>
      </c>
      <c r="H54" s="52">
        <f t="shared" si="29"/>
        <v>-741.70230000000015</v>
      </c>
      <c r="I54" s="86">
        <f t="shared" si="29"/>
        <v>-5383.5550000000003</v>
      </c>
      <c r="J54" s="216">
        <f t="shared" si="29"/>
        <v>-38.189016000000002</v>
      </c>
      <c r="K54" s="52">
        <f t="shared" si="29"/>
        <v>0</v>
      </c>
      <c r="L54" s="86">
        <f t="shared" si="29"/>
        <v>14.650000000000002</v>
      </c>
      <c r="M54" s="144">
        <f t="shared" si="29"/>
        <v>39.340000000000011</v>
      </c>
      <c r="N54" s="86">
        <f t="shared" si="29"/>
        <v>-445.39292880000005</v>
      </c>
      <c r="O54" s="86">
        <f t="shared" si="29"/>
        <v>822.61807919999978</v>
      </c>
      <c r="P54" s="52">
        <f t="shared" si="29"/>
        <v>-327.08433759999997</v>
      </c>
      <c r="Q54" s="52">
        <f t="shared" si="29"/>
        <v>376.96620719999987</v>
      </c>
      <c r="R54" s="52">
        <f t="shared" si="29"/>
        <v>310.24688000000003</v>
      </c>
      <c r="S54" s="52">
        <f t="shared" si="29"/>
        <v>462.48932959999996</v>
      </c>
      <c r="T54" s="52">
        <f t="shared" si="29"/>
        <v>118.07723799999999</v>
      </c>
      <c r="U54" s="52">
        <f t="shared" si="29"/>
        <v>15.036334999999999</v>
      </c>
      <c r="V54" s="52">
        <f t="shared" si="29"/>
        <v>0</v>
      </c>
      <c r="W54" s="86">
        <f t="shared" si="29"/>
        <v>103.040903</v>
      </c>
      <c r="X54" s="52">
        <f t="shared" si="29"/>
        <v>0</v>
      </c>
      <c r="Y54" s="52">
        <f t="shared" si="29"/>
        <v>0</v>
      </c>
    </row>
    <row r="55" spans="1:26" s="20" customFormat="1">
      <c r="A55" s="25" t="s">
        <v>22</v>
      </c>
      <c r="B55" s="67">
        <f>SUM(C55:G55)+N55+O55+T55</f>
        <v>-1976.0217360000001</v>
      </c>
      <c r="C55" s="88">
        <f>-C26</f>
        <v>0</v>
      </c>
      <c r="D55" s="85">
        <f>-D26</f>
        <v>76.501533999999992</v>
      </c>
      <c r="E55" s="85">
        <f>-E26</f>
        <v>-16.367937000000001</v>
      </c>
      <c r="F55" s="85">
        <f>-F26</f>
        <v>-286.00398899999999</v>
      </c>
      <c r="G55" s="85">
        <f>SUM(H55:M55)</f>
        <v>-1750.1513440000001</v>
      </c>
      <c r="H55" s="54">
        <f t="shared" ref="H55:M55" si="30">-H26</f>
        <v>-1275.5311240000001</v>
      </c>
      <c r="I55" s="88">
        <f>-I26</f>
        <v>-589.231267</v>
      </c>
      <c r="J55" s="218">
        <f t="shared" si="30"/>
        <v>0</v>
      </c>
      <c r="K55" s="54">
        <f t="shared" si="30"/>
        <v>0</v>
      </c>
      <c r="L55" s="88">
        <f t="shared" si="30"/>
        <v>0</v>
      </c>
      <c r="M55" s="145">
        <f t="shared" si="30"/>
        <v>114.611047</v>
      </c>
      <c r="N55" s="88">
        <f>-N26</f>
        <v>0</v>
      </c>
      <c r="O55" s="85">
        <f>SUM(P55:S55)</f>
        <v>0</v>
      </c>
      <c r="P55" s="54">
        <f t="shared" ref="P55:Y55" si="31">-P26</f>
        <v>0</v>
      </c>
      <c r="Q55" s="54">
        <f t="shared" si="31"/>
        <v>0</v>
      </c>
      <c r="R55" s="54">
        <f t="shared" si="31"/>
        <v>0</v>
      </c>
      <c r="S55" s="54">
        <f t="shared" si="31"/>
        <v>0</v>
      </c>
      <c r="T55" s="54">
        <f t="shared" si="31"/>
        <v>0</v>
      </c>
      <c r="U55" s="54">
        <f t="shared" si="31"/>
        <v>0</v>
      </c>
      <c r="V55" s="54">
        <f t="shared" si="31"/>
        <v>0</v>
      </c>
      <c r="W55" s="88">
        <f t="shared" si="31"/>
        <v>0</v>
      </c>
      <c r="X55" s="54">
        <f t="shared" si="31"/>
        <v>0</v>
      </c>
      <c r="Y55" s="54">
        <f t="shared" si="31"/>
        <v>0</v>
      </c>
    </row>
    <row r="56" spans="1:26" s="20" customFormat="1" ht="14.25" thickBot="1">
      <c r="A56" s="26" t="s">
        <v>23</v>
      </c>
      <c r="B56" s="126">
        <f>B54+B55</f>
        <v>1.2640000004466856E-3</v>
      </c>
      <c r="C56" s="89">
        <f t="shared" ref="C56:Y56" si="32">C54+C55</f>
        <v>-12490.898729999997</v>
      </c>
      <c r="D56" s="89">
        <f t="shared" si="32"/>
        <v>-2502.1184659999999</v>
      </c>
      <c r="E56" s="89">
        <f t="shared" si="32"/>
        <v>4355.6490629999998</v>
      </c>
      <c r="F56" s="146">
        <f t="shared" si="32"/>
        <v>18660.354668599997</v>
      </c>
      <c r="G56" s="89">
        <f t="shared" si="32"/>
        <v>-7859.6076600000015</v>
      </c>
      <c r="H56" s="55">
        <f t="shared" si="32"/>
        <v>-2017.2334240000002</v>
      </c>
      <c r="I56" s="89">
        <f>I54+I55</f>
        <v>-5972.7862670000004</v>
      </c>
      <c r="J56" s="219">
        <f t="shared" si="32"/>
        <v>-38.189016000000002</v>
      </c>
      <c r="K56" s="55">
        <f t="shared" si="32"/>
        <v>0</v>
      </c>
      <c r="L56" s="89">
        <f t="shared" si="32"/>
        <v>14.650000000000002</v>
      </c>
      <c r="M56" s="146">
        <f>M54+M55</f>
        <v>153.95104700000002</v>
      </c>
      <c r="N56" s="89">
        <f t="shared" si="32"/>
        <v>-445.39292880000005</v>
      </c>
      <c r="O56" s="89">
        <f t="shared" si="32"/>
        <v>822.61807919999978</v>
      </c>
      <c r="P56" s="55">
        <f t="shared" si="32"/>
        <v>-327.08433759999997</v>
      </c>
      <c r="Q56" s="55">
        <f t="shared" si="32"/>
        <v>376.96620719999987</v>
      </c>
      <c r="R56" s="55">
        <f t="shared" si="32"/>
        <v>310.24688000000003</v>
      </c>
      <c r="S56" s="55">
        <f t="shared" si="32"/>
        <v>462.48932959999996</v>
      </c>
      <c r="T56" s="55">
        <f t="shared" si="32"/>
        <v>118.07723799999999</v>
      </c>
      <c r="U56" s="55">
        <f t="shared" si="32"/>
        <v>15.036334999999999</v>
      </c>
      <c r="V56" s="55">
        <f t="shared" si="32"/>
        <v>0</v>
      </c>
      <c r="W56" s="89">
        <f t="shared" si="32"/>
        <v>103.040903</v>
      </c>
      <c r="X56" s="55">
        <f t="shared" si="32"/>
        <v>0</v>
      </c>
      <c r="Y56" s="55">
        <f t="shared" si="32"/>
        <v>0</v>
      </c>
    </row>
    <row r="57" spans="1:26" s="20" customFormat="1">
      <c r="A57" s="60" t="s">
        <v>129</v>
      </c>
      <c r="B57" s="60">
        <f>B59-B41-B39</f>
        <v>-4.5474735088646412E-13</v>
      </c>
      <c r="J57" s="220"/>
    </row>
    <row r="58" spans="1:26" s="20" customFormat="1">
      <c r="A58" s="24" t="s">
        <v>24</v>
      </c>
      <c r="B58" s="56">
        <f>SUM(C58:G58)+N58+O58+T58</f>
        <v>34806.28</v>
      </c>
      <c r="C58" s="24"/>
      <c r="D58" s="24"/>
      <c r="E58" s="24">
        <v>34572.199999999997</v>
      </c>
      <c r="F58" s="24"/>
      <c r="G58" s="24">
        <f t="shared" ref="G58" si="33">SUM(H58:M58)</f>
        <v>234.07999999999998</v>
      </c>
      <c r="H58" s="24">
        <v>210.39</v>
      </c>
      <c r="I58" s="24">
        <v>20.9</v>
      </c>
      <c r="J58" s="209"/>
      <c r="K58" s="24"/>
      <c r="L58" s="24"/>
      <c r="M58" s="24">
        <v>2.79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6" s="20" customFormat="1">
      <c r="A59" s="58" t="s">
        <v>128</v>
      </c>
      <c r="B59" s="130">
        <f>SUM(C59:G59)+N59+O59+T59</f>
        <v>2634.7</v>
      </c>
      <c r="C59" s="58">
        <f>C26/0.75</f>
        <v>0</v>
      </c>
      <c r="D59" s="58">
        <f>ROUND(D26/0.75,2)</f>
        <v>-102</v>
      </c>
      <c r="E59" s="58">
        <f>ROUND(E26/0.75,2)</f>
        <v>21.82</v>
      </c>
      <c r="F59" s="58">
        <f t="shared" ref="F59:Y59" si="34">ROUND(F26/0.75,2)</f>
        <v>381.34</v>
      </c>
      <c r="G59" s="58">
        <f t="shared" si="34"/>
        <v>2333.54</v>
      </c>
      <c r="H59" s="58">
        <f t="shared" si="34"/>
        <v>1700.71</v>
      </c>
      <c r="I59" s="58">
        <f>ROUND(I26/0.75,2)</f>
        <v>785.64</v>
      </c>
      <c r="J59" s="221">
        <f t="shared" si="34"/>
        <v>0</v>
      </c>
      <c r="K59" s="58">
        <f t="shared" si="34"/>
        <v>0</v>
      </c>
      <c r="L59" s="58">
        <f t="shared" si="34"/>
        <v>0</v>
      </c>
      <c r="M59" s="58">
        <f t="shared" si="34"/>
        <v>-152.81</v>
      </c>
      <c r="N59" s="58">
        <f t="shared" si="34"/>
        <v>0</v>
      </c>
      <c r="O59" s="58">
        <f t="shared" si="34"/>
        <v>0</v>
      </c>
      <c r="P59" s="58">
        <f t="shared" si="34"/>
        <v>0</v>
      </c>
      <c r="Q59" s="58">
        <f t="shared" si="34"/>
        <v>0</v>
      </c>
      <c r="R59" s="58">
        <f t="shared" si="34"/>
        <v>0</v>
      </c>
      <c r="S59" s="58">
        <f t="shared" si="34"/>
        <v>0</v>
      </c>
      <c r="T59" s="58">
        <f t="shared" si="34"/>
        <v>0</v>
      </c>
      <c r="U59" s="58">
        <f t="shared" si="34"/>
        <v>0</v>
      </c>
      <c r="V59" s="58">
        <f t="shared" si="34"/>
        <v>0</v>
      </c>
      <c r="W59" s="58">
        <f t="shared" si="34"/>
        <v>0</v>
      </c>
      <c r="X59" s="58">
        <f t="shared" si="34"/>
        <v>0</v>
      </c>
      <c r="Y59" s="58">
        <f t="shared" si="34"/>
        <v>0</v>
      </c>
    </row>
    <row r="60" spans="1:26" s="33" customFormat="1">
      <c r="A60" s="37"/>
      <c r="B60" s="37" t="s">
        <v>122</v>
      </c>
      <c r="J60" s="222"/>
      <c r="Z60" s="20"/>
    </row>
    <row r="61" spans="1:26" s="20" customFormat="1">
      <c r="J61" s="220"/>
    </row>
    <row r="62" spans="1:26" s="20" customFormat="1" ht="14.25" thickBot="1">
      <c r="A62" s="34" t="s">
        <v>110</v>
      </c>
      <c r="B62" s="35"/>
      <c r="C62" s="35"/>
      <c r="D62" s="35"/>
      <c r="E62" s="35"/>
      <c r="F62" s="35"/>
      <c r="G62" s="35"/>
      <c r="H62" s="35"/>
      <c r="I62" s="35"/>
      <c r="J62" s="20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6" s="20" customFormat="1">
      <c r="A63" s="102" t="s">
        <v>0</v>
      </c>
      <c r="B63" s="102" t="s">
        <v>45</v>
      </c>
      <c r="C63" s="102" t="s">
        <v>26</v>
      </c>
      <c r="D63" s="102" t="s">
        <v>46</v>
      </c>
      <c r="E63" s="102" t="s">
        <v>27</v>
      </c>
      <c r="F63" s="102" t="s">
        <v>113</v>
      </c>
      <c r="G63" s="102" t="s">
        <v>29</v>
      </c>
      <c r="H63" s="103" t="s">
        <v>111</v>
      </c>
      <c r="I63" s="103" t="s">
        <v>112</v>
      </c>
      <c r="J63" s="223" t="s">
        <v>130</v>
      </c>
      <c r="K63" s="103" t="s">
        <v>32</v>
      </c>
      <c r="L63" s="103" t="s">
        <v>33</v>
      </c>
      <c r="M63" s="103" t="s">
        <v>34</v>
      </c>
      <c r="N63" s="77" t="s">
        <v>185</v>
      </c>
      <c r="O63" s="102" t="s">
        <v>36</v>
      </c>
      <c r="P63" s="103" t="s">
        <v>37</v>
      </c>
      <c r="Q63" s="103" t="s">
        <v>38</v>
      </c>
      <c r="R63" s="103" t="s">
        <v>39</v>
      </c>
      <c r="S63" s="103" t="s">
        <v>40</v>
      </c>
      <c r="T63" s="102" t="s">
        <v>41</v>
      </c>
      <c r="U63" s="103" t="s">
        <v>42</v>
      </c>
      <c r="V63" s="103" t="s">
        <v>43</v>
      </c>
      <c r="W63" s="103" t="s">
        <v>44</v>
      </c>
      <c r="X63" s="102"/>
      <c r="Y63" s="102"/>
    </row>
    <row r="64" spans="1:26" s="20" customFormat="1">
      <c r="A64" s="104" t="s">
        <v>1</v>
      </c>
      <c r="B64" s="105">
        <f t="shared" ref="B64:Y64" si="35">B4+B33</f>
        <v>245276.234528</v>
      </c>
      <c r="C64" s="105">
        <f t="shared" si="35"/>
        <v>-11954.889504999997</v>
      </c>
      <c r="D64" s="105">
        <f>D4+D33</f>
        <v>-27809.548487999989</v>
      </c>
      <c r="E64" s="136">
        <f>E4+E33</f>
        <v>176825.82923999996</v>
      </c>
      <c r="F64" s="105">
        <f t="shared" si="35"/>
        <v>51211.925762999992</v>
      </c>
      <c r="G64" s="105">
        <f>G4+G33</f>
        <v>40690.016494000003</v>
      </c>
      <c r="H64" s="136">
        <f t="shared" si="35"/>
        <v>26118.518608999999</v>
      </c>
      <c r="I64" s="136">
        <f t="shared" si="35"/>
        <v>13593.422752999999</v>
      </c>
      <c r="J64" s="224">
        <f t="shared" si="35"/>
        <v>174.02159699999999</v>
      </c>
      <c r="K64" s="105">
        <f t="shared" si="35"/>
        <v>0</v>
      </c>
      <c r="L64" s="105">
        <f t="shared" si="35"/>
        <v>0.26515299999999997</v>
      </c>
      <c r="M64" s="136">
        <f t="shared" si="35"/>
        <v>803.78838199999996</v>
      </c>
      <c r="N64" s="136">
        <f t="shared" si="35"/>
        <v>2461.1976999999997</v>
      </c>
      <c r="O64" s="105">
        <f t="shared" si="35"/>
        <v>13841.953204999998</v>
      </c>
      <c r="P64" s="105">
        <f>P4+P33</f>
        <v>28.79000000000002</v>
      </c>
      <c r="Q64" s="136">
        <f t="shared" si="35"/>
        <v>13061.953204999998</v>
      </c>
      <c r="R64" s="136">
        <f t="shared" si="35"/>
        <v>258</v>
      </c>
      <c r="S64" s="136">
        <f t="shared" si="35"/>
        <v>493.21</v>
      </c>
      <c r="T64" s="105">
        <f t="shared" si="35"/>
        <v>9.7501189999999998</v>
      </c>
      <c r="U64" s="105">
        <f t="shared" si="35"/>
        <v>9.7501189999999998</v>
      </c>
      <c r="V64" s="105">
        <f t="shared" si="35"/>
        <v>0</v>
      </c>
      <c r="W64" s="105">
        <f t="shared" si="35"/>
        <v>0</v>
      </c>
      <c r="X64" s="105">
        <f t="shared" si="35"/>
        <v>0</v>
      </c>
      <c r="Y64" s="105">
        <f t="shared" si="35"/>
        <v>0</v>
      </c>
    </row>
    <row r="65" spans="1:25" s="20" customFormat="1">
      <c r="A65" s="106" t="s">
        <v>2</v>
      </c>
      <c r="B65" s="107">
        <f t="shared" ref="B65:Y65" si="36">B5+B34</f>
        <v>155919.92570699999</v>
      </c>
      <c r="C65" s="107">
        <f t="shared" si="36"/>
        <v>-893.04158300000006</v>
      </c>
      <c r="D65" s="107">
        <f t="shared" si="36"/>
        <v>-221.58551299999704</v>
      </c>
      <c r="E65" s="135">
        <f>E5+E34</f>
        <v>117884.82908299999</v>
      </c>
      <c r="F65" s="107">
        <f t="shared" si="36"/>
        <v>23108.961096999999</v>
      </c>
      <c r="G65" s="107">
        <f t="shared" si="36"/>
        <v>224.499718</v>
      </c>
      <c r="H65" s="135">
        <f t="shared" si="36"/>
        <v>-80</v>
      </c>
      <c r="I65" s="135">
        <f t="shared" si="36"/>
        <v>244.07499999999999</v>
      </c>
      <c r="J65" s="225">
        <f t="shared" si="36"/>
        <v>0</v>
      </c>
      <c r="K65" s="107">
        <f t="shared" si="36"/>
        <v>0</v>
      </c>
      <c r="L65" s="107">
        <f t="shared" si="36"/>
        <v>-0.192</v>
      </c>
      <c r="M65" s="135">
        <f t="shared" si="36"/>
        <v>60.616718000000006</v>
      </c>
      <c r="N65" s="107">
        <f t="shared" si="36"/>
        <v>2445.2276999999999</v>
      </c>
      <c r="O65" s="107">
        <f>O5+O34</f>
        <v>13361.333204999999</v>
      </c>
      <c r="P65" s="107">
        <f>P5+P34</f>
        <v>28.79000000000002</v>
      </c>
      <c r="Q65" s="135">
        <f>Q5+Q34</f>
        <v>12956.333204999999</v>
      </c>
      <c r="R65" s="107">
        <f t="shared" si="36"/>
        <v>258</v>
      </c>
      <c r="S65" s="135">
        <f t="shared" si="36"/>
        <v>118.21</v>
      </c>
      <c r="T65" s="107">
        <f t="shared" si="36"/>
        <v>9.702</v>
      </c>
      <c r="U65" s="107">
        <f t="shared" si="36"/>
        <v>9.702</v>
      </c>
      <c r="V65" s="107">
        <f t="shared" si="36"/>
        <v>0</v>
      </c>
      <c r="W65" s="107">
        <f t="shared" si="36"/>
        <v>0</v>
      </c>
      <c r="X65" s="107">
        <f t="shared" si="36"/>
        <v>0</v>
      </c>
      <c r="Y65" s="107">
        <f t="shared" si="36"/>
        <v>0</v>
      </c>
    </row>
    <row r="66" spans="1:25" s="20" customFormat="1">
      <c r="A66" s="108" t="s">
        <v>3</v>
      </c>
      <c r="B66" s="108">
        <f t="shared" ref="B66:Y66" si="37">B6+B35</f>
        <v>117306.84980999999</v>
      </c>
      <c r="C66" s="108">
        <f>C6+C35</f>
        <v>63.069416999999994</v>
      </c>
      <c r="D66" s="108">
        <f t="shared" si="37"/>
        <v>-179.84975399999203</v>
      </c>
      <c r="E66" s="137">
        <f t="shared" si="37"/>
        <v>117444.27419599997</v>
      </c>
      <c r="F66" s="108">
        <f>F6+F35</f>
        <v>-36.180514000000002</v>
      </c>
      <c r="G66" s="108">
        <f t="shared" si="37"/>
        <v>15.536465</v>
      </c>
      <c r="H66" s="137">
        <f t="shared" si="37"/>
        <v>0</v>
      </c>
      <c r="I66" s="137">
        <f t="shared" si="37"/>
        <v>0</v>
      </c>
      <c r="J66" s="226">
        <f t="shared" si="37"/>
        <v>0</v>
      </c>
      <c r="K66" s="108">
        <f t="shared" si="37"/>
        <v>0</v>
      </c>
      <c r="L66" s="108">
        <f t="shared" si="37"/>
        <v>0</v>
      </c>
      <c r="M66" s="137">
        <f t="shared" si="37"/>
        <v>15.536465</v>
      </c>
      <c r="N66" s="108">
        <f t="shared" si="37"/>
        <v>0</v>
      </c>
      <c r="O66" s="108">
        <f t="shared" si="37"/>
        <v>0</v>
      </c>
      <c r="P66" s="108">
        <f t="shared" si="37"/>
        <v>0</v>
      </c>
      <c r="Q66" s="137">
        <f t="shared" si="37"/>
        <v>0</v>
      </c>
      <c r="R66" s="108">
        <f t="shared" si="37"/>
        <v>0</v>
      </c>
      <c r="S66" s="137">
        <f t="shared" si="37"/>
        <v>0</v>
      </c>
      <c r="T66" s="108">
        <f t="shared" si="37"/>
        <v>0</v>
      </c>
      <c r="U66" s="108">
        <f t="shared" si="37"/>
        <v>0</v>
      </c>
      <c r="V66" s="108">
        <f t="shared" si="37"/>
        <v>0</v>
      </c>
      <c r="W66" s="108">
        <f t="shared" si="37"/>
        <v>0</v>
      </c>
      <c r="X66" s="108">
        <f t="shared" si="37"/>
        <v>0</v>
      </c>
      <c r="Y66" s="108">
        <f t="shared" si="37"/>
        <v>0</v>
      </c>
    </row>
    <row r="67" spans="1:25" s="20" customFormat="1">
      <c r="A67" s="108" t="s">
        <v>4</v>
      </c>
      <c r="B67" s="108">
        <f t="shared" ref="B67:Y67" si="38">B7+B36</f>
        <v>14994.524905000002</v>
      </c>
      <c r="C67" s="108">
        <f t="shared" si="38"/>
        <v>-956.11099999999999</v>
      </c>
      <c r="D67" s="108">
        <f t="shared" si="38"/>
        <v>1.8189894035458565E-12</v>
      </c>
      <c r="E67" s="137">
        <f t="shared" si="38"/>
        <v>37.25</v>
      </c>
      <c r="F67" s="108">
        <f t="shared" si="38"/>
        <v>395</v>
      </c>
      <c r="G67" s="108">
        <f t="shared" si="38"/>
        <v>244.07499999999999</v>
      </c>
      <c r="H67" s="137">
        <f t="shared" si="38"/>
        <v>0</v>
      </c>
      <c r="I67" s="137">
        <f t="shared" si="38"/>
        <v>244.07499999999999</v>
      </c>
      <c r="J67" s="226">
        <f t="shared" si="38"/>
        <v>0</v>
      </c>
      <c r="K67" s="108">
        <f t="shared" si="38"/>
        <v>0</v>
      </c>
      <c r="L67" s="108">
        <f t="shared" si="38"/>
        <v>0</v>
      </c>
      <c r="M67" s="137">
        <f t="shared" si="38"/>
        <v>0</v>
      </c>
      <c r="N67" s="108">
        <f t="shared" si="38"/>
        <v>2445.2276999999999</v>
      </c>
      <c r="O67" s="108">
        <f t="shared" si="38"/>
        <v>12819.333204999999</v>
      </c>
      <c r="P67" s="108">
        <f t="shared" si="38"/>
        <v>-395</v>
      </c>
      <c r="Q67" s="137">
        <f t="shared" si="38"/>
        <v>12956.333204999999</v>
      </c>
      <c r="R67" s="108">
        <f t="shared" si="38"/>
        <v>258</v>
      </c>
      <c r="S67" s="137">
        <f t="shared" si="38"/>
        <v>0</v>
      </c>
      <c r="T67" s="108">
        <f>T7+T36</f>
        <v>9.75</v>
      </c>
      <c r="U67" s="108">
        <f t="shared" si="38"/>
        <v>9.75</v>
      </c>
      <c r="V67" s="108">
        <f t="shared" si="38"/>
        <v>0</v>
      </c>
      <c r="W67" s="108">
        <f t="shared" si="38"/>
        <v>0</v>
      </c>
      <c r="X67" s="108">
        <f t="shared" si="38"/>
        <v>0</v>
      </c>
      <c r="Y67" s="108">
        <f t="shared" si="38"/>
        <v>0</v>
      </c>
    </row>
    <row r="68" spans="1:25" s="20" customFormat="1">
      <c r="A68" s="108" t="s">
        <v>5</v>
      </c>
      <c r="B68" s="108">
        <f t="shared" ref="B68:Y68" si="39">B8+B37</f>
        <v>22980.095610999997</v>
      </c>
      <c r="C68" s="108">
        <f t="shared" si="39"/>
        <v>0</v>
      </c>
      <c r="D68" s="108">
        <f t="shared" si="39"/>
        <v>0</v>
      </c>
      <c r="E68" s="137">
        <f t="shared" si="39"/>
        <v>91.698999999999998</v>
      </c>
      <c r="F68" s="108">
        <f t="shared" si="39"/>
        <v>22750.196610999996</v>
      </c>
      <c r="G68" s="108">
        <f t="shared" si="39"/>
        <v>0</v>
      </c>
      <c r="H68" s="137">
        <f t="shared" si="39"/>
        <v>0</v>
      </c>
      <c r="I68" s="137">
        <f t="shared" si="39"/>
        <v>0</v>
      </c>
      <c r="J68" s="226">
        <f t="shared" si="39"/>
        <v>0</v>
      </c>
      <c r="K68" s="108">
        <f t="shared" si="39"/>
        <v>0</v>
      </c>
      <c r="L68" s="108">
        <f t="shared" si="39"/>
        <v>0</v>
      </c>
      <c r="M68" s="137">
        <f t="shared" si="39"/>
        <v>0</v>
      </c>
      <c r="N68" s="108">
        <f t="shared" si="39"/>
        <v>0</v>
      </c>
      <c r="O68" s="108">
        <f t="shared" si="39"/>
        <v>138.19999999999999</v>
      </c>
      <c r="P68" s="108">
        <f t="shared" si="39"/>
        <v>26.79</v>
      </c>
      <c r="Q68" s="137">
        <f t="shared" si="39"/>
        <v>0</v>
      </c>
      <c r="R68" s="108">
        <f t="shared" si="39"/>
        <v>0</v>
      </c>
      <c r="S68" s="137">
        <f t="shared" si="39"/>
        <v>111.41</v>
      </c>
      <c r="T68" s="108">
        <f t="shared" si="39"/>
        <v>0</v>
      </c>
      <c r="U68" s="108">
        <f t="shared" si="39"/>
        <v>0</v>
      </c>
      <c r="V68" s="108">
        <f t="shared" si="39"/>
        <v>0</v>
      </c>
      <c r="W68" s="108">
        <f t="shared" si="39"/>
        <v>0</v>
      </c>
      <c r="X68" s="108">
        <f t="shared" si="39"/>
        <v>0</v>
      </c>
      <c r="Y68" s="108">
        <f t="shared" si="39"/>
        <v>0</v>
      </c>
    </row>
    <row r="69" spans="1:25" s="20" customFormat="1">
      <c r="A69" s="106" t="s">
        <v>6</v>
      </c>
      <c r="B69" s="107">
        <f t="shared" ref="B69:Y69" si="40">B9+B38</f>
        <v>30037.862382999992</v>
      </c>
      <c r="C69" s="107">
        <f t="shared" si="40"/>
        <v>227.982078</v>
      </c>
      <c r="D69" s="107">
        <f>D9+D38</f>
        <v>-27423.421359999989</v>
      </c>
      <c r="E69" s="135">
        <f t="shared" si="40"/>
        <v>58367.79069199998</v>
      </c>
      <c r="F69" s="107">
        <f t="shared" si="40"/>
        <v>-44.589378000000004</v>
      </c>
      <c r="G69" s="107">
        <f t="shared" si="40"/>
        <v>-1195.5677679999999</v>
      </c>
      <c r="H69" s="135">
        <f>H9+H38</f>
        <v>-737.97832800000003</v>
      </c>
      <c r="I69" s="135">
        <f t="shared" si="40"/>
        <v>-473.75723599999992</v>
      </c>
      <c r="J69" s="225">
        <f t="shared" si="40"/>
        <v>2.310403</v>
      </c>
      <c r="K69" s="107">
        <f>K9+K38</f>
        <v>0</v>
      </c>
      <c r="L69" s="107">
        <f t="shared" si="40"/>
        <v>0.45715299999999998</v>
      </c>
      <c r="M69" s="135">
        <f t="shared" si="40"/>
        <v>13.40024</v>
      </c>
      <c r="N69" s="107">
        <f t="shared" si="40"/>
        <v>0</v>
      </c>
      <c r="O69" s="107">
        <f t="shared" si="40"/>
        <v>105.62</v>
      </c>
      <c r="P69" s="107">
        <f t="shared" si="40"/>
        <v>0</v>
      </c>
      <c r="Q69" s="135">
        <f t="shared" si="40"/>
        <v>105.62</v>
      </c>
      <c r="R69" s="107">
        <f t="shared" si="40"/>
        <v>0</v>
      </c>
      <c r="S69" s="135">
        <f t="shared" si="40"/>
        <v>0</v>
      </c>
      <c r="T69" s="107">
        <f t="shared" si="40"/>
        <v>4.8119000000000002E-2</v>
      </c>
      <c r="U69" s="107">
        <f t="shared" si="40"/>
        <v>4.8119000000000002E-2</v>
      </c>
      <c r="V69" s="107">
        <f t="shared" si="40"/>
        <v>0</v>
      </c>
      <c r="W69" s="107">
        <f t="shared" si="40"/>
        <v>0</v>
      </c>
      <c r="X69" s="107">
        <f t="shared" si="40"/>
        <v>0</v>
      </c>
      <c r="Y69" s="107">
        <f t="shared" si="40"/>
        <v>0</v>
      </c>
    </row>
    <row r="70" spans="1:25" s="20" customFormat="1">
      <c r="A70" s="106" t="s">
        <v>7</v>
      </c>
      <c r="B70" s="107">
        <f t="shared" ref="B70:Y70" si="41">B10+B39</f>
        <v>50851.656522000005</v>
      </c>
      <c r="C70" s="107">
        <f t="shared" si="41"/>
        <v>-14606.029999999999</v>
      </c>
      <c r="D70" s="107">
        <f t="shared" si="41"/>
        <v>-163.35874600000216</v>
      </c>
      <c r="E70" s="135">
        <f t="shared" si="41"/>
        <v>491.89301599999999</v>
      </c>
      <c r="F70" s="107">
        <f t="shared" si="41"/>
        <v>29406.384043999999</v>
      </c>
      <c r="G70" s="107">
        <f t="shared" si="41"/>
        <v>35331.288208000005</v>
      </c>
      <c r="H70" s="135">
        <f t="shared" si="41"/>
        <v>24725.858490999999</v>
      </c>
      <c r="I70" s="135">
        <f t="shared" si="41"/>
        <v>9756.3955239999996</v>
      </c>
      <c r="J70" s="225">
        <f t="shared" si="41"/>
        <v>396.80152699999996</v>
      </c>
      <c r="K70" s="107">
        <f t="shared" si="41"/>
        <v>0</v>
      </c>
      <c r="L70" s="107">
        <f t="shared" si="41"/>
        <v>0</v>
      </c>
      <c r="M70" s="135">
        <f t="shared" si="41"/>
        <v>452.23266599999999</v>
      </c>
      <c r="N70" s="107">
        <f t="shared" si="41"/>
        <v>16.48</v>
      </c>
      <c r="O70" s="107">
        <f t="shared" si="41"/>
        <v>375</v>
      </c>
      <c r="P70" s="107">
        <f t="shared" si="41"/>
        <v>0</v>
      </c>
      <c r="Q70" s="135">
        <f t="shared" si="41"/>
        <v>0</v>
      </c>
      <c r="R70" s="107">
        <f t="shared" si="41"/>
        <v>0</v>
      </c>
      <c r="S70" s="135">
        <f t="shared" si="41"/>
        <v>375</v>
      </c>
      <c r="T70" s="107">
        <f t="shared" si="41"/>
        <v>0</v>
      </c>
      <c r="U70" s="107">
        <f t="shared" si="41"/>
        <v>0</v>
      </c>
      <c r="V70" s="107">
        <f t="shared" si="41"/>
        <v>0</v>
      </c>
      <c r="W70" s="107">
        <f t="shared" si="41"/>
        <v>0</v>
      </c>
      <c r="X70" s="107">
        <f t="shared" si="41"/>
        <v>0</v>
      </c>
      <c r="Y70" s="107">
        <f t="shared" si="41"/>
        <v>0</v>
      </c>
    </row>
    <row r="71" spans="1:25" s="20" customFormat="1">
      <c r="A71" s="107" t="s">
        <v>127</v>
      </c>
      <c r="B71" s="107"/>
      <c r="C71" s="107"/>
      <c r="D71" s="107"/>
      <c r="E71" s="135"/>
      <c r="F71" s="107"/>
      <c r="G71" s="107"/>
      <c r="H71" s="135"/>
      <c r="I71" s="135"/>
      <c r="J71" s="225"/>
      <c r="K71" s="107"/>
      <c r="L71" s="107"/>
      <c r="M71" s="135"/>
      <c r="N71" s="107"/>
      <c r="O71" s="107"/>
      <c r="P71" s="107"/>
      <c r="Q71" s="135"/>
      <c r="R71" s="107"/>
      <c r="S71" s="135"/>
      <c r="T71" s="107"/>
      <c r="U71" s="107"/>
      <c r="V71" s="107"/>
      <c r="W71" s="107"/>
      <c r="X71" s="107"/>
      <c r="Y71" s="107"/>
    </row>
    <row r="72" spans="1:25" s="20" customFormat="1">
      <c r="A72" s="106" t="s">
        <v>8</v>
      </c>
      <c r="B72" s="107">
        <f t="shared" ref="B72:Y72" si="42">B12+B41</f>
        <v>8313.6945080000005</v>
      </c>
      <c r="C72" s="107">
        <f t="shared" si="42"/>
        <v>3316.2000000000003</v>
      </c>
      <c r="D72" s="107">
        <f t="shared" si="42"/>
        <v>7.2181719999998677</v>
      </c>
      <c r="E72" s="135">
        <f t="shared" si="42"/>
        <v>-80.180000000000007</v>
      </c>
      <c r="F72" s="107">
        <f t="shared" si="42"/>
        <v>-1258.8300000000002</v>
      </c>
      <c r="G72" s="107">
        <f t="shared" si="42"/>
        <v>6329.7963359999994</v>
      </c>
      <c r="H72" s="135">
        <f t="shared" si="42"/>
        <v>2210.6384459999999</v>
      </c>
      <c r="I72" s="135">
        <f t="shared" si="42"/>
        <v>4066.7094649999999</v>
      </c>
      <c r="J72" s="225">
        <f t="shared" si="42"/>
        <v>-225.09033300000002</v>
      </c>
      <c r="K72" s="107">
        <f t="shared" si="42"/>
        <v>0</v>
      </c>
      <c r="L72" s="107">
        <f t="shared" si="42"/>
        <v>0</v>
      </c>
      <c r="M72" s="135">
        <f t="shared" si="42"/>
        <v>277.53875799999997</v>
      </c>
      <c r="N72" s="107">
        <f t="shared" si="42"/>
        <v>-0.51</v>
      </c>
      <c r="O72" s="107">
        <f t="shared" si="42"/>
        <v>0</v>
      </c>
      <c r="P72" s="107">
        <f t="shared" si="42"/>
        <v>0</v>
      </c>
      <c r="Q72" s="135">
        <f t="shared" si="42"/>
        <v>0</v>
      </c>
      <c r="R72" s="107">
        <f t="shared" si="42"/>
        <v>0</v>
      </c>
      <c r="S72" s="135">
        <f t="shared" si="42"/>
        <v>0</v>
      </c>
      <c r="T72" s="107">
        <f t="shared" si="42"/>
        <v>0</v>
      </c>
      <c r="U72" s="107">
        <f t="shared" si="42"/>
        <v>0</v>
      </c>
      <c r="V72" s="107">
        <f t="shared" si="42"/>
        <v>0</v>
      </c>
      <c r="W72" s="107">
        <f t="shared" si="42"/>
        <v>0</v>
      </c>
      <c r="X72" s="107">
        <f t="shared" si="42"/>
        <v>0</v>
      </c>
      <c r="Y72" s="107">
        <f t="shared" si="42"/>
        <v>0</v>
      </c>
    </row>
    <row r="73" spans="1:25" s="20" customFormat="1">
      <c r="A73" s="106" t="s">
        <v>9</v>
      </c>
      <c r="B73" s="107">
        <f t="shared" ref="B73:Y73" si="43">B13+B42</f>
        <v>74.616732999999982</v>
      </c>
      <c r="C73" s="107">
        <f t="shared" si="43"/>
        <v>0</v>
      </c>
      <c r="D73" s="107">
        <f t="shared" si="43"/>
        <v>-8.4010410000000064</v>
      </c>
      <c r="E73" s="135">
        <f t="shared" si="43"/>
        <v>83.017773999999989</v>
      </c>
      <c r="F73" s="107">
        <f t="shared" si="43"/>
        <v>0</v>
      </c>
      <c r="G73" s="107">
        <f t="shared" si="43"/>
        <v>0</v>
      </c>
      <c r="H73" s="135">
        <f t="shared" si="43"/>
        <v>0</v>
      </c>
      <c r="I73" s="135">
        <f t="shared" si="43"/>
        <v>0</v>
      </c>
      <c r="J73" s="225">
        <f t="shared" si="43"/>
        <v>0</v>
      </c>
      <c r="K73" s="107">
        <f t="shared" si="43"/>
        <v>0</v>
      </c>
      <c r="L73" s="107">
        <f t="shared" si="43"/>
        <v>0</v>
      </c>
      <c r="M73" s="135">
        <f t="shared" si="43"/>
        <v>0</v>
      </c>
      <c r="N73" s="107">
        <f t="shared" si="43"/>
        <v>0</v>
      </c>
      <c r="O73" s="107">
        <f t="shared" si="43"/>
        <v>0</v>
      </c>
      <c r="P73" s="107">
        <f t="shared" si="43"/>
        <v>0</v>
      </c>
      <c r="Q73" s="135">
        <f t="shared" si="43"/>
        <v>0</v>
      </c>
      <c r="R73" s="107">
        <f t="shared" si="43"/>
        <v>0</v>
      </c>
      <c r="S73" s="135">
        <f t="shared" si="43"/>
        <v>0</v>
      </c>
      <c r="T73" s="107">
        <f>T13+T42</f>
        <v>0</v>
      </c>
      <c r="U73" s="107">
        <f t="shared" si="43"/>
        <v>0</v>
      </c>
      <c r="V73" s="107">
        <f t="shared" si="43"/>
        <v>0</v>
      </c>
      <c r="W73" s="107">
        <f t="shared" si="43"/>
        <v>0</v>
      </c>
      <c r="X73" s="107">
        <f t="shared" si="43"/>
        <v>0</v>
      </c>
      <c r="Y73" s="107">
        <f t="shared" si="43"/>
        <v>0</v>
      </c>
    </row>
    <row r="74" spans="1:25" s="20" customFormat="1">
      <c r="A74" s="106" t="s">
        <v>10</v>
      </c>
      <c r="B74" s="107">
        <f t="shared" ref="B74:Y74" si="44">B14+B43</f>
        <v>78.478674999999996</v>
      </c>
      <c r="C74" s="107">
        <f t="shared" si="44"/>
        <v>0</v>
      </c>
      <c r="D74" s="107">
        <f t="shared" si="44"/>
        <v>0</v>
      </c>
      <c r="E74" s="135">
        <f t="shared" si="44"/>
        <v>78.478674999999996</v>
      </c>
      <c r="F74" s="107">
        <f t="shared" si="44"/>
        <v>0</v>
      </c>
      <c r="G74" s="107">
        <f t="shared" si="44"/>
        <v>0</v>
      </c>
      <c r="H74" s="135">
        <f t="shared" si="44"/>
        <v>0</v>
      </c>
      <c r="I74" s="135">
        <f t="shared" si="44"/>
        <v>0</v>
      </c>
      <c r="J74" s="225">
        <f t="shared" si="44"/>
        <v>0</v>
      </c>
      <c r="K74" s="107">
        <f t="shared" si="44"/>
        <v>0</v>
      </c>
      <c r="L74" s="107">
        <f t="shared" si="44"/>
        <v>0</v>
      </c>
      <c r="M74" s="135">
        <f t="shared" si="44"/>
        <v>0</v>
      </c>
      <c r="N74" s="107">
        <f t="shared" si="44"/>
        <v>0</v>
      </c>
      <c r="O74" s="107">
        <f t="shared" si="44"/>
        <v>0</v>
      </c>
      <c r="P74" s="107">
        <f t="shared" si="44"/>
        <v>0</v>
      </c>
      <c r="Q74" s="135">
        <f t="shared" si="44"/>
        <v>0</v>
      </c>
      <c r="R74" s="107">
        <f t="shared" si="44"/>
        <v>0</v>
      </c>
      <c r="S74" s="135">
        <f t="shared" si="44"/>
        <v>0</v>
      </c>
      <c r="T74" s="107">
        <f t="shared" si="44"/>
        <v>0</v>
      </c>
      <c r="U74" s="107">
        <f t="shared" si="44"/>
        <v>0</v>
      </c>
      <c r="V74" s="107">
        <f t="shared" si="44"/>
        <v>0</v>
      </c>
      <c r="W74" s="107">
        <f t="shared" si="44"/>
        <v>0</v>
      </c>
      <c r="X74" s="107">
        <f t="shared" si="44"/>
        <v>0</v>
      </c>
      <c r="Y74" s="107">
        <f t="shared" si="44"/>
        <v>0</v>
      </c>
    </row>
    <row r="75" spans="1:25" s="20" customFormat="1">
      <c r="A75" s="109" t="s">
        <v>11</v>
      </c>
      <c r="B75" s="110">
        <f t="shared" ref="B75:Y75" si="45">B15+B44</f>
        <v>118087.50244199998</v>
      </c>
      <c r="C75" s="110">
        <f t="shared" si="45"/>
        <v>36796.840223999992</v>
      </c>
      <c r="D75" s="110">
        <f t="shared" si="45"/>
        <v>7252.4042699999845</v>
      </c>
      <c r="E75" s="138">
        <f>E15+E44</f>
        <v>56357.916998999994</v>
      </c>
      <c r="F75" s="110">
        <f t="shared" si="45"/>
        <v>4828.4905214000009</v>
      </c>
      <c r="G75" s="110">
        <f t="shared" si="45"/>
        <v>5024.5890900000013</v>
      </c>
      <c r="H75" s="138">
        <f t="shared" si="45"/>
        <v>2415.6608980000001</v>
      </c>
      <c r="I75" s="138">
        <f t="shared" si="45"/>
        <v>1242.4807049999999</v>
      </c>
      <c r="J75" s="227">
        <f t="shared" si="45"/>
        <v>441.689459</v>
      </c>
      <c r="K75" s="110">
        <f t="shared" si="45"/>
        <v>0</v>
      </c>
      <c r="L75" s="110">
        <f t="shared" si="45"/>
        <v>352.38666900000004</v>
      </c>
      <c r="M75" s="138">
        <f>M15+M44</f>
        <v>572.3713590000001</v>
      </c>
      <c r="N75" s="110">
        <f t="shared" si="45"/>
        <v>1218.2587927999998</v>
      </c>
      <c r="O75" s="110">
        <f t="shared" si="45"/>
        <v>5789.6921308000001</v>
      </c>
      <c r="P75" s="110">
        <f t="shared" si="45"/>
        <v>260.6550866</v>
      </c>
      <c r="Q75" s="138">
        <f t="shared" si="45"/>
        <v>4529.6755247999999</v>
      </c>
      <c r="R75" s="110">
        <f t="shared" si="45"/>
        <v>681.39649699999995</v>
      </c>
      <c r="S75" s="138">
        <f t="shared" si="45"/>
        <v>317.96502240000001</v>
      </c>
      <c r="T75" s="110">
        <f t="shared" si="45"/>
        <v>819.31041400000004</v>
      </c>
      <c r="U75" s="110">
        <f t="shared" si="45"/>
        <v>106.51034100000001</v>
      </c>
      <c r="V75" s="110">
        <f t="shared" si="45"/>
        <v>145.438256</v>
      </c>
      <c r="W75" s="110">
        <f t="shared" si="45"/>
        <v>567.36181700000009</v>
      </c>
      <c r="X75" s="110">
        <f t="shared" si="45"/>
        <v>0</v>
      </c>
      <c r="Y75" s="110">
        <f t="shared" si="45"/>
        <v>0</v>
      </c>
    </row>
    <row r="76" spans="1:25" s="20" customFormat="1">
      <c r="A76" s="107" t="s">
        <v>12</v>
      </c>
      <c r="B76" s="107">
        <f t="shared" ref="B76:Y76" si="46">B16+B45</f>
        <v>14292.634718999996</v>
      </c>
      <c r="C76" s="107">
        <f t="shared" si="46"/>
        <v>-1019.4681810000001</v>
      </c>
      <c r="D76" s="107">
        <f t="shared" si="46"/>
        <v>9.9616719999986572</v>
      </c>
      <c r="E76" s="135">
        <f t="shared" si="46"/>
        <v>9535.6763999999966</v>
      </c>
      <c r="F76" s="107">
        <f t="shared" si="46"/>
        <v>2913.2359034000001</v>
      </c>
      <c r="G76" s="107">
        <f t="shared" si="46"/>
        <v>1948.8134229999998</v>
      </c>
      <c r="H76" s="135">
        <f t="shared" si="46"/>
        <v>1370.951779</v>
      </c>
      <c r="I76" s="135">
        <f t="shared" si="46"/>
        <v>526.67595699999993</v>
      </c>
      <c r="J76" s="225">
        <f t="shared" si="46"/>
        <v>22.252817</v>
      </c>
      <c r="K76" s="107">
        <f t="shared" si="46"/>
        <v>0</v>
      </c>
      <c r="L76" s="107">
        <f t="shared" si="46"/>
        <v>-1.4899999999999999E-4</v>
      </c>
      <c r="M76" s="135">
        <f t="shared" ref="B76:Y77" si="47">M16+M45</f>
        <v>28.933019000000002</v>
      </c>
      <c r="N76" s="107">
        <f t="shared" si="46"/>
        <v>136.4770748</v>
      </c>
      <c r="O76" s="107">
        <f t="shared" si="46"/>
        <v>767.39788680000004</v>
      </c>
      <c r="P76" s="107">
        <f t="shared" si="46"/>
        <v>1.5961175999999995</v>
      </c>
      <c r="Q76" s="135">
        <f t="shared" si="46"/>
        <v>724.15468680000004</v>
      </c>
      <c r="R76" s="107">
        <f t="shared" si="46"/>
        <v>14.303519999999999</v>
      </c>
      <c r="S76" s="135">
        <f t="shared" si="46"/>
        <v>27.3435624</v>
      </c>
      <c r="T76" s="107">
        <f t="shared" si="46"/>
        <v>0.54054000000000002</v>
      </c>
      <c r="U76" s="107">
        <f t="shared" si="46"/>
        <v>0.54054000000000002</v>
      </c>
      <c r="V76" s="107">
        <f t="shared" si="46"/>
        <v>0</v>
      </c>
      <c r="W76" s="107">
        <f t="shared" si="46"/>
        <v>0</v>
      </c>
      <c r="X76" s="107">
        <f t="shared" si="46"/>
        <v>0</v>
      </c>
      <c r="Y76" s="107">
        <f t="shared" si="46"/>
        <v>0</v>
      </c>
    </row>
    <row r="77" spans="1:25" s="20" customFormat="1">
      <c r="A77" s="107" t="s">
        <v>13</v>
      </c>
      <c r="B77" s="107">
        <f t="shared" si="47"/>
        <v>102528.70423299998</v>
      </c>
      <c r="C77" s="107">
        <f t="shared" si="47"/>
        <v>37816.308404999996</v>
      </c>
      <c r="D77" s="107">
        <f t="shared" si="47"/>
        <v>7120.6980949999861</v>
      </c>
      <c r="E77" s="135">
        <f t="shared" si="47"/>
        <v>45677.821612</v>
      </c>
      <c r="F77" s="107">
        <f t="shared" si="47"/>
        <v>1915.2546179999999</v>
      </c>
      <c r="G77" s="107">
        <f t="shared" si="47"/>
        <v>3075.7756670000008</v>
      </c>
      <c r="H77" s="135">
        <f t="shared" si="47"/>
        <v>1044.7091190000001</v>
      </c>
      <c r="I77" s="135">
        <f t="shared" si="47"/>
        <v>715.80474800000002</v>
      </c>
      <c r="J77" s="225">
        <f>J17+J46</f>
        <v>419.43664200000001</v>
      </c>
      <c r="K77" s="107">
        <f t="shared" si="47"/>
        <v>0</v>
      </c>
      <c r="L77" s="107">
        <f t="shared" si="47"/>
        <v>352.38681800000006</v>
      </c>
      <c r="M77" s="135">
        <f t="shared" si="47"/>
        <v>543.43834000000004</v>
      </c>
      <c r="N77" s="107">
        <f t="shared" si="47"/>
        <v>1081.781718</v>
      </c>
      <c r="O77" s="107">
        <f t="shared" si="47"/>
        <v>5022.2942440000006</v>
      </c>
      <c r="P77" s="107">
        <f t="shared" si="47"/>
        <v>259.05896899999999</v>
      </c>
      <c r="Q77" s="135">
        <f t="shared" si="47"/>
        <v>3805.5208379999999</v>
      </c>
      <c r="R77" s="107">
        <f t="shared" si="47"/>
        <v>667.09297700000002</v>
      </c>
      <c r="S77" s="135">
        <f>S17+S46</f>
        <v>290.62146000000001</v>
      </c>
      <c r="T77" s="111">
        <f>T17+T46</f>
        <v>818.76987399999996</v>
      </c>
      <c r="U77" s="107">
        <f t="shared" si="47"/>
        <v>105.969801</v>
      </c>
      <c r="V77" s="107">
        <f t="shared" si="47"/>
        <v>145.438256</v>
      </c>
      <c r="W77" s="107">
        <f t="shared" si="47"/>
        <v>567.36181700000009</v>
      </c>
      <c r="X77" s="107">
        <f t="shared" si="47"/>
        <v>0</v>
      </c>
      <c r="Y77" s="107">
        <f t="shared" si="47"/>
        <v>0</v>
      </c>
    </row>
    <row r="78" spans="1:25" s="20" customFormat="1">
      <c r="A78" s="107" t="s">
        <v>14</v>
      </c>
      <c r="B78" s="107">
        <f t="shared" ref="B78:Y78" si="48">B18+B47</f>
        <v>1266.1634899999999</v>
      </c>
      <c r="C78" s="107">
        <f t="shared" si="48"/>
        <v>0</v>
      </c>
      <c r="D78" s="107">
        <f t="shared" si="48"/>
        <v>121.7445029999999</v>
      </c>
      <c r="E78" s="135">
        <f>E18+E47</f>
        <v>1144.418987</v>
      </c>
      <c r="F78" s="107">
        <f t="shared" si="48"/>
        <v>0</v>
      </c>
      <c r="G78" s="107">
        <f t="shared" si="48"/>
        <v>0</v>
      </c>
      <c r="H78" s="135">
        <f t="shared" si="48"/>
        <v>0</v>
      </c>
      <c r="I78" s="135">
        <f t="shared" si="48"/>
        <v>0</v>
      </c>
      <c r="J78" s="225">
        <f t="shared" si="48"/>
        <v>0</v>
      </c>
      <c r="K78" s="107">
        <f t="shared" si="48"/>
        <v>0</v>
      </c>
      <c r="L78" s="107">
        <f t="shared" si="48"/>
        <v>0</v>
      </c>
      <c r="M78" s="135">
        <f t="shared" si="48"/>
        <v>0</v>
      </c>
      <c r="N78" s="107">
        <f t="shared" si="48"/>
        <v>0</v>
      </c>
      <c r="O78" s="107">
        <f t="shared" si="48"/>
        <v>0</v>
      </c>
      <c r="P78" s="107">
        <f t="shared" si="48"/>
        <v>0</v>
      </c>
      <c r="Q78" s="135">
        <f t="shared" si="48"/>
        <v>0</v>
      </c>
      <c r="R78" s="107">
        <f t="shared" si="48"/>
        <v>0</v>
      </c>
      <c r="S78" s="107">
        <f t="shared" si="48"/>
        <v>0</v>
      </c>
      <c r="T78" s="107">
        <f t="shared" si="48"/>
        <v>0</v>
      </c>
      <c r="U78" s="107">
        <f t="shared" si="48"/>
        <v>0</v>
      </c>
      <c r="V78" s="107">
        <f t="shared" si="48"/>
        <v>0</v>
      </c>
      <c r="W78" s="107">
        <f t="shared" si="48"/>
        <v>0</v>
      </c>
      <c r="X78" s="107">
        <f t="shared" si="48"/>
        <v>0</v>
      </c>
      <c r="Y78" s="107">
        <f t="shared" si="48"/>
        <v>0</v>
      </c>
    </row>
    <row r="79" spans="1:25" s="20" customFormat="1">
      <c r="A79" s="107" t="s">
        <v>15</v>
      </c>
      <c r="B79" s="107">
        <f t="shared" ref="B79:Y79" si="49">B19+B48</f>
        <v>0</v>
      </c>
      <c r="C79" s="107">
        <f t="shared" si="49"/>
        <v>0</v>
      </c>
      <c r="D79" s="107">
        <f t="shared" si="49"/>
        <v>0</v>
      </c>
      <c r="E79" s="135">
        <f t="shared" si="49"/>
        <v>0</v>
      </c>
      <c r="F79" s="107">
        <f t="shared" si="49"/>
        <v>0</v>
      </c>
      <c r="G79" s="107">
        <f t="shared" si="49"/>
        <v>0</v>
      </c>
      <c r="H79" s="135">
        <f t="shared" si="49"/>
        <v>0</v>
      </c>
      <c r="I79" s="135">
        <f t="shared" si="49"/>
        <v>0</v>
      </c>
      <c r="J79" s="225">
        <f t="shared" si="49"/>
        <v>0</v>
      </c>
      <c r="K79" s="107">
        <f t="shared" si="49"/>
        <v>0</v>
      </c>
      <c r="L79" s="107">
        <f t="shared" si="49"/>
        <v>0</v>
      </c>
      <c r="M79" s="135">
        <f t="shared" si="49"/>
        <v>0</v>
      </c>
      <c r="N79" s="107">
        <f t="shared" si="49"/>
        <v>0</v>
      </c>
      <c r="O79" s="107">
        <f t="shared" si="49"/>
        <v>0</v>
      </c>
      <c r="P79" s="107">
        <f t="shared" si="49"/>
        <v>0</v>
      </c>
      <c r="Q79" s="135">
        <f t="shared" si="49"/>
        <v>0</v>
      </c>
      <c r="R79" s="107">
        <f t="shared" si="49"/>
        <v>0</v>
      </c>
      <c r="S79" s="107">
        <f t="shared" si="49"/>
        <v>0</v>
      </c>
      <c r="T79" s="107">
        <f t="shared" si="49"/>
        <v>0</v>
      </c>
      <c r="U79" s="107">
        <f t="shared" si="49"/>
        <v>0</v>
      </c>
      <c r="V79" s="107">
        <f t="shared" si="49"/>
        <v>0</v>
      </c>
      <c r="W79" s="107">
        <f t="shared" si="49"/>
        <v>0</v>
      </c>
      <c r="X79" s="107">
        <f t="shared" si="49"/>
        <v>0</v>
      </c>
      <c r="Y79" s="107">
        <f t="shared" si="49"/>
        <v>0</v>
      </c>
    </row>
    <row r="80" spans="1:25" s="20" customFormat="1">
      <c r="A80" s="109" t="s">
        <v>16</v>
      </c>
      <c r="B80" s="110">
        <f t="shared" ref="B80:Y80" si="50">B20+B49</f>
        <v>127188.732086</v>
      </c>
      <c r="C80" s="110">
        <f t="shared" si="50"/>
        <v>-48751.729728999999</v>
      </c>
      <c r="D80" s="110">
        <f t="shared" si="50"/>
        <v>-35061.952757999978</v>
      </c>
      <c r="E80" s="138">
        <f t="shared" si="50"/>
        <v>120467.91224099995</v>
      </c>
      <c r="F80" s="110">
        <f t="shared" si="50"/>
        <v>46383.435241599997</v>
      </c>
      <c r="G80" s="110">
        <f t="shared" si="50"/>
        <v>35665.427404000002</v>
      </c>
      <c r="H80" s="138">
        <f t="shared" si="50"/>
        <v>23702.857711000001</v>
      </c>
      <c r="I80" s="138">
        <f t="shared" si="50"/>
        <v>12350.942047999997</v>
      </c>
      <c r="J80" s="227">
        <f t="shared" si="50"/>
        <v>-267.66786200000001</v>
      </c>
      <c r="K80" s="110">
        <f t="shared" si="50"/>
        <v>0</v>
      </c>
      <c r="L80" s="110">
        <f t="shared" si="50"/>
        <v>-352.12151600000004</v>
      </c>
      <c r="M80" s="138">
        <f t="shared" si="50"/>
        <v>231.41702299999994</v>
      </c>
      <c r="N80" s="110">
        <f t="shared" si="50"/>
        <v>1242.9389071999999</v>
      </c>
      <c r="O80" s="110">
        <f t="shared" si="50"/>
        <v>8052.2610741999979</v>
      </c>
      <c r="P80" s="110">
        <f t="shared" si="50"/>
        <v>-231.86508659999998</v>
      </c>
      <c r="Q80" s="138">
        <f t="shared" si="50"/>
        <v>8532.2776801999989</v>
      </c>
      <c r="R80" s="110">
        <f t="shared" si="50"/>
        <v>-423.39649699999995</v>
      </c>
      <c r="S80" s="110">
        <f t="shared" si="50"/>
        <v>175.24497759999997</v>
      </c>
      <c r="T80" s="110">
        <f t="shared" si="50"/>
        <v>-809.560295</v>
      </c>
      <c r="U80" s="110">
        <f t="shared" si="50"/>
        <v>-96.760222000000013</v>
      </c>
      <c r="V80" s="110">
        <f t="shared" si="50"/>
        <v>-145.438256</v>
      </c>
      <c r="W80" s="110">
        <f t="shared" si="50"/>
        <v>-567.36181700000009</v>
      </c>
      <c r="X80" s="110">
        <f t="shared" si="50"/>
        <v>0</v>
      </c>
      <c r="Y80" s="110">
        <f t="shared" si="50"/>
        <v>0</v>
      </c>
    </row>
    <row r="81" spans="1:25" s="20" customFormat="1">
      <c r="A81" s="107" t="s">
        <v>17</v>
      </c>
      <c r="B81" s="107">
        <f t="shared" ref="B81:Y81" si="51">B21+B50</f>
        <v>65.223984999999999</v>
      </c>
      <c r="C81" s="107">
        <f t="shared" si="51"/>
        <v>0</v>
      </c>
      <c r="D81" s="107">
        <f t="shared" si="51"/>
        <v>45.679440999999997</v>
      </c>
      <c r="E81" s="135">
        <f t="shared" si="51"/>
        <v>19.544544000000002</v>
      </c>
      <c r="F81" s="107">
        <f t="shared" si="51"/>
        <v>0</v>
      </c>
      <c r="G81" s="107">
        <f t="shared" si="51"/>
        <v>0</v>
      </c>
      <c r="H81" s="135">
        <f t="shared" si="51"/>
        <v>0</v>
      </c>
      <c r="I81" s="135">
        <f t="shared" si="51"/>
        <v>0</v>
      </c>
      <c r="J81" s="225">
        <f t="shared" si="51"/>
        <v>0</v>
      </c>
      <c r="K81" s="107">
        <f t="shared" si="51"/>
        <v>0</v>
      </c>
      <c r="L81" s="107">
        <f t="shared" si="51"/>
        <v>0</v>
      </c>
      <c r="M81" s="135">
        <f t="shared" si="51"/>
        <v>0</v>
      </c>
      <c r="N81" s="107">
        <f t="shared" si="51"/>
        <v>0</v>
      </c>
      <c r="O81" s="107">
        <f t="shared" si="51"/>
        <v>0</v>
      </c>
      <c r="P81" s="107">
        <f t="shared" si="51"/>
        <v>0</v>
      </c>
      <c r="Q81" s="135">
        <f t="shared" si="51"/>
        <v>0</v>
      </c>
      <c r="R81" s="107">
        <f t="shared" si="51"/>
        <v>0</v>
      </c>
      <c r="S81" s="107">
        <f t="shared" si="51"/>
        <v>0</v>
      </c>
      <c r="T81" s="107">
        <f t="shared" si="51"/>
        <v>0</v>
      </c>
      <c r="U81" s="107">
        <f t="shared" si="51"/>
        <v>0</v>
      </c>
      <c r="V81" s="107">
        <f t="shared" si="51"/>
        <v>0</v>
      </c>
      <c r="W81" s="107">
        <f t="shared" si="51"/>
        <v>0</v>
      </c>
      <c r="X81" s="107">
        <f t="shared" si="51"/>
        <v>0</v>
      </c>
      <c r="Y81" s="107">
        <f t="shared" si="51"/>
        <v>0</v>
      </c>
    </row>
    <row r="82" spans="1:25" s="20" customFormat="1">
      <c r="A82" s="107" t="s">
        <v>18</v>
      </c>
      <c r="B82" s="107">
        <f t="shared" ref="B82:Y82" si="52">B22+B51</f>
        <v>439.72316000000006</v>
      </c>
      <c r="C82" s="107">
        <f t="shared" si="52"/>
        <v>0</v>
      </c>
      <c r="D82" s="107">
        <f t="shared" si="52"/>
        <v>364.19209699999999</v>
      </c>
      <c r="E82" s="135">
        <f t="shared" si="52"/>
        <v>57.994106000000002</v>
      </c>
      <c r="F82" s="107">
        <f t="shared" si="52"/>
        <v>0.11346600000000001</v>
      </c>
      <c r="G82" s="107">
        <f t="shared" si="52"/>
        <v>0.88530100000000012</v>
      </c>
      <c r="H82" s="135">
        <f t="shared" si="52"/>
        <v>6.2995000000000009E-2</v>
      </c>
      <c r="I82" s="135">
        <f t="shared" si="52"/>
        <v>0</v>
      </c>
      <c r="J82" s="225">
        <f t="shared" si="52"/>
        <v>0.57230600000000009</v>
      </c>
      <c r="K82" s="107">
        <f t="shared" si="52"/>
        <v>0</v>
      </c>
      <c r="L82" s="107">
        <f t="shared" si="52"/>
        <v>0</v>
      </c>
      <c r="M82" s="135">
        <f t="shared" si="52"/>
        <v>0.25</v>
      </c>
      <c r="N82" s="107">
        <f t="shared" si="52"/>
        <v>1.121324</v>
      </c>
      <c r="O82" s="107">
        <f t="shared" si="52"/>
        <v>15.416866000000001</v>
      </c>
      <c r="P82" s="107">
        <f t="shared" si="52"/>
        <v>0.125</v>
      </c>
      <c r="Q82" s="135">
        <f t="shared" si="52"/>
        <v>15.291866000000001</v>
      </c>
      <c r="R82" s="107">
        <f t="shared" si="52"/>
        <v>0</v>
      </c>
      <c r="S82" s="107">
        <f t="shared" si="52"/>
        <v>0</v>
      </c>
      <c r="T82" s="107">
        <f t="shared" si="52"/>
        <v>0</v>
      </c>
      <c r="U82" s="107">
        <f t="shared" si="52"/>
        <v>0</v>
      </c>
      <c r="V82" s="107">
        <f t="shared" si="52"/>
        <v>0</v>
      </c>
      <c r="W82" s="107">
        <f t="shared" si="52"/>
        <v>0</v>
      </c>
      <c r="X82" s="107">
        <f t="shared" si="52"/>
        <v>0</v>
      </c>
      <c r="Y82" s="107">
        <f t="shared" si="52"/>
        <v>0</v>
      </c>
    </row>
    <row r="83" spans="1:25" s="20" customFormat="1">
      <c r="A83" s="109" t="s">
        <v>19</v>
      </c>
      <c r="B83" s="110">
        <f t="shared" ref="B83:Y83" si="53">B23+B52</f>
        <v>126814.23291100001</v>
      </c>
      <c r="C83" s="110">
        <f t="shared" si="53"/>
        <v>-48751.729728999999</v>
      </c>
      <c r="D83" s="110">
        <f t="shared" si="53"/>
        <v>-35380.465413999977</v>
      </c>
      <c r="E83" s="138">
        <f t="shared" si="53"/>
        <v>120429.46267899996</v>
      </c>
      <c r="F83" s="110">
        <f t="shared" si="53"/>
        <v>46383.321775599994</v>
      </c>
      <c r="G83" s="110">
        <f t="shared" si="53"/>
        <v>35664.542103</v>
      </c>
      <c r="H83" s="138">
        <f t="shared" si="53"/>
        <v>23702.794716</v>
      </c>
      <c r="I83" s="138">
        <f t="shared" si="53"/>
        <v>12350.942047999997</v>
      </c>
      <c r="J83" s="227">
        <f t="shared" si="53"/>
        <v>-268.24016799999998</v>
      </c>
      <c r="K83" s="110">
        <f t="shared" si="53"/>
        <v>0</v>
      </c>
      <c r="L83" s="110">
        <f t="shared" si="53"/>
        <v>-352.12151600000004</v>
      </c>
      <c r="M83" s="138">
        <f t="shared" si="53"/>
        <v>231.16702299999994</v>
      </c>
      <c r="N83" s="110">
        <f t="shared" si="53"/>
        <v>1241.8175832000002</v>
      </c>
      <c r="O83" s="110">
        <f t="shared" si="53"/>
        <v>8036.8442081999983</v>
      </c>
      <c r="P83" s="110">
        <f t="shared" si="53"/>
        <v>-231.99008659999998</v>
      </c>
      <c r="Q83" s="138">
        <f t="shared" si="53"/>
        <v>8516.9858141999994</v>
      </c>
      <c r="R83" s="110">
        <f t="shared" si="53"/>
        <v>-423.39649699999995</v>
      </c>
      <c r="S83" s="110">
        <f t="shared" si="53"/>
        <v>175.24497759999997</v>
      </c>
      <c r="T83" s="110">
        <f t="shared" si="53"/>
        <v>-809.560295</v>
      </c>
      <c r="U83" s="110">
        <f t="shared" si="53"/>
        <v>-96.760222000000013</v>
      </c>
      <c r="V83" s="110">
        <f t="shared" si="53"/>
        <v>-145.438256</v>
      </c>
      <c r="W83" s="110">
        <f t="shared" si="53"/>
        <v>-567.36181700000009</v>
      </c>
      <c r="X83" s="110">
        <f t="shared" si="53"/>
        <v>0</v>
      </c>
      <c r="Y83" s="110">
        <f t="shared" si="53"/>
        <v>0</v>
      </c>
    </row>
    <row r="84" spans="1:25" s="20" customFormat="1">
      <c r="A84" s="107" t="s">
        <v>20</v>
      </c>
      <c r="B84" s="107">
        <f>B24+B53</f>
        <v>27266.660895999998</v>
      </c>
      <c r="C84" s="107">
        <f t="shared" ref="C84:Y84" si="54">C24+C53</f>
        <v>0</v>
      </c>
      <c r="D84" s="107">
        <f t="shared" si="54"/>
        <v>26607.980895999997</v>
      </c>
      <c r="E84" s="135">
        <f t="shared" si="54"/>
        <v>0</v>
      </c>
      <c r="F84" s="107">
        <f t="shared" si="54"/>
        <v>0</v>
      </c>
      <c r="G84" s="107">
        <f t="shared" si="54"/>
        <v>0</v>
      </c>
      <c r="H84" s="135">
        <f t="shared" si="54"/>
        <v>0</v>
      </c>
      <c r="I84" s="135">
        <f t="shared" si="54"/>
        <v>0</v>
      </c>
      <c r="J84" s="225">
        <f t="shared" si="54"/>
        <v>0</v>
      </c>
      <c r="K84" s="107">
        <f t="shared" si="54"/>
        <v>0</v>
      </c>
      <c r="L84" s="107">
        <f t="shared" si="54"/>
        <v>0</v>
      </c>
      <c r="M84" s="135">
        <f t="shared" si="54"/>
        <v>0</v>
      </c>
      <c r="N84" s="107">
        <f t="shared" si="54"/>
        <v>0</v>
      </c>
      <c r="O84" s="107">
        <f t="shared" si="54"/>
        <v>0</v>
      </c>
      <c r="P84" s="107">
        <f t="shared" si="54"/>
        <v>0</v>
      </c>
      <c r="Q84" s="135">
        <f t="shared" si="54"/>
        <v>0</v>
      </c>
      <c r="R84" s="107">
        <f t="shared" si="54"/>
        <v>0</v>
      </c>
      <c r="S84" s="107">
        <f t="shared" si="54"/>
        <v>0</v>
      </c>
      <c r="T84" s="107">
        <f t="shared" si="54"/>
        <v>0</v>
      </c>
      <c r="U84" s="107">
        <f t="shared" si="54"/>
        <v>0</v>
      </c>
      <c r="V84" s="107">
        <f t="shared" si="54"/>
        <v>0</v>
      </c>
      <c r="W84" s="107">
        <f t="shared" si="54"/>
        <v>0</v>
      </c>
      <c r="X84" s="107">
        <f t="shared" si="54"/>
        <v>0</v>
      </c>
      <c r="Y84" s="107">
        <f t="shared" si="54"/>
        <v>0</v>
      </c>
    </row>
    <row r="85" spans="1:25" s="20" customFormat="1">
      <c r="A85" s="109" t="s">
        <v>21</v>
      </c>
      <c r="B85" s="110">
        <f t="shared" ref="B85:Y85" si="55">B25+B54</f>
        <v>99547.572015000027</v>
      </c>
      <c r="C85" s="110">
        <f t="shared" si="55"/>
        <v>-48751.729728999999</v>
      </c>
      <c r="D85" s="110">
        <f t="shared" si="55"/>
        <v>-61988.446309999978</v>
      </c>
      <c r="E85" s="138">
        <f t="shared" si="55"/>
        <v>120429.46267899996</v>
      </c>
      <c r="F85" s="110">
        <f t="shared" si="55"/>
        <v>46383.321775599994</v>
      </c>
      <c r="G85" s="110">
        <f t="shared" si="55"/>
        <v>35664.542103</v>
      </c>
      <c r="H85" s="138">
        <f t="shared" si="55"/>
        <v>23702.794716</v>
      </c>
      <c r="I85" s="138">
        <f>I25+I54</f>
        <v>12350.942047999997</v>
      </c>
      <c r="J85" s="227">
        <f t="shared" si="55"/>
        <v>-268.24016799999998</v>
      </c>
      <c r="K85" s="110">
        <f t="shared" si="55"/>
        <v>0</v>
      </c>
      <c r="L85" s="110">
        <f t="shared" si="55"/>
        <v>-352.12151600000004</v>
      </c>
      <c r="M85" s="138">
        <f t="shared" si="55"/>
        <v>231.16702299999994</v>
      </c>
      <c r="N85" s="110">
        <f t="shared" si="55"/>
        <v>1241.8175832000002</v>
      </c>
      <c r="O85" s="110">
        <f t="shared" si="55"/>
        <v>8036.8442081999983</v>
      </c>
      <c r="P85" s="110">
        <f t="shared" si="55"/>
        <v>-231.99008659999998</v>
      </c>
      <c r="Q85" s="138">
        <f t="shared" si="55"/>
        <v>8516.9858141999994</v>
      </c>
      <c r="R85" s="110">
        <f t="shared" si="55"/>
        <v>-423.39649699999995</v>
      </c>
      <c r="S85" s="110">
        <f t="shared" si="55"/>
        <v>175.24497759999997</v>
      </c>
      <c r="T85" s="110">
        <f t="shared" si="55"/>
        <v>-809.560295</v>
      </c>
      <c r="U85" s="110">
        <f t="shared" si="55"/>
        <v>-96.760222000000013</v>
      </c>
      <c r="V85" s="110">
        <f t="shared" si="55"/>
        <v>-145.438256</v>
      </c>
      <c r="W85" s="110">
        <f t="shared" si="55"/>
        <v>-567.36181700000009</v>
      </c>
      <c r="X85" s="110">
        <f t="shared" si="55"/>
        <v>0</v>
      </c>
      <c r="Y85" s="110">
        <f t="shared" si="55"/>
        <v>0</v>
      </c>
    </row>
    <row r="86" spans="1:25" s="20" customFormat="1">
      <c r="A86" s="112" t="s">
        <v>22</v>
      </c>
      <c r="B86" s="113">
        <f t="shared" ref="B86:Y86" si="56">B26+B55</f>
        <v>0</v>
      </c>
      <c r="C86" s="113">
        <f t="shared" si="56"/>
        <v>0</v>
      </c>
      <c r="D86" s="113">
        <f t="shared" si="56"/>
        <v>0</v>
      </c>
      <c r="E86" s="139">
        <f t="shared" si="56"/>
        <v>0</v>
      </c>
      <c r="F86" s="113">
        <f t="shared" si="56"/>
        <v>0</v>
      </c>
      <c r="G86" s="113">
        <f t="shared" si="56"/>
        <v>0</v>
      </c>
      <c r="H86" s="139">
        <f t="shared" si="56"/>
        <v>0</v>
      </c>
      <c r="I86" s="139">
        <f t="shared" si="56"/>
        <v>0</v>
      </c>
      <c r="J86" s="228">
        <f t="shared" si="56"/>
        <v>0</v>
      </c>
      <c r="K86" s="113">
        <f t="shared" si="56"/>
        <v>0</v>
      </c>
      <c r="L86" s="113">
        <f t="shared" si="56"/>
        <v>0</v>
      </c>
      <c r="M86" s="139">
        <f t="shared" si="56"/>
        <v>0</v>
      </c>
      <c r="N86" s="113">
        <f t="shared" si="56"/>
        <v>0</v>
      </c>
      <c r="O86" s="113">
        <f t="shared" si="56"/>
        <v>0</v>
      </c>
      <c r="P86" s="113">
        <f t="shared" si="56"/>
        <v>0</v>
      </c>
      <c r="Q86" s="139">
        <f t="shared" si="56"/>
        <v>0</v>
      </c>
      <c r="R86" s="113">
        <f t="shared" si="56"/>
        <v>0</v>
      </c>
      <c r="S86" s="113">
        <f t="shared" si="56"/>
        <v>0</v>
      </c>
      <c r="T86" s="113">
        <f t="shared" si="56"/>
        <v>0</v>
      </c>
      <c r="U86" s="113">
        <f t="shared" si="56"/>
        <v>0</v>
      </c>
      <c r="V86" s="113">
        <f t="shared" si="56"/>
        <v>0</v>
      </c>
      <c r="W86" s="113">
        <f t="shared" si="56"/>
        <v>0</v>
      </c>
      <c r="X86" s="113">
        <f t="shared" si="56"/>
        <v>0</v>
      </c>
      <c r="Y86" s="113">
        <f t="shared" si="56"/>
        <v>0</v>
      </c>
    </row>
    <row r="87" spans="1:25" s="20" customFormat="1" ht="14.25" thickBot="1">
      <c r="A87" s="114" t="s">
        <v>23</v>
      </c>
      <c r="B87" s="114">
        <f>B27+B56</f>
        <v>99547.572015000027</v>
      </c>
      <c r="C87" s="115">
        <f t="shared" ref="C87:Y87" si="57">C27+C56</f>
        <v>-48751.729728999999</v>
      </c>
      <c r="D87" s="115">
        <f t="shared" si="57"/>
        <v>-61988.446309999978</v>
      </c>
      <c r="E87" s="134">
        <f>E27+E56</f>
        <v>120429.46267899997</v>
      </c>
      <c r="F87" s="115">
        <f t="shared" si="57"/>
        <v>46383.321775599994</v>
      </c>
      <c r="G87" s="115">
        <f t="shared" si="57"/>
        <v>35664.542103</v>
      </c>
      <c r="H87" s="134">
        <f t="shared" si="57"/>
        <v>23702.794716</v>
      </c>
      <c r="I87" s="134">
        <f t="shared" si="57"/>
        <v>12350.942047999997</v>
      </c>
      <c r="J87" s="229">
        <f>J27+J56</f>
        <v>-268.24016799999998</v>
      </c>
      <c r="K87" s="115">
        <f t="shared" si="57"/>
        <v>0</v>
      </c>
      <c r="L87" s="134">
        <f t="shared" si="57"/>
        <v>-352.12151600000004</v>
      </c>
      <c r="M87" s="134">
        <f t="shared" si="57"/>
        <v>231.16702299999997</v>
      </c>
      <c r="N87" s="115">
        <f t="shared" si="57"/>
        <v>1241.8175832000002</v>
      </c>
      <c r="O87" s="115">
        <f t="shared" si="57"/>
        <v>8036.8442081999983</v>
      </c>
      <c r="P87" s="115">
        <f t="shared" si="57"/>
        <v>-231.99008659999998</v>
      </c>
      <c r="Q87" s="134">
        <f t="shared" si="57"/>
        <v>8516.9858141999994</v>
      </c>
      <c r="R87" s="115">
        <f t="shared" si="57"/>
        <v>-423.39649699999995</v>
      </c>
      <c r="S87" s="134">
        <f t="shared" si="57"/>
        <v>175.24497759999997</v>
      </c>
      <c r="T87" s="115">
        <f t="shared" si="57"/>
        <v>-809.560295</v>
      </c>
      <c r="U87" s="115">
        <f t="shared" si="57"/>
        <v>-96.760222000000013</v>
      </c>
      <c r="V87" s="115">
        <f t="shared" si="57"/>
        <v>-145.438256</v>
      </c>
      <c r="W87" s="115">
        <f t="shared" si="57"/>
        <v>-567.36181700000009</v>
      </c>
      <c r="X87" s="115">
        <f t="shared" si="57"/>
        <v>0</v>
      </c>
      <c r="Y87" s="115">
        <f t="shared" si="57"/>
        <v>0</v>
      </c>
    </row>
    <row r="88" spans="1:25" s="20" customFormat="1">
      <c r="B88" s="19"/>
      <c r="C88" s="19"/>
      <c r="D88" s="19"/>
      <c r="E88" s="19"/>
      <c r="F88" s="19"/>
      <c r="G88" s="19"/>
      <c r="H88" s="19"/>
      <c r="I88" s="152"/>
      <c r="J88" s="230"/>
      <c r="K88" s="19"/>
      <c r="L88" s="19"/>
      <c r="M88" s="19"/>
      <c r="N88" s="19"/>
      <c r="O88" s="19"/>
      <c r="P88" s="19"/>
      <c r="Q88" s="152"/>
      <c r="R88" s="19"/>
      <c r="S88" s="19"/>
      <c r="T88" s="19"/>
      <c r="U88" s="19"/>
      <c r="V88" s="19"/>
      <c r="W88" s="19"/>
      <c r="X88" s="19"/>
      <c r="Y88" s="19"/>
    </row>
    <row r="89" spans="1:25" s="20" customFormat="1" ht="15.75" customHeight="1">
      <c r="A89" s="24" t="s">
        <v>24</v>
      </c>
      <c r="B89" s="56">
        <f>SUM(C89:G89)+N89+O89+T89</f>
        <v>34806.28</v>
      </c>
      <c r="C89" s="56">
        <f t="shared" ref="C89:D89" si="58">C58</f>
        <v>0</v>
      </c>
      <c r="D89" s="56">
        <f t="shared" si="58"/>
        <v>0</v>
      </c>
      <c r="E89" s="56">
        <f>E58</f>
        <v>34572.199999999997</v>
      </c>
      <c r="F89" s="56">
        <f t="shared" ref="F89:Y89" si="59">F58</f>
        <v>0</v>
      </c>
      <c r="G89" s="56">
        <f t="shared" si="59"/>
        <v>234.07999999999998</v>
      </c>
      <c r="H89" s="56">
        <f t="shared" si="59"/>
        <v>210.39</v>
      </c>
      <c r="I89" s="151">
        <f t="shared" si="59"/>
        <v>20.9</v>
      </c>
      <c r="J89" s="231">
        <v>43.27</v>
      </c>
      <c r="K89" s="56">
        <f t="shared" si="59"/>
        <v>0</v>
      </c>
      <c r="L89" s="56">
        <f t="shared" si="59"/>
        <v>0</v>
      </c>
      <c r="M89" s="56">
        <f t="shared" si="59"/>
        <v>2.79</v>
      </c>
      <c r="N89" s="56">
        <f t="shared" si="59"/>
        <v>0</v>
      </c>
      <c r="O89" s="56">
        <f t="shared" si="59"/>
        <v>0</v>
      </c>
      <c r="P89" s="56">
        <f t="shared" si="59"/>
        <v>0</v>
      </c>
      <c r="Q89" s="151">
        <f t="shared" si="59"/>
        <v>0</v>
      </c>
      <c r="R89" s="56">
        <f t="shared" si="59"/>
        <v>0</v>
      </c>
      <c r="S89" s="56">
        <f t="shared" si="59"/>
        <v>0</v>
      </c>
      <c r="T89" s="56">
        <f t="shared" si="59"/>
        <v>0</v>
      </c>
      <c r="U89" s="56">
        <f t="shared" si="59"/>
        <v>0</v>
      </c>
      <c r="V89" s="56">
        <f t="shared" si="59"/>
        <v>0</v>
      </c>
      <c r="W89" s="56">
        <f t="shared" si="59"/>
        <v>0</v>
      </c>
      <c r="X89" s="56">
        <f t="shared" si="59"/>
        <v>0</v>
      </c>
      <c r="Y89" s="56">
        <f t="shared" si="59"/>
        <v>0</v>
      </c>
    </row>
    <row r="90" spans="1:25" s="20" customFormat="1" ht="14.25" thickBot="1">
      <c r="A90" s="26" t="s">
        <v>25</v>
      </c>
      <c r="B90" s="57">
        <f>B87-B89</f>
        <v>64741.292015000028</v>
      </c>
      <c r="C90" s="57">
        <f t="shared" ref="C90:Y90" si="60">C87-C89</f>
        <v>-48751.729728999999</v>
      </c>
      <c r="D90" s="57">
        <f t="shared" si="60"/>
        <v>-61988.446309999978</v>
      </c>
      <c r="E90" s="57">
        <f t="shared" si="60"/>
        <v>85857.262678999978</v>
      </c>
      <c r="F90" s="57">
        <f t="shared" si="60"/>
        <v>46383.321775599994</v>
      </c>
      <c r="G90" s="57">
        <f t="shared" si="60"/>
        <v>35430.462102999998</v>
      </c>
      <c r="H90" s="57">
        <f t="shared" si="60"/>
        <v>23492.404716000001</v>
      </c>
      <c r="I90" s="133">
        <f t="shared" si="60"/>
        <v>12330.042047999998</v>
      </c>
      <c r="J90" s="232">
        <f t="shared" si="60"/>
        <v>-311.51016799999996</v>
      </c>
      <c r="K90" s="57">
        <f t="shared" si="60"/>
        <v>0</v>
      </c>
      <c r="L90" s="133">
        <f t="shared" si="60"/>
        <v>-352.12151600000004</v>
      </c>
      <c r="M90" s="148">
        <f t="shared" si="60"/>
        <v>228.37702299999998</v>
      </c>
      <c r="N90" s="57">
        <f t="shared" si="60"/>
        <v>1241.8175832000002</v>
      </c>
      <c r="O90" s="133">
        <f t="shared" si="60"/>
        <v>8036.8442081999983</v>
      </c>
      <c r="P90" s="57">
        <f t="shared" si="60"/>
        <v>-231.99008659999998</v>
      </c>
      <c r="Q90" s="133">
        <f t="shared" si="60"/>
        <v>8516.9858141999994</v>
      </c>
      <c r="R90" s="57">
        <f t="shared" si="60"/>
        <v>-423.39649699999995</v>
      </c>
      <c r="S90" s="57">
        <f t="shared" si="60"/>
        <v>175.24497759999997</v>
      </c>
      <c r="T90" s="57">
        <f t="shared" si="60"/>
        <v>-809.560295</v>
      </c>
      <c r="U90" s="57">
        <f t="shared" si="60"/>
        <v>-96.760222000000013</v>
      </c>
      <c r="V90" s="57">
        <f t="shared" si="60"/>
        <v>-145.438256</v>
      </c>
      <c r="W90" s="57">
        <f t="shared" si="60"/>
        <v>-567.36181700000009</v>
      </c>
      <c r="X90" s="57">
        <f t="shared" si="60"/>
        <v>0</v>
      </c>
      <c r="Y90" s="57">
        <f t="shared" si="60"/>
        <v>0</v>
      </c>
    </row>
    <row r="91" spans="1:25">
      <c r="B91" s="36"/>
      <c r="C91" s="36"/>
      <c r="D91" s="36"/>
      <c r="E91" s="36"/>
      <c r="F91" s="36"/>
      <c r="G91" s="36"/>
      <c r="H91" s="36"/>
      <c r="I91" s="36"/>
      <c r="J91" s="230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1:25" s="76" customFormat="1" ht="15" customHeight="1">
      <c r="A92" s="74"/>
      <c r="B92" s="75"/>
      <c r="C92" s="75"/>
      <c r="D92" s="191" t="s">
        <v>388</v>
      </c>
      <c r="E92" s="191">
        <f>E90+E78</f>
        <v>87001.681665999975</v>
      </c>
      <c r="F92" s="75"/>
      <c r="G92" s="75"/>
      <c r="H92" s="75"/>
      <c r="I92" s="75"/>
      <c r="J92" s="233">
        <f>-(J64-J76-累计考核费用!K118-累计考核费用!K120-累计考核费用!K132)+J87</f>
        <v>-399.87343199999998</v>
      </c>
      <c r="K92" s="75"/>
      <c r="L92" s="75">
        <f>L87+J87</f>
        <v>-620.36168399999997</v>
      </c>
      <c r="M92" s="75"/>
      <c r="N92" s="75"/>
      <c r="O92" s="75"/>
      <c r="P92" s="75"/>
      <c r="Q92" s="75"/>
      <c r="R92" s="75"/>
    </row>
    <row r="93" spans="1:25">
      <c r="E93" s="20"/>
      <c r="F93" s="20"/>
      <c r="J93" s="220">
        <f>J64*0.99-J76</f>
        <v>150.02856402999998</v>
      </c>
    </row>
    <row r="94" spans="1:25">
      <c r="E94" s="20"/>
      <c r="F94" s="20"/>
      <c r="J94" s="220">
        <v>140.65</v>
      </c>
    </row>
    <row r="95" spans="1:25">
      <c r="E95" s="94"/>
      <c r="F95" s="94"/>
      <c r="J95" s="220">
        <f>J94-J93</f>
        <v>-9.3785640299999784</v>
      </c>
    </row>
  </sheetData>
  <mergeCells count="1">
    <mergeCell ref="A1:Y1"/>
  </mergeCells>
  <phoneticPr fontId="5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workbookViewId="0">
      <pane xSplit="2" ySplit="3" topLeftCell="E103" activePane="bottomRight" state="frozen"/>
      <selection pane="topRight" activeCell="C1" sqref="C1"/>
      <selection pane="bottomLeft" activeCell="A5" sqref="A5"/>
      <selection pane="bottomRight" activeCell="M127" sqref="M127"/>
    </sheetView>
  </sheetViews>
  <sheetFormatPr defaultRowHeight="13.5"/>
  <cols>
    <col min="1" max="1" width="6" customWidth="1"/>
    <col min="2" max="2" width="17.375" customWidth="1"/>
    <col min="3" max="10" width="13" bestFit="1" customWidth="1"/>
    <col min="11" max="11" width="13" style="199" bestFit="1" customWidth="1"/>
    <col min="12" max="13" width="13" bestFit="1" customWidth="1"/>
    <col min="14" max="19" width="13" style="29" bestFit="1" customWidth="1"/>
    <col min="20" max="24" width="13" bestFit="1" customWidth="1"/>
  </cols>
  <sheetData>
    <row r="1" spans="1:24" s="38" customFormat="1" ht="21" customHeight="1">
      <c r="A1" s="238" t="s">
        <v>266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</row>
    <row r="2" spans="1:24" ht="14.25" thickBot="1">
      <c r="A2" s="1"/>
      <c r="B2" s="70" t="s">
        <v>132</v>
      </c>
      <c r="C2" s="28" t="s">
        <v>121</v>
      </c>
      <c r="D2" s="1"/>
      <c r="E2" s="1"/>
      <c r="F2" s="1"/>
      <c r="G2" s="1"/>
      <c r="H2" s="1"/>
      <c r="I2" s="1"/>
      <c r="J2" s="1"/>
      <c r="K2" s="192"/>
      <c r="L2" s="1"/>
      <c r="M2" s="1"/>
      <c r="N2" s="31"/>
      <c r="O2" s="31"/>
      <c r="P2" s="31"/>
      <c r="Q2" s="31"/>
      <c r="R2" s="31"/>
      <c r="S2" s="31"/>
      <c r="T2" s="1"/>
      <c r="U2" s="1"/>
      <c r="V2" s="1"/>
      <c r="W2" s="1"/>
      <c r="X2" s="1"/>
    </row>
    <row r="3" spans="1:24">
      <c r="A3" s="79" t="s">
        <v>48</v>
      </c>
      <c r="B3" s="80" t="s">
        <v>49</v>
      </c>
      <c r="C3" s="77" t="s">
        <v>173</v>
      </c>
      <c r="D3" s="77" t="s">
        <v>174</v>
      </c>
      <c r="E3" s="77" t="s">
        <v>175</v>
      </c>
      <c r="F3" s="77" t="s">
        <v>176</v>
      </c>
      <c r="G3" s="77" t="s">
        <v>177</v>
      </c>
      <c r="H3" s="77" t="s">
        <v>178</v>
      </c>
      <c r="I3" s="78" t="s">
        <v>179</v>
      </c>
      <c r="J3" s="78" t="s">
        <v>180</v>
      </c>
      <c r="K3" s="193" t="s">
        <v>181</v>
      </c>
      <c r="L3" s="78" t="s">
        <v>182</v>
      </c>
      <c r="M3" s="78" t="s">
        <v>183</v>
      </c>
      <c r="N3" s="78" t="s">
        <v>184</v>
      </c>
      <c r="O3" s="77" t="s">
        <v>185</v>
      </c>
      <c r="P3" s="77" t="s">
        <v>186</v>
      </c>
      <c r="Q3" s="78" t="s">
        <v>187</v>
      </c>
      <c r="R3" s="78" t="s">
        <v>188</v>
      </c>
      <c r="S3" s="78" t="s">
        <v>189</v>
      </c>
      <c r="T3" s="78" t="s">
        <v>190</v>
      </c>
      <c r="U3" s="77" t="s">
        <v>191</v>
      </c>
      <c r="V3" s="78" t="s">
        <v>192</v>
      </c>
      <c r="W3" s="78" t="s">
        <v>193</v>
      </c>
      <c r="X3" s="78" t="s">
        <v>194</v>
      </c>
    </row>
    <row r="4" spans="1:24">
      <c r="A4" s="241" t="s">
        <v>133</v>
      </c>
      <c r="B4" s="4" t="s">
        <v>134</v>
      </c>
      <c r="C4" s="5">
        <v>14547.392687999998</v>
      </c>
      <c r="D4" s="5">
        <v>-514.99664100000007</v>
      </c>
      <c r="E4" s="5">
        <v>3829.5744779999995</v>
      </c>
      <c r="F4" s="5">
        <v>7581.532944999999</v>
      </c>
      <c r="G4" s="5">
        <v>532.25944500000003</v>
      </c>
      <c r="H4" s="5">
        <v>1154.921556</v>
      </c>
      <c r="I4" s="5">
        <v>347.09968599999996</v>
      </c>
      <c r="J4" s="5">
        <v>260.53323</v>
      </c>
      <c r="K4" s="194">
        <v>173.416867</v>
      </c>
      <c r="L4" s="5"/>
      <c r="M4" s="5">
        <v>136.92853099999999</v>
      </c>
      <c r="N4" s="117">
        <v>236.943242</v>
      </c>
      <c r="O4" s="117">
        <v>412.73139300000003</v>
      </c>
      <c r="P4" s="117">
        <v>1150.3203309999999</v>
      </c>
      <c r="Q4" s="117">
        <v>102.61494</v>
      </c>
      <c r="R4" s="117">
        <v>321.01171199999999</v>
      </c>
      <c r="S4" s="117">
        <v>563.31573200000003</v>
      </c>
      <c r="T4" s="5">
        <v>163.37794700000001</v>
      </c>
      <c r="U4" s="5">
        <v>401.04918099999998</v>
      </c>
      <c r="V4" s="5">
        <v>54.344144999999997</v>
      </c>
      <c r="W4" s="5">
        <v>25.488363</v>
      </c>
      <c r="X4" s="5">
        <v>321.21667300000001</v>
      </c>
    </row>
    <row r="5" spans="1:24">
      <c r="A5" s="241"/>
      <c r="B5" s="4" t="s">
        <v>52</v>
      </c>
      <c r="C5" s="5">
        <v>67.95056799999999</v>
      </c>
      <c r="D5" s="5">
        <v>0.5</v>
      </c>
      <c r="E5" s="5">
        <v>14.046214000000001</v>
      </c>
      <c r="F5" s="5">
        <v>44.466667999999991</v>
      </c>
      <c r="G5" s="5">
        <v>1.1546000000000001</v>
      </c>
      <c r="H5" s="5">
        <v>2.3635799999999998</v>
      </c>
      <c r="I5" s="5">
        <v>0.69779999999999998</v>
      </c>
      <c r="J5" s="5">
        <v>0.57698000000000005</v>
      </c>
      <c r="K5" s="194">
        <v>0.27429999999999999</v>
      </c>
      <c r="L5" s="5"/>
      <c r="M5" s="5">
        <v>0.45960000000000001</v>
      </c>
      <c r="N5" s="117">
        <v>0.35489999999999999</v>
      </c>
      <c r="O5" s="117">
        <v>1.4003000000000001</v>
      </c>
      <c r="P5" s="117">
        <v>1.8143</v>
      </c>
      <c r="Q5" s="117">
        <v>0.31730000000000003</v>
      </c>
      <c r="R5" s="117">
        <v>0.80759999999999998</v>
      </c>
      <c r="S5" s="117">
        <v>0.36890000000000001</v>
      </c>
      <c r="T5" s="5">
        <v>0.32050000000000001</v>
      </c>
      <c r="U5" s="5">
        <v>2.2049059999999998</v>
      </c>
      <c r="V5" s="5">
        <v>2.1190000000000001E-2</v>
      </c>
      <c r="W5" s="5">
        <v>2.144536</v>
      </c>
      <c r="X5" s="5">
        <v>3.918E-2</v>
      </c>
    </row>
    <row r="6" spans="1:24">
      <c r="A6" s="241"/>
      <c r="B6" s="4" t="s">
        <v>53</v>
      </c>
      <c r="C6" s="5">
        <v>1260.7030769999999</v>
      </c>
      <c r="D6" s="5">
        <v>620.23094700000001</v>
      </c>
      <c r="E6" s="5">
        <v>78.003877000000003</v>
      </c>
      <c r="F6" s="5">
        <v>468.13924199999997</v>
      </c>
      <c r="G6" s="5">
        <v>9.9253730000000004</v>
      </c>
      <c r="H6" s="5">
        <v>33.643784000000004</v>
      </c>
      <c r="I6" s="5">
        <v>17.545035000000002</v>
      </c>
      <c r="J6" s="5">
        <v>4.8907030000000002</v>
      </c>
      <c r="K6" s="194">
        <v>4.7209410000000007</v>
      </c>
      <c r="L6" s="6"/>
      <c r="M6" s="5">
        <v>2.1787200000000002</v>
      </c>
      <c r="N6" s="117">
        <v>4.3083849999999995</v>
      </c>
      <c r="O6" s="117">
        <v>7.7418899999999997</v>
      </c>
      <c r="P6" s="117">
        <v>35.134165000000003</v>
      </c>
      <c r="Q6" s="117">
        <v>1.9766360000000001</v>
      </c>
      <c r="R6" s="117">
        <v>19.373682000000002</v>
      </c>
      <c r="S6" s="117">
        <v>10.799213999999999</v>
      </c>
      <c r="T6" s="5">
        <v>2.9846330000000001</v>
      </c>
      <c r="U6" s="5">
        <v>7.8837989999999998</v>
      </c>
      <c r="V6" s="5">
        <v>1.091761</v>
      </c>
      <c r="W6" s="5">
        <v>0.494618</v>
      </c>
      <c r="X6" s="5">
        <v>6.2974199999999998</v>
      </c>
    </row>
    <row r="7" spans="1:24">
      <c r="A7" s="241"/>
      <c r="B7" s="4" t="s">
        <v>135</v>
      </c>
      <c r="C7" s="5">
        <v>3475.8489389999995</v>
      </c>
      <c r="D7" s="5">
        <v>-11.359667</v>
      </c>
      <c r="E7" s="5">
        <v>683.89088500000003</v>
      </c>
      <c r="F7" s="5">
        <v>2067.5089749999997</v>
      </c>
      <c r="G7" s="5">
        <v>118.15684899999999</v>
      </c>
      <c r="H7" s="5">
        <v>265.36054000000001</v>
      </c>
      <c r="I7" s="5">
        <v>71.579017000000007</v>
      </c>
      <c r="J7" s="5">
        <v>65.441349000000002</v>
      </c>
      <c r="K7" s="194">
        <v>42.720666999999999</v>
      </c>
      <c r="L7" s="5"/>
      <c r="M7" s="5">
        <v>27.923767999999999</v>
      </c>
      <c r="N7" s="117">
        <v>57.695739000000003</v>
      </c>
      <c r="O7" s="117">
        <v>103.82289499999999</v>
      </c>
      <c r="P7" s="117">
        <v>149.41288699999998</v>
      </c>
      <c r="Q7" s="117">
        <v>25.152694</v>
      </c>
      <c r="R7" s="117">
        <v>69.510487999999995</v>
      </c>
      <c r="S7" s="117">
        <v>40.189019000000002</v>
      </c>
      <c r="T7" s="5">
        <v>14.560685999999999</v>
      </c>
      <c r="U7" s="5">
        <v>99.055575000000005</v>
      </c>
      <c r="V7" s="5">
        <v>7.5558670000000001</v>
      </c>
      <c r="W7" s="5">
        <v>6.6719339999999994</v>
      </c>
      <c r="X7" s="5">
        <v>84.827774000000005</v>
      </c>
    </row>
    <row r="8" spans="1:24">
      <c r="A8" s="241"/>
      <c r="B8" s="4" t="s">
        <v>55</v>
      </c>
      <c r="C8" s="5">
        <v>10</v>
      </c>
      <c r="D8" s="5">
        <v>0</v>
      </c>
      <c r="E8" s="5">
        <v>0</v>
      </c>
      <c r="F8" s="5">
        <v>10</v>
      </c>
      <c r="G8" s="5">
        <v>0</v>
      </c>
      <c r="H8" s="5">
        <v>0</v>
      </c>
      <c r="I8" s="5">
        <v>0</v>
      </c>
      <c r="J8" s="5">
        <v>0</v>
      </c>
      <c r="K8" s="194">
        <v>0</v>
      </c>
      <c r="L8" s="5"/>
      <c r="M8" s="5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24">
      <c r="A9" s="241"/>
      <c r="B9" s="4" t="s">
        <v>56</v>
      </c>
      <c r="C9" s="5">
        <v>156.830004</v>
      </c>
      <c r="D9" s="5">
        <v>0</v>
      </c>
      <c r="E9" s="5">
        <v>30.360800000000001</v>
      </c>
      <c r="F9" s="5">
        <v>72.687303999999997</v>
      </c>
      <c r="G9" s="5">
        <v>6.8714000000000004</v>
      </c>
      <c r="H9" s="5">
        <v>12.947100000000001</v>
      </c>
      <c r="I9" s="5">
        <v>3.2372000000000001</v>
      </c>
      <c r="J9" s="5">
        <v>2.8334000000000001</v>
      </c>
      <c r="K9" s="194">
        <v>1.6186</v>
      </c>
      <c r="L9" s="5"/>
      <c r="M9" s="5">
        <v>1.2131000000000001</v>
      </c>
      <c r="N9" s="117">
        <v>4.0448000000000004</v>
      </c>
      <c r="O9" s="117">
        <v>8.4916999999999998</v>
      </c>
      <c r="P9" s="117">
        <v>14.553799999999999</v>
      </c>
      <c r="Q9" s="117">
        <v>2.0240999999999998</v>
      </c>
      <c r="R9" s="117">
        <v>5.6566000000000001</v>
      </c>
      <c r="S9" s="117">
        <v>4.4451999999999998</v>
      </c>
      <c r="T9" s="5">
        <v>2.4279000000000002</v>
      </c>
      <c r="U9" s="5">
        <v>10.917900000000001</v>
      </c>
      <c r="V9" s="5">
        <v>1.2148000000000001</v>
      </c>
      <c r="W9" s="5">
        <v>1.2148000000000001</v>
      </c>
      <c r="X9" s="5">
        <v>8.4883000000000006</v>
      </c>
    </row>
    <row r="10" spans="1:24">
      <c r="A10" s="241"/>
      <c r="B10" s="4" t="s">
        <v>57</v>
      </c>
      <c r="C10" s="5">
        <v>364.24201100000005</v>
      </c>
      <c r="D10" s="5">
        <v>0.504</v>
      </c>
      <c r="E10" s="5">
        <v>85.767600000000002</v>
      </c>
      <c r="F10" s="5">
        <v>189.53461100000001</v>
      </c>
      <c r="G10" s="5">
        <v>13.02</v>
      </c>
      <c r="H10" s="5">
        <v>25.0778</v>
      </c>
      <c r="I10" s="5">
        <v>8.2720000000000002</v>
      </c>
      <c r="J10" s="5">
        <v>5.8360000000000003</v>
      </c>
      <c r="K10" s="194">
        <v>3.2480000000000002</v>
      </c>
      <c r="L10" s="5"/>
      <c r="M10" s="5">
        <v>2.6040000000000001</v>
      </c>
      <c r="N10" s="117">
        <v>5.1177999999999999</v>
      </c>
      <c r="O10" s="117">
        <v>15.3</v>
      </c>
      <c r="P10" s="117">
        <v>23.026</v>
      </c>
      <c r="Q10" s="117">
        <v>3.7280000000000002</v>
      </c>
      <c r="R10" s="117">
        <v>10.374000000000001</v>
      </c>
      <c r="S10" s="117">
        <v>5.4859999999999998</v>
      </c>
      <c r="T10" s="5">
        <v>3.4380000000000002</v>
      </c>
      <c r="U10" s="5">
        <v>12.011999999999999</v>
      </c>
      <c r="V10" s="5">
        <v>0.754</v>
      </c>
      <c r="W10" s="5">
        <v>0.94599999999999995</v>
      </c>
      <c r="X10" s="5">
        <v>10.311999999999999</v>
      </c>
    </row>
    <row r="11" spans="1:24">
      <c r="A11" s="241"/>
      <c r="B11" s="4" t="s">
        <v>58</v>
      </c>
      <c r="C11" s="5">
        <v>378.91175999999996</v>
      </c>
      <c r="D11" s="5">
        <v>6</v>
      </c>
      <c r="E11" s="5">
        <v>207.11062999999999</v>
      </c>
      <c r="F11" s="5">
        <v>96.091051000000007</v>
      </c>
      <c r="G11" s="5">
        <v>4.9992000000000001</v>
      </c>
      <c r="H11" s="5">
        <v>27.796613000000001</v>
      </c>
      <c r="I11" s="5">
        <v>7.1745000000000001</v>
      </c>
      <c r="J11" s="5">
        <v>5.498189</v>
      </c>
      <c r="K11" s="194">
        <v>4.1246999999999998</v>
      </c>
      <c r="L11" s="5"/>
      <c r="M11" s="5">
        <v>5.4996239999999998</v>
      </c>
      <c r="N11" s="117">
        <v>5.4996</v>
      </c>
      <c r="O11" s="117">
        <v>6.8014199999999994</v>
      </c>
      <c r="P11" s="117">
        <v>25.113646000000003</v>
      </c>
      <c r="Q11" s="117">
        <v>8.4910460000000008</v>
      </c>
      <c r="R11" s="117">
        <v>4.9983000000000004</v>
      </c>
      <c r="S11" s="117">
        <v>2.2915000000000001</v>
      </c>
      <c r="T11" s="5">
        <v>9.3328000000000007</v>
      </c>
      <c r="U11" s="5">
        <v>4.9992000000000001</v>
      </c>
      <c r="V11" s="5">
        <v>1.6664000000000001</v>
      </c>
      <c r="W11" s="5">
        <v>1.2498</v>
      </c>
      <c r="X11" s="5">
        <v>2.0830000000000002</v>
      </c>
    </row>
    <row r="12" spans="1:24">
      <c r="A12" s="241"/>
      <c r="B12" s="4" t="s">
        <v>59</v>
      </c>
      <c r="C12" s="5">
        <v>33765.011343999999</v>
      </c>
      <c r="D12" s="5">
        <v>33742.237131000002</v>
      </c>
      <c r="E12" s="5">
        <v>4.4012130000000003</v>
      </c>
      <c r="F12" s="5">
        <v>18.373000000000001</v>
      </c>
      <c r="G12" s="5">
        <v>0</v>
      </c>
      <c r="H12" s="5">
        <v>0</v>
      </c>
      <c r="I12" s="5">
        <v>0</v>
      </c>
      <c r="J12" s="5">
        <v>0</v>
      </c>
      <c r="K12" s="194">
        <v>0</v>
      </c>
      <c r="L12" s="7"/>
      <c r="M12" s="5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24">
      <c r="A13" s="241"/>
      <c r="B13" s="4" t="s">
        <v>66</v>
      </c>
      <c r="C13" s="8">
        <v>54026.890390999994</v>
      </c>
      <c r="D13" s="8">
        <v>33843.115770000004</v>
      </c>
      <c r="E13" s="8">
        <v>4933.1556970000001</v>
      </c>
      <c r="F13" s="8">
        <v>10548.333795999995</v>
      </c>
      <c r="G13" s="8">
        <v>686.38686699999994</v>
      </c>
      <c r="H13" s="8">
        <v>1522.1109730000001</v>
      </c>
      <c r="I13" s="8">
        <v>455.60523799999993</v>
      </c>
      <c r="J13" s="8">
        <v>345.60985099999999</v>
      </c>
      <c r="K13" s="195">
        <v>230.12407499999998</v>
      </c>
      <c r="L13" s="8">
        <v>0</v>
      </c>
      <c r="M13" s="8">
        <v>176.807343</v>
      </c>
      <c r="N13" s="13">
        <v>313.96446599999996</v>
      </c>
      <c r="O13" s="13">
        <v>556.28959800000007</v>
      </c>
      <c r="P13" s="13">
        <v>1399.3751289999998</v>
      </c>
      <c r="Q13" s="13">
        <v>144.30471600000004</v>
      </c>
      <c r="R13" s="13">
        <v>431.73238200000003</v>
      </c>
      <c r="S13" s="13">
        <v>626.89556500000015</v>
      </c>
      <c r="T13" s="8">
        <v>196.442466</v>
      </c>
      <c r="U13" s="8">
        <v>538.12256099999991</v>
      </c>
      <c r="V13" s="8">
        <v>66.648162999999997</v>
      </c>
      <c r="W13" s="8">
        <v>38.210050999999993</v>
      </c>
      <c r="X13" s="8">
        <v>433.26434699999999</v>
      </c>
    </row>
    <row r="14" spans="1:24">
      <c r="A14" s="239" t="s">
        <v>61</v>
      </c>
      <c r="B14" s="9" t="s">
        <v>62</v>
      </c>
      <c r="C14" s="5">
        <v>10861.558192</v>
      </c>
      <c r="D14" s="5">
        <v>0</v>
      </c>
      <c r="E14" s="5">
        <v>0</v>
      </c>
      <c r="F14" s="5">
        <v>10861.558192</v>
      </c>
      <c r="G14" s="5">
        <v>0</v>
      </c>
      <c r="H14" s="5">
        <v>0</v>
      </c>
      <c r="I14" s="5">
        <v>0</v>
      </c>
      <c r="J14" s="5">
        <v>0</v>
      </c>
      <c r="K14" s="194">
        <v>0</v>
      </c>
      <c r="L14" s="6"/>
      <c r="M14" s="5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24">
      <c r="A15" s="239"/>
      <c r="B15" s="9" t="s">
        <v>63</v>
      </c>
      <c r="C15" s="5">
        <v>3010.1988419999998</v>
      </c>
      <c r="D15" s="5">
        <v>35.336471000000003</v>
      </c>
      <c r="E15" s="5">
        <v>0</v>
      </c>
      <c r="F15" s="5">
        <v>688.53314399999999</v>
      </c>
      <c r="G15" s="5">
        <v>154.046685</v>
      </c>
      <c r="H15" s="5">
        <v>9.6657530000000005</v>
      </c>
      <c r="I15" s="5">
        <v>0</v>
      </c>
      <c r="J15" s="5">
        <v>0</v>
      </c>
      <c r="K15" s="194">
        <v>9.6657530000000005</v>
      </c>
      <c r="L15" s="6"/>
      <c r="M15" s="5">
        <v>0</v>
      </c>
      <c r="N15" s="117">
        <v>0</v>
      </c>
      <c r="O15" s="117">
        <v>413.80667699999998</v>
      </c>
      <c r="P15" s="117">
        <v>1708.8101120000001</v>
      </c>
      <c r="Q15" s="117">
        <v>0</v>
      </c>
      <c r="R15" s="117">
        <v>1708.8101120000001</v>
      </c>
      <c r="S15" s="117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24">
      <c r="A16" s="239"/>
      <c r="B16" s="9" t="s">
        <v>64</v>
      </c>
      <c r="C16" s="5">
        <v>2426.7530650000008</v>
      </c>
      <c r="D16" s="5">
        <v>-246.63837000000001</v>
      </c>
      <c r="E16" s="5">
        <v>0</v>
      </c>
      <c r="F16" s="5">
        <v>1733.6156040000008</v>
      </c>
      <c r="G16" s="5">
        <v>307.43045999999998</v>
      </c>
      <c r="H16" s="5">
        <v>478.36216100000007</v>
      </c>
      <c r="I16" s="5">
        <v>275.36243100000002</v>
      </c>
      <c r="J16" s="5">
        <v>193.954778</v>
      </c>
      <c r="K16" s="194">
        <v>1.8137159999999999</v>
      </c>
      <c r="L16" s="6"/>
      <c r="M16" s="5">
        <v>2.6519999999999998E-3</v>
      </c>
      <c r="N16" s="117">
        <v>7.2285839999999997</v>
      </c>
      <c r="O16" s="117">
        <v>29.861877000000003</v>
      </c>
      <c r="P16" s="117">
        <v>124.121332</v>
      </c>
      <c r="Q16" s="117">
        <v>3.97</v>
      </c>
      <c r="R16" s="117">
        <v>118.483332</v>
      </c>
      <c r="S16" s="117">
        <v>1.6</v>
      </c>
      <c r="T16" s="5">
        <v>6.8000000000000005E-2</v>
      </c>
      <c r="U16" s="5">
        <v>9.9999999999999995E-7</v>
      </c>
      <c r="V16" s="5">
        <v>9.9999999999999995E-7</v>
      </c>
      <c r="W16" s="5">
        <v>0</v>
      </c>
      <c r="X16" s="5">
        <v>0</v>
      </c>
    </row>
    <row r="17" spans="1:24">
      <c r="A17" s="239"/>
      <c r="B17" s="9" t="s">
        <v>65</v>
      </c>
      <c r="C17" s="5">
        <v>1654.4495229999998</v>
      </c>
      <c r="D17" s="5">
        <v>0</v>
      </c>
      <c r="E17" s="5">
        <v>0</v>
      </c>
      <c r="F17" s="5">
        <v>1567.5263769999997</v>
      </c>
      <c r="G17" s="5">
        <v>37.596486999999996</v>
      </c>
      <c r="H17" s="5">
        <v>48.526659000000002</v>
      </c>
      <c r="I17" s="5">
        <v>2</v>
      </c>
      <c r="J17" s="5">
        <v>41.047207</v>
      </c>
      <c r="K17" s="194">
        <v>0</v>
      </c>
      <c r="L17" s="6"/>
      <c r="M17" s="5">
        <v>0</v>
      </c>
      <c r="N17" s="117">
        <v>5.4794519999999993</v>
      </c>
      <c r="O17" s="117">
        <v>0</v>
      </c>
      <c r="P17" s="117">
        <v>0.8</v>
      </c>
      <c r="Q17" s="117">
        <v>0</v>
      </c>
      <c r="R17" s="117">
        <v>0.8</v>
      </c>
      <c r="S17" s="117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>
      <c r="A18" s="239"/>
      <c r="B18" s="9" t="s">
        <v>66</v>
      </c>
      <c r="C18" s="8">
        <v>17952.959622000002</v>
      </c>
      <c r="D18" s="8">
        <v>-211.30189899999999</v>
      </c>
      <c r="E18" s="8">
        <v>0</v>
      </c>
      <c r="F18" s="8">
        <v>14851.233317000002</v>
      </c>
      <c r="G18" s="8">
        <v>499.07363199999998</v>
      </c>
      <c r="H18" s="8">
        <v>536.55457300000012</v>
      </c>
      <c r="I18" s="8">
        <v>277.36243100000002</v>
      </c>
      <c r="J18" s="8">
        <v>235.00198499999999</v>
      </c>
      <c r="K18" s="195">
        <v>11.479469</v>
      </c>
      <c r="L18" s="8">
        <v>0</v>
      </c>
      <c r="M18" s="8">
        <v>2.6519999999999998E-3</v>
      </c>
      <c r="N18" s="13">
        <v>12.708036</v>
      </c>
      <c r="O18" s="13">
        <v>443.66855399999997</v>
      </c>
      <c r="P18" s="13">
        <v>1833.731444</v>
      </c>
      <c r="Q18" s="13">
        <v>3.97</v>
      </c>
      <c r="R18" s="13">
        <v>1828.0934440000001</v>
      </c>
      <c r="S18" s="13">
        <v>1.6</v>
      </c>
      <c r="T18" s="8">
        <v>6.8000000000000005E-2</v>
      </c>
      <c r="U18" s="8">
        <v>9.9999999999999995E-7</v>
      </c>
      <c r="V18" s="8">
        <v>9.9999999999999995E-7</v>
      </c>
      <c r="W18" s="8">
        <v>0</v>
      </c>
      <c r="X18" s="8">
        <v>0</v>
      </c>
    </row>
    <row r="19" spans="1:24">
      <c r="A19" s="240" t="s">
        <v>67</v>
      </c>
      <c r="B19" s="9" t="s">
        <v>68</v>
      </c>
      <c r="C19" s="5">
        <v>3079.2159579999998</v>
      </c>
      <c r="D19" s="5">
        <v>-42.435400000000001</v>
      </c>
      <c r="E19" s="5">
        <v>486.52902800000004</v>
      </c>
      <c r="F19" s="5">
        <v>1270.3740759999998</v>
      </c>
      <c r="G19" s="5">
        <v>239.94982000000002</v>
      </c>
      <c r="H19" s="5">
        <v>192.02722</v>
      </c>
      <c r="I19" s="5">
        <v>68.240428000000009</v>
      </c>
      <c r="J19" s="5">
        <v>57.380830000000003</v>
      </c>
      <c r="K19" s="194">
        <v>31.062100000000001</v>
      </c>
      <c r="L19" s="10"/>
      <c r="M19" s="5">
        <v>12.652958999999999</v>
      </c>
      <c r="N19" s="117">
        <v>22.690902999999999</v>
      </c>
      <c r="O19" s="117">
        <v>53.300899999999999</v>
      </c>
      <c r="P19" s="117">
        <v>822.94771000000003</v>
      </c>
      <c r="Q19" s="117">
        <v>69.223988000000006</v>
      </c>
      <c r="R19" s="117">
        <v>541.93308000000002</v>
      </c>
      <c r="S19" s="117">
        <v>168.39254199999999</v>
      </c>
      <c r="T19" s="5">
        <v>43.398099999999999</v>
      </c>
      <c r="U19" s="5">
        <v>56.522604000000001</v>
      </c>
      <c r="V19" s="5">
        <v>28.277796999999996</v>
      </c>
      <c r="W19" s="5">
        <v>10.324427999999999</v>
      </c>
      <c r="X19" s="5">
        <v>17.920379000000001</v>
      </c>
    </row>
    <row r="20" spans="1:24">
      <c r="A20" s="240"/>
      <c r="B20" s="9" t="s">
        <v>69</v>
      </c>
      <c r="C20" s="5">
        <v>873.8586029999999</v>
      </c>
      <c r="D20" s="5">
        <v>2.9899999999999999E-2</v>
      </c>
      <c r="E20" s="5">
        <v>184.12026500000005</v>
      </c>
      <c r="F20" s="5">
        <v>167.09564999999998</v>
      </c>
      <c r="G20" s="5">
        <v>54.477406999999992</v>
      </c>
      <c r="H20" s="5">
        <v>131.489105</v>
      </c>
      <c r="I20" s="5">
        <v>54.621258999999995</v>
      </c>
      <c r="J20" s="5">
        <v>20.435055999999999</v>
      </c>
      <c r="K20" s="194">
        <v>27.91525</v>
      </c>
      <c r="L20" s="10"/>
      <c r="M20" s="5">
        <v>7.01708</v>
      </c>
      <c r="N20" s="117">
        <v>21.50046</v>
      </c>
      <c r="O20" s="117">
        <v>54.587060000000001</v>
      </c>
      <c r="P20" s="117">
        <v>261.15142600000001</v>
      </c>
      <c r="Q20" s="117">
        <v>26.821285999999997</v>
      </c>
      <c r="R20" s="117">
        <v>162.71034</v>
      </c>
      <c r="S20" s="117">
        <v>49.707250000000002</v>
      </c>
      <c r="T20" s="5">
        <v>21.91255</v>
      </c>
      <c r="U20" s="5">
        <v>20.907789999999999</v>
      </c>
      <c r="V20" s="5">
        <v>5.6468999999999996</v>
      </c>
      <c r="W20" s="5">
        <v>3.7663000000000002</v>
      </c>
      <c r="X20" s="5">
        <v>11.494589999999999</v>
      </c>
    </row>
    <row r="21" spans="1:24">
      <c r="A21" s="240"/>
      <c r="B21" s="9" t="s">
        <v>70</v>
      </c>
      <c r="C21" s="5">
        <v>460.36291199999994</v>
      </c>
      <c r="D21" s="5">
        <v>0</v>
      </c>
      <c r="E21" s="5">
        <v>135.72778300000002</v>
      </c>
      <c r="F21" s="5">
        <v>290.87622299999992</v>
      </c>
      <c r="G21" s="5">
        <v>3.4975870000000002</v>
      </c>
      <c r="H21" s="5">
        <v>18.312511000000001</v>
      </c>
      <c r="I21" s="5">
        <v>3.6783790000000001</v>
      </c>
      <c r="J21" s="5">
        <v>3.6783790000000001</v>
      </c>
      <c r="K21" s="194">
        <v>3.5060790000000002</v>
      </c>
      <c r="L21" s="10"/>
      <c r="M21" s="5">
        <v>3.7712949999999998</v>
      </c>
      <c r="N21" s="117">
        <v>3.6783790000000001</v>
      </c>
      <c r="O21" s="117">
        <v>0</v>
      </c>
      <c r="P21" s="117">
        <v>6.9436230000000005</v>
      </c>
      <c r="Q21" s="117">
        <v>1.7359060000000002</v>
      </c>
      <c r="R21" s="117">
        <v>1.7359060000000002</v>
      </c>
      <c r="S21" s="117">
        <v>1.7359060000000002</v>
      </c>
      <c r="T21" s="5">
        <v>1.735905</v>
      </c>
      <c r="U21" s="5">
        <v>5.005185</v>
      </c>
      <c r="V21" s="5">
        <v>0</v>
      </c>
      <c r="W21" s="5">
        <v>2.7306759999999999</v>
      </c>
      <c r="X21" s="5">
        <v>2.2745090000000001</v>
      </c>
    </row>
    <row r="22" spans="1:24">
      <c r="A22" s="240"/>
      <c r="B22" s="9" t="s">
        <v>136</v>
      </c>
      <c r="C22" s="5">
        <v>395.73042900000007</v>
      </c>
      <c r="D22" s="5">
        <v>4.1913419999999997</v>
      </c>
      <c r="E22" s="5">
        <v>91.994872999999998</v>
      </c>
      <c r="F22" s="5">
        <v>234.92509900000007</v>
      </c>
      <c r="G22" s="5">
        <v>6.5050699999999999</v>
      </c>
      <c r="H22" s="5">
        <v>33.231091000000006</v>
      </c>
      <c r="I22" s="5">
        <v>11.596878</v>
      </c>
      <c r="J22" s="5">
        <v>5.5708299999999999</v>
      </c>
      <c r="K22" s="194">
        <v>3.9184480000000002</v>
      </c>
      <c r="L22" s="10"/>
      <c r="M22" s="5">
        <v>6.910177</v>
      </c>
      <c r="N22" s="117">
        <v>5.2347580000000002</v>
      </c>
      <c r="O22" s="117">
        <v>6.5872589999999995</v>
      </c>
      <c r="P22" s="117">
        <v>11.601929</v>
      </c>
      <c r="Q22" s="117">
        <v>1.7064520000000001</v>
      </c>
      <c r="R22" s="117">
        <v>6.1562349999999997</v>
      </c>
      <c r="S22" s="117">
        <v>1.930569</v>
      </c>
      <c r="T22" s="5">
        <v>1.808673</v>
      </c>
      <c r="U22" s="5">
        <v>6.6937660000000001</v>
      </c>
      <c r="V22" s="5">
        <v>1.020994</v>
      </c>
      <c r="W22" s="5">
        <v>2.0898340000000002</v>
      </c>
      <c r="X22" s="5">
        <v>3.582938</v>
      </c>
    </row>
    <row r="23" spans="1:24">
      <c r="A23" s="240"/>
      <c r="B23" s="9" t="s">
        <v>72</v>
      </c>
      <c r="C23" s="5">
        <v>200.22429999999994</v>
      </c>
      <c r="D23" s="5">
        <v>0</v>
      </c>
      <c r="E23" s="5">
        <v>29.989740000000001</v>
      </c>
      <c r="F23" s="5">
        <v>142.52296899999996</v>
      </c>
      <c r="G23" s="5">
        <v>2.0657099999999997</v>
      </c>
      <c r="H23" s="5">
        <v>15.396967</v>
      </c>
      <c r="I23" s="5">
        <v>3.8385230000000004</v>
      </c>
      <c r="J23" s="5">
        <v>2.8944619999999999</v>
      </c>
      <c r="K23" s="194">
        <v>2.0698060000000003</v>
      </c>
      <c r="L23" s="10"/>
      <c r="M23" s="5">
        <v>4.4237080000000004</v>
      </c>
      <c r="N23" s="117">
        <v>2.1704680000000001</v>
      </c>
      <c r="O23" s="117">
        <v>1.3409599999999999</v>
      </c>
      <c r="P23" s="117">
        <v>5.6882800000000007</v>
      </c>
      <c r="Q23" s="117">
        <v>0.81657999999999997</v>
      </c>
      <c r="R23" s="117">
        <v>2.3854900000000003</v>
      </c>
      <c r="S23" s="117">
        <v>0.54688000000000003</v>
      </c>
      <c r="T23" s="5">
        <v>1.93933</v>
      </c>
      <c r="U23" s="5">
        <v>3.2196739999999999</v>
      </c>
      <c r="V23" s="5">
        <v>1.48821</v>
      </c>
      <c r="W23" s="5">
        <v>1.0756870000000001</v>
      </c>
      <c r="X23" s="5">
        <v>0.65577700000000005</v>
      </c>
    </row>
    <row r="24" spans="1:24">
      <c r="A24" s="240"/>
      <c r="B24" s="9" t="s">
        <v>137</v>
      </c>
      <c r="C24" s="5">
        <v>137.54348999999996</v>
      </c>
      <c r="D24" s="5">
        <v>1.2750999999999999</v>
      </c>
      <c r="E24" s="5">
        <v>12.365928999999998</v>
      </c>
      <c r="F24" s="5">
        <v>111.52426099999998</v>
      </c>
      <c r="G24" s="5">
        <v>1.7430000000000001</v>
      </c>
      <c r="H24" s="5">
        <v>4.2616100000000001</v>
      </c>
      <c r="I24" s="5">
        <v>1.1813</v>
      </c>
      <c r="J24" s="5">
        <v>0.53959999999999997</v>
      </c>
      <c r="K24" s="194">
        <v>0.29949999999999999</v>
      </c>
      <c r="L24" s="10"/>
      <c r="M24" s="5">
        <v>1.84867</v>
      </c>
      <c r="N24" s="117">
        <v>0.39254</v>
      </c>
      <c r="O24" s="117">
        <v>1.1459999999999999</v>
      </c>
      <c r="P24" s="117">
        <v>2.8456999999999999</v>
      </c>
      <c r="Q24" s="117">
        <v>0.58940000000000003</v>
      </c>
      <c r="R24" s="117">
        <v>0.57999999999999996</v>
      </c>
      <c r="S24" s="117">
        <v>0.38790000000000002</v>
      </c>
      <c r="T24" s="5">
        <v>1.2884</v>
      </c>
      <c r="U24" s="5">
        <v>2.3818899999999998</v>
      </c>
      <c r="V24" s="5">
        <v>0.68048999999999993</v>
      </c>
      <c r="W24" s="5">
        <v>1.0000799999999999</v>
      </c>
      <c r="X24" s="5">
        <v>0.70131999999999994</v>
      </c>
    </row>
    <row r="25" spans="1:24">
      <c r="A25" s="240"/>
      <c r="B25" s="4" t="s">
        <v>74</v>
      </c>
      <c r="C25" s="5">
        <v>1521.4807659999999</v>
      </c>
      <c r="D25" s="5">
        <v>1360.268145</v>
      </c>
      <c r="E25" s="5">
        <v>10.257400000000001</v>
      </c>
      <c r="F25" s="5">
        <v>149.597421</v>
      </c>
      <c r="G25" s="5">
        <v>0.13</v>
      </c>
      <c r="H25" s="5">
        <v>0.71</v>
      </c>
      <c r="I25" s="5">
        <v>0.28000000000000003</v>
      </c>
      <c r="J25" s="5">
        <v>0</v>
      </c>
      <c r="K25" s="194">
        <v>0</v>
      </c>
      <c r="L25" s="5"/>
      <c r="M25" s="5">
        <v>0.43</v>
      </c>
      <c r="N25" s="117">
        <v>0</v>
      </c>
      <c r="O25" s="117">
        <v>0.24579999999999999</v>
      </c>
      <c r="P25" s="117">
        <v>3.2000000000000001E-2</v>
      </c>
      <c r="Q25" s="117">
        <v>0</v>
      </c>
      <c r="R25" s="117">
        <v>0</v>
      </c>
      <c r="S25" s="117">
        <v>3.2000000000000001E-2</v>
      </c>
      <c r="T25" s="5">
        <v>0</v>
      </c>
      <c r="U25" s="5">
        <v>0.24</v>
      </c>
      <c r="V25" s="5">
        <v>0.24</v>
      </c>
      <c r="W25" s="5">
        <v>0</v>
      </c>
      <c r="X25" s="5">
        <v>0</v>
      </c>
    </row>
    <row r="26" spans="1:24">
      <c r="A26" s="240"/>
      <c r="B26" s="9" t="s">
        <v>138</v>
      </c>
      <c r="C26" s="5">
        <v>346.96974500000005</v>
      </c>
      <c r="D26" s="5">
        <v>20</v>
      </c>
      <c r="E26" s="5">
        <v>297.66974500000003</v>
      </c>
      <c r="F26" s="5">
        <v>0.8</v>
      </c>
      <c r="G26" s="5">
        <v>0</v>
      </c>
      <c r="H26" s="5">
        <v>25</v>
      </c>
      <c r="I26" s="5">
        <v>25</v>
      </c>
      <c r="J26" s="5">
        <v>0</v>
      </c>
      <c r="K26" s="194">
        <v>0</v>
      </c>
      <c r="L26" s="5"/>
      <c r="M26" s="5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5">
        <v>0</v>
      </c>
      <c r="U26" s="5">
        <v>3.5</v>
      </c>
      <c r="V26" s="5">
        <v>0</v>
      </c>
      <c r="W26" s="5">
        <v>3.5</v>
      </c>
      <c r="X26" s="5">
        <v>0</v>
      </c>
    </row>
    <row r="27" spans="1:24">
      <c r="A27" s="240"/>
      <c r="B27" s="9" t="s">
        <v>76</v>
      </c>
      <c r="C27" s="5">
        <v>2326.072799</v>
      </c>
      <c r="D27" s="5">
        <v>7.4999000000000002</v>
      </c>
      <c r="E27" s="5">
        <v>21.943100000000001</v>
      </c>
      <c r="F27" s="5">
        <v>2288.4892989999998</v>
      </c>
      <c r="G27" s="5">
        <v>0</v>
      </c>
      <c r="H27" s="5">
        <v>1.2350000000000001</v>
      </c>
      <c r="I27" s="5">
        <v>0</v>
      </c>
      <c r="J27" s="5">
        <v>0</v>
      </c>
      <c r="K27" s="194">
        <v>0</v>
      </c>
      <c r="L27" s="5"/>
      <c r="M27" s="5">
        <v>1.2350000000000001</v>
      </c>
      <c r="N27" s="117">
        <v>0</v>
      </c>
      <c r="O27" s="117">
        <v>6.4000000000000001E-2</v>
      </c>
      <c r="P27" s="117">
        <v>5</v>
      </c>
      <c r="Q27" s="117">
        <v>0</v>
      </c>
      <c r="R27" s="117">
        <v>5</v>
      </c>
      <c r="S27" s="117">
        <v>0</v>
      </c>
      <c r="T27" s="5">
        <v>0</v>
      </c>
      <c r="U27" s="5">
        <v>1.8414999999999999</v>
      </c>
      <c r="V27" s="5">
        <v>0.48499999999999999</v>
      </c>
      <c r="W27" s="5">
        <v>1.3565</v>
      </c>
      <c r="X27" s="5">
        <v>0</v>
      </c>
    </row>
    <row r="28" spans="1:24">
      <c r="A28" s="240"/>
      <c r="B28" s="9" t="s">
        <v>77</v>
      </c>
      <c r="C28" s="5">
        <v>12973.069452</v>
      </c>
      <c r="D28" s="5">
        <v>0</v>
      </c>
      <c r="E28" s="5">
        <v>0</v>
      </c>
      <c r="F28" s="5">
        <v>12314.224952</v>
      </c>
      <c r="G28" s="5">
        <v>0</v>
      </c>
      <c r="H28" s="5">
        <v>658.84450000000004</v>
      </c>
      <c r="I28" s="5">
        <v>650.10919999999999</v>
      </c>
      <c r="J28" s="5">
        <v>0</v>
      </c>
      <c r="K28" s="194">
        <v>8.7353000000000005</v>
      </c>
      <c r="L28" s="5"/>
      <c r="M28" s="5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>
      <c r="A29" s="240"/>
      <c r="B29" s="9" t="s">
        <v>78</v>
      </c>
      <c r="C29" s="5">
        <v>503.64470300000005</v>
      </c>
      <c r="D29" s="5">
        <v>7.5</v>
      </c>
      <c r="E29" s="5">
        <v>148.28720000000001</v>
      </c>
      <c r="F29" s="5">
        <v>163.72669999999999</v>
      </c>
      <c r="G29" s="5">
        <v>5.1852</v>
      </c>
      <c r="H29" s="5">
        <v>65.796899999999994</v>
      </c>
      <c r="I29" s="5">
        <v>8.9499999999999993</v>
      </c>
      <c r="J29" s="5">
        <v>14.7186</v>
      </c>
      <c r="K29" s="194">
        <v>12.361700000000001</v>
      </c>
      <c r="L29" s="5"/>
      <c r="M29" s="5">
        <v>0.45</v>
      </c>
      <c r="N29" s="117">
        <v>29.316600000000001</v>
      </c>
      <c r="O29" s="117">
        <v>3.8210000000000002</v>
      </c>
      <c r="P29" s="117">
        <v>8.4567999999999994</v>
      </c>
      <c r="Q29" s="117">
        <v>1</v>
      </c>
      <c r="R29" s="117">
        <v>2</v>
      </c>
      <c r="S29" s="117">
        <v>3.4567999999999999</v>
      </c>
      <c r="T29" s="5">
        <v>2</v>
      </c>
      <c r="U29" s="5">
        <v>100.870903</v>
      </c>
      <c r="V29" s="5">
        <v>0</v>
      </c>
      <c r="W29" s="5">
        <v>0</v>
      </c>
      <c r="X29" s="5">
        <v>100.870903</v>
      </c>
    </row>
    <row r="30" spans="1:24">
      <c r="A30" s="240"/>
      <c r="B30" s="9" t="s">
        <v>139</v>
      </c>
      <c r="C30" s="5">
        <v>212.83753400000001</v>
      </c>
      <c r="D30" s="5">
        <v>0</v>
      </c>
      <c r="E30" s="5">
        <v>27.283799999999999</v>
      </c>
      <c r="F30" s="5">
        <v>172.26232999999999</v>
      </c>
      <c r="G30" s="5">
        <v>1.693632</v>
      </c>
      <c r="H30" s="5">
        <v>10.386372000000001</v>
      </c>
      <c r="I30" s="5">
        <v>1.875937</v>
      </c>
      <c r="J30" s="5">
        <v>2.3739369999999997</v>
      </c>
      <c r="K30" s="194">
        <v>1.911937</v>
      </c>
      <c r="L30" s="5"/>
      <c r="M30" s="5">
        <v>2.348624</v>
      </c>
      <c r="N30" s="117">
        <v>1.875937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5">
        <v>0</v>
      </c>
      <c r="U30" s="5">
        <v>1.2114</v>
      </c>
      <c r="V30" s="5">
        <v>1.2114</v>
      </c>
      <c r="W30" s="5">
        <v>0</v>
      </c>
      <c r="X30" s="5">
        <v>0</v>
      </c>
    </row>
    <row r="31" spans="1:24">
      <c r="A31" s="240"/>
      <c r="B31" s="9" t="s">
        <v>140</v>
      </c>
      <c r="C31" s="5">
        <v>219.42478999999997</v>
      </c>
      <c r="D31" s="5">
        <v>42.0762</v>
      </c>
      <c r="E31" s="5">
        <v>62.579700000000003</v>
      </c>
      <c r="F31" s="5">
        <v>82.752560000000003</v>
      </c>
      <c r="G31" s="5">
        <v>0</v>
      </c>
      <c r="H31" s="5">
        <v>26.20063</v>
      </c>
      <c r="I31" s="5">
        <v>26.07863</v>
      </c>
      <c r="J31" s="5">
        <v>0</v>
      </c>
      <c r="K31" s="194">
        <v>0.122</v>
      </c>
      <c r="L31" s="5"/>
      <c r="M31" s="5">
        <v>0</v>
      </c>
      <c r="N31" s="117">
        <v>0</v>
      </c>
      <c r="O31" s="117">
        <v>3.3456999999999999</v>
      </c>
      <c r="P31" s="117">
        <v>0</v>
      </c>
      <c r="Q31" s="117">
        <v>0</v>
      </c>
      <c r="R31" s="117">
        <v>0</v>
      </c>
      <c r="S31" s="117">
        <v>0</v>
      </c>
      <c r="T31" s="5">
        <v>0</v>
      </c>
      <c r="U31" s="5">
        <v>2.4700000000000002</v>
      </c>
      <c r="V31" s="5">
        <v>2.16</v>
      </c>
      <c r="W31" s="5">
        <v>0.31</v>
      </c>
      <c r="X31" s="5">
        <v>0</v>
      </c>
    </row>
    <row r="32" spans="1:24">
      <c r="A32" s="240"/>
      <c r="B32" s="9" t="s">
        <v>81</v>
      </c>
      <c r="C32" s="5">
        <v>108.762613</v>
      </c>
      <c r="D32" s="5">
        <v>0</v>
      </c>
      <c r="E32" s="5">
        <v>12.007520000000001</v>
      </c>
      <c r="F32" s="5">
        <v>68.000870000000006</v>
      </c>
      <c r="G32" s="5">
        <v>6.3909400000000005</v>
      </c>
      <c r="H32" s="5">
        <v>1.6890000000000001</v>
      </c>
      <c r="I32" s="5">
        <v>0.70794000000000001</v>
      </c>
      <c r="J32" s="5">
        <v>0.13005</v>
      </c>
      <c r="K32" s="194">
        <v>0.28271000000000002</v>
      </c>
      <c r="L32" s="5"/>
      <c r="M32" s="5">
        <v>0.30414999999999998</v>
      </c>
      <c r="N32" s="117">
        <v>0.26415</v>
      </c>
      <c r="O32" s="117">
        <v>1.968407</v>
      </c>
      <c r="P32" s="117">
        <v>17.104475999999998</v>
      </c>
      <c r="Q32" s="117">
        <v>1.54861</v>
      </c>
      <c r="R32" s="117">
        <v>14.789045999999999</v>
      </c>
      <c r="S32" s="117">
        <v>0.42418</v>
      </c>
      <c r="T32" s="5">
        <v>0.34264</v>
      </c>
      <c r="U32" s="5">
        <v>1.6013999999999999</v>
      </c>
      <c r="V32" s="5">
        <v>0.97199999999999998</v>
      </c>
      <c r="W32" s="5">
        <v>0.51090000000000002</v>
      </c>
      <c r="X32" s="5">
        <v>0.11849999999999999</v>
      </c>
    </row>
    <row r="33" spans="1:24">
      <c r="A33" s="240"/>
      <c r="B33" s="9" t="s">
        <v>82</v>
      </c>
      <c r="C33" s="5">
        <v>242.58432700000003</v>
      </c>
      <c r="D33" s="5">
        <v>0</v>
      </c>
      <c r="E33" s="5">
        <v>107.961376</v>
      </c>
      <c r="F33" s="5">
        <v>110.80464300000001</v>
      </c>
      <c r="G33" s="5">
        <v>0</v>
      </c>
      <c r="H33" s="5">
        <v>12.842172999999999</v>
      </c>
      <c r="I33" s="5">
        <v>0.2</v>
      </c>
      <c r="J33" s="5">
        <v>0</v>
      </c>
      <c r="K33" s="194">
        <v>0</v>
      </c>
      <c r="L33" s="5"/>
      <c r="M33" s="5">
        <v>12.642173</v>
      </c>
      <c r="N33" s="117">
        <v>0</v>
      </c>
      <c r="O33" s="117">
        <v>0.38150000000000001</v>
      </c>
      <c r="P33" s="117">
        <v>1.6448999999999998</v>
      </c>
      <c r="Q33" s="117">
        <v>0.505</v>
      </c>
      <c r="R33" s="117">
        <v>7.0000000000000007E-2</v>
      </c>
      <c r="S33" s="117">
        <v>1.8599999999999998E-2</v>
      </c>
      <c r="T33" s="5">
        <v>1.0512999999999999</v>
      </c>
      <c r="U33" s="5">
        <v>8.9497350000000004</v>
      </c>
      <c r="V33" s="5">
        <v>2.4095</v>
      </c>
      <c r="W33" s="5">
        <v>6.3050350000000002</v>
      </c>
      <c r="X33" s="5">
        <v>0.23519999999999999</v>
      </c>
    </row>
    <row r="34" spans="1:24">
      <c r="A34" s="240"/>
      <c r="B34" s="9" t="s">
        <v>83</v>
      </c>
      <c r="C34" s="5">
        <v>81.873549999999994</v>
      </c>
      <c r="D34" s="5">
        <v>0</v>
      </c>
      <c r="E34" s="5">
        <v>81.873549999999994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94">
        <v>0</v>
      </c>
      <c r="L34" s="5"/>
      <c r="M34" s="5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>
      <c r="A35" s="240"/>
      <c r="B35" s="9" t="s">
        <v>84</v>
      </c>
      <c r="C35" s="5">
        <v>69.577632000000008</v>
      </c>
      <c r="D35" s="5">
        <v>0</v>
      </c>
      <c r="E35" s="5">
        <v>16.749779999999998</v>
      </c>
      <c r="F35" s="5">
        <v>52.322352000000002</v>
      </c>
      <c r="G35" s="5">
        <v>0</v>
      </c>
      <c r="H35" s="5">
        <v>0</v>
      </c>
      <c r="I35" s="5">
        <v>0</v>
      </c>
      <c r="J35" s="5">
        <v>0</v>
      </c>
      <c r="K35" s="194">
        <v>0</v>
      </c>
      <c r="L35" s="5"/>
      <c r="M35" s="5">
        <v>0</v>
      </c>
      <c r="N35" s="117">
        <v>0</v>
      </c>
      <c r="O35" s="117">
        <v>0</v>
      </c>
      <c r="P35" s="117">
        <v>0.15</v>
      </c>
      <c r="Q35" s="117">
        <v>0</v>
      </c>
      <c r="R35" s="117">
        <v>0</v>
      </c>
      <c r="S35" s="117">
        <v>0</v>
      </c>
      <c r="T35" s="5">
        <v>0.15</v>
      </c>
      <c r="U35" s="5">
        <v>0.35549999999999998</v>
      </c>
      <c r="V35" s="5">
        <v>0.35549999999999998</v>
      </c>
      <c r="W35" s="5">
        <v>0</v>
      </c>
      <c r="X35" s="5">
        <v>0</v>
      </c>
    </row>
    <row r="36" spans="1:24">
      <c r="A36" s="240"/>
      <c r="B36" s="9" t="s">
        <v>85</v>
      </c>
      <c r="C36" s="5">
        <v>29.600908</v>
      </c>
      <c r="D36" s="5">
        <v>0</v>
      </c>
      <c r="E36" s="5">
        <v>3.4847699999999997</v>
      </c>
      <c r="F36" s="5">
        <v>23.520669999999999</v>
      </c>
      <c r="G36" s="5">
        <v>0.378</v>
      </c>
      <c r="H36" s="5">
        <v>1.7484099999999998</v>
      </c>
      <c r="I36" s="5">
        <v>0.22801999999999997</v>
      </c>
      <c r="J36" s="5">
        <v>0.40631999999999996</v>
      </c>
      <c r="K36" s="194">
        <v>0.26318000000000003</v>
      </c>
      <c r="L36" s="5"/>
      <c r="M36" s="5">
        <v>0.39034000000000002</v>
      </c>
      <c r="N36" s="117">
        <v>0.46055000000000001</v>
      </c>
      <c r="O36" s="117">
        <v>0.12135</v>
      </c>
      <c r="P36" s="117">
        <v>0.12206999999999998</v>
      </c>
      <c r="Q36" s="117">
        <v>1.4069999999999999E-2</v>
      </c>
      <c r="R36" s="117">
        <v>5.3999999999999999E-2</v>
      </c>
      <c r="S36" s="117">
        <v>0</v>
      </c>
      <c r="T36" s="5">
        <v>5.3999999999999999E-2</v>
      </c>
      <c r="U36" s="5">
        <v>0.22563800000000001</v>
      </c>
      <c r="V36" s="5">
        <v>0</v>
      </c>
      <c r="W36" s="5">
        <v>0</v>
      </c>
      <c r="X36" s="5">
        <v>0.22563800000000001</v>
      </c>
    </row>
    <row r="37" spans="1:24">
      <c r="A37" s="240"/>
      <c r="B37" s="9" t="s">
        <v>86</v>
      </c>
      <c r="C37" s="5">
        <v>42.373018000000002</v>
      </c>
      <c r="D37" s="5">
        <v>0</v>
      </c>
      <c r="E37" s="5">
        <v>4.9482999999999997</v>
      </c>
      <c r="F37" s="5">
        <v>20.767475000000001</v>
      </c>
      <c r="G37" s="5">
        <v>7.8899999999999998E-2</v>
      </c>
      <c r="H37" s="5">
        <v>4.8544429999999998</v>
      </c>
      <c r="I37" s="5">
        <v>1.5040830000000001</v>
      </c>
      <c r="J37" s="5">
        <v>2.0299999999999999E-2</v>
      </c>
      <c r="K37" s="194">
        <v>2.1633</v>
      </c>
      <c r="L37" s="5"/>
      <c r="M37" s="5">
        <v>0.87862000000000007</v>
      </c>
      <c r="N37" s="117">
        <v>0.28814000000000001</v>
      </c>
      <c r="O37" s="117">
        <v>5.23353</v>
      </c>
      <c r="P37" s="117">
        <v>6.0497899999999998</v>
      </c>
      <c r="Q37" s="117">
        <v>0.47566999999999998</v>
      </c>
      <c r="R37" s="117">
        <v>4.87662</v>
      </c>
      <c r="S37" s="117">
        <v>0.20699999999999999</v>
      </c>
      <c r="T37" s="5">
        <v>0.49049999999999999</v>
      </c>
      <c r="U37" s="5">
        <v>0.44057999999999997</v>
      </c>
      <c r="V37" s="5">
        <v>6.5299999999999997E-2</v>
      </c>
      <c r="W37" s="5">
        <v>0.16278000000000001</v>
      </c>
      <c r="X37" s="5">
        <v>0.21249999999999999</v>
      </c>
    </row>
    <row r="38" spans="1:24">
      <c r="A38" s="240"/>
      <c r="B38" s="9" t="s">
        <v>87</v>
      </c>
      <c r="C38" s="5">
        <v>89.803799999999995</v>
      </c>
      <c r="D38" s="5">
        <v>57.4895</v>
      </c>
      <c r="E38" s="5">
        <v>0.2</v>
      </c>
      <c r="F38" s="5">
        <v>31.314299999999999</v>
      </c>
      <c r="G38" s="5">
        <v>0</v>
      </c>
      <c r="H38" s="5">
        <v>0.8</v>
      </c>
      <c r="I38" s="5">
        <v>0</v>
      </c>
      <c r="J38" s="5">
        <v>0</v>
      </c>
      <c r="K38" s="194">
        <v>0</v>
      </c>
      <c r="L38" s="5"/>
      <c r="M38" s="5">
        <v>0.8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>
      <c r="A39" s="240"/>
      <c r="B39" s="9" t="s">
        <v>141</v>
      </c>
      <c r="C39" s="5">
        <v>119.43512600000001</v>
      </c>
      <c r="D39" s="5">
        <v>53.762696999999996</v>
      </c>
      <c r="E39" s="5">
        <v>0.12747999999999998</v>
      </c>
      <c r="F39" s="5">
        <v>63.462425000000025</v>
      </c>
      <c r="G39" s="5">
        <v>0</v>
      </c>
      <c r="H39" s="5">
        <v>1.3097029999999998</v>
      </c>
      <c r="I39" s="5">
        <v>0</v>
      </c>
      <c r="J39" s="5">
        <v>0</v>
      </c>
      <c r="K39" s="194">
        <v>0</v>
      </c>
      <c r="L39" s="5"/>
      <c r="M39" s="5">
        <v>1.2459629999999999</v>
      </c>
      <c r="N39" s="117">
        <v>6.3739999999999991E-2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5">
        <v>0</v>
      </c>
      <c r="U39" s="5">
        <v>0.77282100000000009</v>
      </c>
      <c r="V39" s="5">
        <v>0.13542100000000001</v>
      </c>
      <c r="W39" s="5">
        <v>6.3739999999999991E-2</v>
      </c>
      <c r="X39" s="5">
        <v>0.57366000000000006</v>
      </c>
    </row>
    <row r="40" spans="1:24">
      <c r="A40" s="240"/>
      <c r="B40" s="9" t="s">
        <v>89</v>
      </c>
      <c r="C40" s="5">
        <v>30</v>
      </c>
      <c r="D40" s="5">
        <v>3</v>
      </c>
      <c r="E40" s="5">
        <v>25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94">
        <v>0</v>
      </c>
      <c r="L40" s="5"/>
      <c r="M40" s="5">
        <v>0</v>
      </c>
      <c r="N40" s="117">
        <v>0</v>
      </c>
      <c r="O40" s="117">
        <v>0</v>
      </c>
      <c r="P40" s="117">
        <v>2</v>
      </c>
      <c r="Q40" s="117">
        <v>0</v>
      </c>
      <c r="R40" s="117">
        <v>2</v>
      </c>
      <c r="S40" s="117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>
      <c r="A41" s="240"/>
      <c r="B41" s="9" t="s">
        <v>142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194">
        <v>0</v>
      </c>
      <c r="L41" s="5"/>
      <c r="M41" s="5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>
      <c r="A42" s="240"/>
      <c r="B42" s="9" t="s">
        <v>91</v>
      </c>
      <c r="C42" s="5">
        <v>62.479574</v>
      </c>
      <c r="D42" s="5">
        <v>0</v>
      </c>
      <c r="E42" s="5">
        <v>35.113050000000001</v>
      </c>
      <c r="F42" s="5">
        <v>1.1339999999999999</v>
      </c>
      <c r="G42" s="5">
        <v>16.932524000000001</v>
      </c>
      <c r="H42" s="5">
        <v>1.61</v>
      </c>
      <c r="I42" s="5">
        <v>0</v>
      </c>
      <c r="J42" s="5">
        <v>0</v>
      </c>
      <c r="K42" s="194">
        <v>1.5</v>
      </c>
      <c r="L42" s="11"/>
      <c r="M42" s="5">
        <v>0.04</v>
      </c>
      <c r="N42" s="117">
        <v>7.0000000000000007E-2</v>
      </c>
      <c r="O42" s="117">
        <v>0</v>
      </c>
      <c r="P42" s="117">
        <v>6.4</v>
      </c>
      <c r="Q42" s="117">
        <v>0</v>
      </c>
      <c r="R42" s="117">
        <v>6.4</v>
      </c>
      <c r="S42" s="117">
        <v>0</v>
      </c>
      <c r="T42" s="5">
        <v>0</v>
      </c>
      <c r="U42" s="5">
        <v>1.29</v>
      </c>
      <c r="V42" s="5">
        <v>0</v>
      </c>
      <c r="W42" s="5">
        <v>0.11</v>
      </c>
      <c r="X42" s="5">
        <v>1.18</v>
      </c>
    </row>
    <row r="43" spans="1:24">
      <c r="A43" s="240"/>
      <c r="B43" s="9" t="s">
        <v>66</v>
      </c>
      <c r="C43" s="12">
        <v>24126.926029000002</v>
      </c>
      <c r="D43" s="12">
        <v>1514.6573839999999</v>
      </c>
      <c r="E43" s="12">
        <v>1796.2143890000002</v>
      </c>
      <c r="F43" s="12">
        <v>17760.498274999998</v>
      </c>
      <c r="G43" s="12">
        <v>339.02778999999998</v>
      </c>
      <c r="H43" s="12">
        <v>1207.7456349999998</v>
      </c>
      <c r="I43" s="12">
        <v>858.09057700000017</v>
      </c>
      <c r="J43" s="12">
        <v>108.148364</v>
      </c>
      <c r="K43" s="196">
        <v>96.111309999999989</v>
      </c>
      <c r="L43" s="12">
        <v>0</v>
      </c>
      <c r="M43" s="12">
        <v>57.388759</v>
      </c>
      <c r="N43" s="118">
        <v>88.006624999999971</v>
      </c>
      <c r="O43" s="118">
        <v>132.14346599999999</v>
      </c>
      <c r="P43" s="118">
        <v>1158.138704</v>
      </c>
      <c r="Q43" s="118">
        <v>104.43696199999999</v>
      </c>
      <c r="R43" s="118">
        <v>750.69071700000006</v>
      </c>
      <c r="S43" s="118">
        <v>226.83962699999995</v>
      </c>
      <c r="T43" s="12">
        <v>76.171397999999996</v>
      </c>
      <c r="U43" s="12">
        <v>218.50038600000002</v>
      </c>
      <c r="V43" s="12">
        <v>45.148512000000004</v>
      </c>
      <c r="W43" s="12">
        <v>33.305959999999992</v>
      </c>
      <c r="X43" s="12">
        <v>140.04591400000001</v>
      </c>
    </row>
    <row r="44" spans="1:24">
      <c r="A44" s="240" t="s">
        <v>92</v>
      </c>
      <c r="B44" s="9" t="s">
        <v>93</v>
      </c>
      <c r="C44" s="5">
        <v>846.89974799999993</v>
      </c>
      <c r="D44" s="5">
        <v>8.68</v>
      </c>
      <c r="E44" s="5">
        <v>55.166699999999999</v>
      </c>
      <c r="F44" s="5">
        <v>730.17020599999978</v>
      </c>
      <c r="G44" s="5">
        <v>1.2</v>
      </c>
      <c r="H44" s="5">
        <v>36.033088000000006</v>
      </c>
      <c r="I44" s="5">
        <v>2.04</v>
      </c>
      <c r="J44" s="5">
        <v>14.4</v>
      </c>
      <c r="K44" s="194">
        <v>0.333088</v>
      </c>
      <c r="L44" s="5"/>
      <c r="M44" s="5">
        <v>0</v>
      </c>
      <c r="N44" s="117">
        <v>19.260000000000002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5">
        <v>0</v>
      </c>
      <c r="U44" s="5">
        <v>15.649753999999998</v>
      </c>
      <c r="V44" s="5">
        <v>0</v>
      </c>
      <c r="W44" s="5">
        <v>2.8</v>
      </c>
      <c r="X44" s="5">
        <v>12.849753999999999</v>
      </c>
    </row>
    <row r="45" spans="1:24">
      <c r="A45" s="240"/>
      <c r="B45" s="9" t="s">
        <v>94</v>
      </c>
      <c r="C45" s="5">
        <v>295.3032</v>
      </c>
      <c r="D45" s="5">
        <v>3.9</v>
      </c>
      <c r="E45" s="5">
        <v>84.117299999999986</v>
      </c>
      <c r="F45" s="5">
        <v>163.437782</v>
      </c>
      <c r="G45" s="5">
        <v>25.291034</v>
      </c>
      <c r="H45" s="5">
        <v>15.278794000000001</v>
      </c>
      <c r="I45" s="5">
        <v>1.740966</v>
      </c>
      <c r="J45" s="5">
        <v>4.1972760000000005</v>
      </c>
      <c r="K45" s="194">
        <v>0.32827600000000001</v>
      </c>
      <c r="L45" s="5"/>
      <c r="M45" s="5">
        <v>0.17699999999999999</v>
      </c>
      <c r="N45" s="117">
        <v>8.8352760000000004</v>
      </c>
      <c r="O45" s="117">
        <v>0.2</v>
      </c>
      <c r="P45" s="117">
        <v>0</v>
      </c>
      <c r="Q45" s="117">
        <v>0</v>
      </c>
      <c r="R45" s="117">
        <v>0</v>
      </c>
      <c r="S45" s="117">
        <v>0</v>
      </c>
      <c r="T45" s="5">
        <v>0</v>
      </c>
      <c r="U45" s="5">
        <v>3.07829</v>
      </c>
      <c r="V45" s="5">
        <v>0</v>
      </c>
      <c r="W45" s="5">
        <v>0.02</v>
      </c>
      <c r="X45" s="5">
        <v>3.05829</v>
      </c>
    </row>
    <row r="46" spans="1:24">
      <c r="A46" s="240"/>
      <c r="B46" s="9" t="s">
        <v>143</v>
      </c>
      <c r="C46" s="5">
        <v>3070.5473810000003</v>
      </c>
      <c r="D46" s="5">
        <v>0</v>
      </c>
      <c r="E46" s="5">
        <v>551.30617400000006</v>
      </c>
      <c r="F46" s="5">
        <v>2047.1245030000005</v>
      </c>
      <c r="G46" s="5">
        <v>41.791583000000003</v>
      </c>
      <c r="H46" s="5">
        <v>262.45976100000001</v>
      </c>
      <c r="I46" s="5">
        <v>46.104331999999999</v>
      </c>
      <c r="J46" s="5">
        <v>46.104331999999999</v>
      </c>
      <c r="K46" s="194">
        <v>46.049859999999995</v>
      </c>
      <c r="L46" s="5"/>
      <c r="M46" s="5">
        <v>78.896905000000004</v>
      </c>
      <c r="N46" s="117">
        <v>45.304332000000002</v>
      </c>
      <c r="O46" s="117">
        <v>0</v>
      </c>
      <c r="P46" s="117">
        <v>71.081153999999998</v>
      </c>
      <c r="Q46" s="117">
        <v>16.702241000000001</v>
      </c>
      <c r="R46" s="117">
        <v>16.782240999999999</v>
      </c>
      <c r="S46" s="117">
        <v>20.774435</v>
      </c>
      <c r="T46" s="5">
        <v>16.822237000000001</v>
      </c>
      <c r="U46" s="5">
        <v>96.784206000000012</v>
      </c>
      <c r="V46" s="5">
        <v>0</v>
      </c>
      <c r="W46" s="5">
        <v>55.113213000000002</v>
      </c>
      <c r="X46" s="5">
        <v>41.670993000000003</v>
      </c>
    </row>
    <row r="47" spans="1:24">
      <c r="A47" s="240"/>
      <c r="B47" s="9" t="s">
        <v>96</v>
      </c>
      <c r="C47" s="5">
        <v>1222.2041319999998</v>
      </c>
      <c r="D47" s="5">
        <v>889.98681999999997</v>
      </c>
      <c r="E47" s="5">
        <v>0</v>
      </c>
      <c r="F47" s="5">
        <v>272.08991200000003</v>
      </c>
      <c r="G47" s="5">
        <v>0</v>
      </c>
      <c r="H47" s="5">
        <v>50.054512000000003</v>
      </c>
      <c r="I47" s="5">
        <v>0</v>
      </c>
      <c r="J47" s="5">
        <v>0</v>
      </c>
      <c r="K47" s="194">
        <v>0</v>
      </c>
      <c r="L47" s="5"/>
      <c r="M47" s="5">
        <v>50.054512000000003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5">
        <v>0</v>
      </c>
      <c r="U47" s="5">
        <v>10.072888000000001</v>
      </c>
      <c r="V47" s="5">
        <v>0</v>
      </c>
      <c r="W47" s="5">
        <v>6.1368910000000003</v>
      </c>
      <c r="X47" s="5">
        <v>3.935997</v>
      </c>
    </row>
    <row r="48" spans="1:24">
      <c r="A48" s="240"/>
      <c r="B48" s="9" t="s">
        <v>144</v>
      </c>
      <c r="C48" s="5">
        <v>304.71022400000004</v>
      </c>
      <c r="D48" s="5">
        <v>275.25822400000004</v>
      </c>
      <c r="E48" s="5">
        <v>0</v>
      </c>
      <c r="F48" s="5">
        <v>1.666668</v>
      </c>
      <c r="G48" s="5">
        <v>0</v>
      </c>
      <c r="H48" s="5">
        <v>0</v>
      </c>
      <c r="I48" s="5">
        <v>0</v>
      </c>
      <c r="J48" s="5">
        <v>0</v>
      </c>
      <c r="K48" s="194">
        <v>0</v>
      </c>
      <c r="L48" s="5"/>
      <c r="M48" s="5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5">
        <v>0</v>
      </c>
      <c r="U48" s="5">
        <v>27.785332</v>
      </c>
      <c r="V48" s="5">
        <v>0</v>
      </c>
      <c r="W48" s="5">
        <v>0</v>
      </c>
      <c r="X48" s="5">
        <v>27.785332</v>
      </c>
    </row>
    <row r="49" spans="1:24">
      <c r="A49" s="240"/>
      <c r="B49" s="9" t="s">
        <v>98</v>
      </c>
      <c r="C49" s="5">
        <v>672.26350600000001</v>
      </c>
      <c r="D49" s="5">
        <v>192.05502799999999</v>
      </c>
      <c r="E49" s="5">
        <v>10.827835</v>
      </c>
      <c r="F49" s="5">
        <v>396.15515299999998</v>
      </c>
      <c r="G49" s="5">
        <v>4.5466120000000005</v>
      </c>
      <c r="H49" s="5">
        <v>18.999531000000001</v>
      </c>
      <c r="I49" s="5">
        <v>3.9732750000000001</v>
      </c>
      <c r="J49" s="5">
        <v>3.7929400000000002</v>
      </c>
      <c r="K49" s="194">
        <v>3.7640639999999999</v>
      </c>
      <c r="L49" s="5"/>
      <c r="M49" s="5">
        <v>3.7096469999999999</v>
      </c>
      <c r="N49" s="117">
        <v>3.7596050000000001</v>
      </c>
      <c r="O49" s="117">
        <v>0</v>
      </c>
      <c r="P49" s="117">
        <v>32.035112999999996</v>
      </c>
      <c r="Q49" s="117">
        <v>10.357150000000001</v>
      </c>
      <c r="R49" s="117">
        <v>8.8513539999999988</v>
      </c>
      <c r="S49" s="117">
        <v>8.6633499999999994</v>
      </c>
      <c r="T49" s="5">
        <v>4.163259</v>
      </c>
      <c r="U49" s="5">
        <v>17.644233999999997</v>
      </c>
      <c r="V49" s="5">
        <v>0</v>
      </c>
      <c r="W49" s="5">
        <v>9.8521409999999996</v>
      </c>
      <c r="X49" s="5">
        <v>7.7920929999999995</v>
      </c>
    </row>
    <row r="50" spans="1:24">
      <c r="A50" s="240"/>
      <c r="B50" s="9" t="s">
        <v>145</v>
      </c>
      <c r="C50" s="5">
        <v>10</v>
      </c>
      <c r="D50" s="5">
        <v>0</v>
      </c>
      <c r="E50" s="5">
        <v>0</v>
      </c>
      <c r="F50" s="5">
        <v>10</v>
      </c>
      <c r="G50" s="5">
        <v>0</v>
      </c>
      <c r="H50" s="5">
        <v>0</v>
      </c>
      <c r="I50" s="5">
        <v>0</v>
      </c>
      <c r="J50" s="5">
        <v>0</v>
      </c>
      <c r="K50" s="194">
        <v>0</v>
      </c>
      <c r="L50" s="5"/>
      <c r="M50" s="5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</row>
    <row r="51" spans="1:24">
      <c r="A51" s="240"/>
      <c r="B51" s="9" t="s">
        <v>146</v>
      </c>
      <c r="C51" s="13">
        <v>6421.9281910000009</v>
      </c>
      <c r="D51" s="13">
        <v>1369.8800720000002</v>
      </c>
      <c r="E51" s="13">
        <v>701.4180090000001</v>
      </c>
      <c r="F51" s="13">
        <v>3620.6442240000001</v>
      </c>
      <c r="G51" s="13">
        <v>72.829228999999998</v>
      </c>
      <c r="H51" s="13">
        <v>382.82568600000002</v>
      </c>
      <c r="I51" s="13">
        <v>53.858573</v>
      </c>
      <c r="J51" s="13">
        <v>68.494547999999995</v>
      </c>
      <c r="K51" s="197">
        <v>50.475287999999992</v>
      </c>
      <c r="L51" s="13">
        <v>0</v>
      </c>
      <c r="M51" s="13">
        <v>132.838064</v>
      </c>
      <c r="N51" s="13">
        <v>77.159212999999994</v>
      </c>
      <c r="O51" s="13">
        <v>0.2</v>
      </c>
      <c r="P51" s="13">
        <v>103.11626699999999</v>
      </c>
      <c r="Q51" s="13">
        <v>27.059391000000002</v>
      </c>
      <c r="R51" s="13">
        <v>25.633595</v>
      </c>
      <c r="S51" s="13">
        <v>29.437784999999998</v>
      </c>
      <c r="T51" s="13">
        <v>20.985496000000001</v>
      </c>
      <c r="U51" s="13">
        <v>171.01470399999999</v>
      </c>
      <c r="V51" s="13">
        <v>0</v>
      </c>
      <c r="W51" s="13">
        <v>73.922245000000004</v>
      </c>
      <c r="X51" s="13">
        <v>97.092458999999991</v>
      </c>
    </row>
    <row r="52" spans="1:24" ht="14.25" thickBot="1">
      <c r="A52" s="14"/>
      <c r="B52" s="14" t="s">
        <v>147</v>
      </c>
      <c r="C52" s="14">
        <v>102528.70423299998</v>
      </c>
      <c r="D52" s="14">
        <v>36516.351327000004</v>
      </c>
      <c r="E52" s="14">
        <v>7430.7880950000008</v>
      </c>
      <c r="F52" s="14">
        <v>46780.709611999999</v>
      </c>
      <c r="G52" s="14">
        <v>1597.3175179999998</v>
      </c>
      <c r="H52" s="14">
        <v>3649.2368670000001</v>
      </c>
      <c r="I52" s="14">
        <v>1644.916819</v>
      </c>
      <c r="J52" s="14">
        <v>757.25474800000006</v>
      </c>
      <c r="K52" s="198">
        <v>388.19014199999992</v>
      </c>
      <c r="L52" s="14">
        <v>0</v>
      </c>
      <c r="M52" s="14">
        <v>367.03681800000004</v>
      </c>
      <c r="N52" s="119">
        <v>491.8383399999999</v>
      </c>
      <c r="O52" s="119">
        <v>1132.3016180000002</v>
      </c>
      <c r="P52" s="119">
        <v>4494.3615440000003</v>
      </c>
      <c r="Q52" s="119">
        <v>279.77106900000001</v>
      </c>
      <c r="R52" s="119">
        <v>3036.150138</v>
      </c>
      <c r="S52" s="119">
        <v>884.77297700000008</v>
      </c>
      <c r="T52" s="14">
        <v>293.66736000000003</v>
      </c>
      <c r="U52" s="14">
        <v>927.63765199999989</v>
      </c>
      <c r="V52" s="14">
        <v>111.79667599999999</v>
      </c>
      <c r="W52" s="14">
        <v>145.438256</v>
      </c>
      <c r="X52" s="14">
        <v>670.40271999999993</v>
      </c>
    </row>
    <row r="54" spans="1:24" ht="14.25" thickBot="1">
      <c r="B54" s="70" t="s">
        <v>170</v>
      </c>
    </row>
    <row r="55" spans="1:24">
      <c r="A55" s="77" t="s">
        <v>48</v>
      </c>
      <c r="B55" s="82" t="s">
        <v>49</v>
      </c>
      <c r="C55" s="82" t="s">
        <v>45</v>
      </c>
      <c r="D55" s="82" t="s">
        <v>26</v>
      </c>
      <c r="E55" s="82" t="s">
        <v>46</v>
      </c>
      <c r="F55" s="82" t="s">
        <v>27</v>
      </c>
      <c r="G55" s="82" t="s">
        <v>28</v>
      </c>
      <c r="H55" s="82" t="s">
        <v>29</v>
      </c>
      <c r="I55" s="81" t="s">
        <v>30</v>
      </c>
      <c r="J55" s="81" t="s">
        <v>31</v>
      </c>
      <c r="K55" s="193" t="s">
        <v>181</v>
      </c>
      <c r="L55" s="81" t="s">
        <v>32</v>
      </c>
      <c r="M55" s="81" t="s">
        <v>33</v>
      </c>
      <c r="N55" s="81" t="s">
        <v>34</v>
      </c>
      <c r="O55" s="77" t="s">
        <v>185</v>
      </c>
      <c r="P55" s="82" t="s">
        <v>36</v>
      </c>
      <c r="Q55" s="81" t="s">
        <v>37</v>
      </c>
      <c r="R55" s="81" t="s">
        <v>38</v>
      </c>
      <c r="S55" s="81" t="s">
        <v>39</v>
      </c>
      <c r="T55" s="81" t="s">
        <v>40</v>
      </c>
      <c r="U55" s="82" t="s">
        <v>41</v>
      </c>
      <c r="V55" s="81" t="s">
        <v>42</v>
      </c>
      <c r="W55" s="81" t="s">
        <v>43</v>
      </c>
      <c r="X55" s="81" t="s">
        <v>44</v>
      </c>
    </row>
    <row r="56" spans="1:24">
      <c r="A56" s="242" t="s">
        <v>50</v>
      </c>
      <c r="B56" s="4" t="s">
        <v>51</v>
      </c>
      <c r="C56" s="5">
        <f>SUM(D56:H56)+O56+P56+U56</f>
        <v>0</v>
      </c>
      <c r="D56" s="5">
        <f>-P56-F56</f>
        <v>199.66</v>
      </c>
      <c r="E56" s="5">
        <f>-H56</f>
        <v>-10.09</v>
      </c>
      <c r="F56" s="5">
        <f>-7.66</f>
        <v>-7.66</v>
      </c>
      <c r="G56" s="5"/>
      <c r="H56" s="5">
        <f>SUM(I56:N56)</f>
        <v>10.09</v>
      </c>
      <c r="I56" s="5"/>
      <c r="J56" s="5"/>
      <c r="K56" s="194"/>
      <c r="L56" s="5"/>
      <c r="M56" s="5">
        <v>10.09</v>
      </c>
      <c r="N56" s="117"/>
      <c r="O56" s="117"/>
      <c r="P56" s="117">
        <f>SUM(Q56:T56)</f>
        <v>-192</v>
      </c>
      <c r="Q56" s="117"/>
      <c r="R56" s="117"/>
      <c r="S56" s="117">
        <f>-4*4*累计利润调整表!D2</f>
        <v>-192</v>
      </c>
      <c r="T56" s="5"/>
      <c r="U56" s="5">
        <f>SUM(V56:Y56)</f>
        <v>0</v>
      </c>
      <c r="V56" s="5"/>
      <c r="W56" s="5"/>
      <c r="X56" s="5"/>
    </row>
    <row r="57" spans="1:24">
      <c r="A57" s="243"/>
      <c r="B57" s="4" t="s">
        <v>52</v>
      </c>
      <c r="C57" s="5">
        <f t="shared" ref="C57:C64" si="0">SUM(D57:H57)+O57+P57+U57</f>
        <v>0</v>
      </c>
      <c r="D57" s="5"/>
      <c r="E57" s="5"/>
      <c r="F57" s="5"/>
      <c r="G57" s="5"/>
      <c r="H57" s="5">
        <f t="shared" ref="H57:H64" si="1">SUM(I57:N57)</f>
        <v>0</v>
      </c>
      <c r="I57" s="5"/>
      <c r="J57" s="5"/>
      <c r="K57" s="194"/>
      <c r="L57" s="5"/>
      <c r="M57" s="5"/>
      <c r="N57" s="117"/>
      <c r="O57" s="117"/>
      <c r="P57" s="117">
        <f t="shared" ref="P57:P64" si="2">SUM(Q57:T57)</f>
        <v>0</v>
      </c>
      <c r="Q57" s="117"/>
      <c r="R57" s="117"/>
      <c r="S57" s="117"/>
      <c r="T57" s="5"/>
      <c r="U57" s="5">
        <f t="shared" ref="U57:U64" si="3">SUM(V57:Y57)</f>
        <v>0</v>
      </c>
      <c r="V57" s="5"/>
      <c r="W57" s="5"/>
      <c r="X57" s="5"/>
    </row>
    <row r="58" spans="1:24">
      <c r="A58" s="243"/>
      <c r="B58" s="4" t="s">
        <v>53</v>
      </c>
      <c r="C58" s="5">
        <f t="shared" si="0"/>
        <v>0</v>
      </c>
      <c r="D58" s="5"/>
      <c r="E58" s="5"/>
      <c r="F58" s="5"/>
      <c r="G58" s="5"/>
      <c r="H58" s="5">
        <f t="shared" si="1"/>
        <v>0</v>
      </c>
      <c r="I58" s="5"/>
      <c r="J58" s="5"/>
      <c r="K58" s="194"/>
      <c r="L58" s="6"/>
      <c r="M58" s="5"/>
      <c r="N58" s="117"/>
      <c r="O58" s="117"/>
      <c r="P58" s="117">
        <f t="shared" si="2"/>
        <v>0</v>
      </c>
      <c r="Q58" s="117"/>
      <c r="R58" s="117"/>
      <c r="S58" s="117"/>
      <c r="T58" s="5"/>
      <c r="U58" s="5">
        <f t="shared" si="3"/>
        <v>0</v>
      </c>
      <c r="V58" s="5"/>
      <c r="W58" s="5"/>
      <c r="X58" s="5"/>
    </row>
    <row r="59" spans="1:24">
      <c r="A59" s="243"/>
      <c r="B59" s="4" t="s">
        <v>54</v>
      </c>
      <c r="C59" s="5">
        <f t="shared" si="0"/>
        <v>0</v>
      </c>
      <c r="D59" s="5"/>
      <c r="E59" s="5"/>
      <c r="F59" s="5"/>
      <c r="G59" s="5"/>
      <c r="H59" s="5">
        <f t="shared" si="1"/>
        <v>0</v>
      </c>
      <c r="I59" s="5"/>
      <c r="J59" s="5"/>
      <c r="K59" s="194"/>
      <c r="L59" s="5"/>
      <c r="M59" s="5"/>
      <c r="N59" s="117"/>
      <c r="O59" s="117"/>
      <c r="P59" s="117">
        <f t="shared" si="2"/>
        <v>0</v>
      </c>
      <c r="Q59" s="117"/>
      <c r="R59" s="117"/>
      <c r="S59" s="117"/>
      <c r="T59" s="5"/>
      <c r="U59" s="5">
        <f t="shared" si="3"/>
        <v>0</v>
      </c>
      <c r="V59" s="5"/>
      <c r="W59" s="5"/>
      <c r="X59" s="5"/>
    </row>
    <row r="60" spans="1:24">
      <c r="A60" s="243"/>
      <c r="B60" s="4" t="s">
        <v>55</v>
      </c>
      <c r="C60" s="5">
        <f t="shared" si="0"/>
        <v>0</v>
      </c>
      <c r="D60" s="5"/>
      <c r="E60" s="5"/>
      <c r="F60" s="5"/>
      <c r="G60" s="5"/>
      <c r="H60" s="5">
        <f t="shared" si="1"/>
        <v>0</v>
      </c>
      <c r="I60" s="5"/>
      <c r="J60" s="5"/>
      <c r="K60" s="194"/>
      <c r="L60" s="5"/>
      <c r="M60" s="5"/>
      <c r="N60" s="117"/>
      <c r="O60" s="117"/>
      <c r="P60" s="117">
        <f t="shared" si="2"/>
        <v>0</v>
      </c>
      <c r="Q60" s="117"/>
      <c r="R60" s="117"/>
      <c r="S60" s="117"/>
      <c r="T60" s="5"/>
      <c r="U60" s="5">
        <f t="shared" si="3"/>
        <v>0</v>
      </c>
      <c r="V60" s="5"/>
      <c r="W60" s="5"/>
      <c r="X60" s="5"/>
    </row>
    <row r="61" spans="1:24">
      <c r="A61" s="243"/>
      <c r="B61" s="4" t="s">
        <v>56</v>
      </c>
      <c r="C61" s="5">
        <f t="shared" si="0"/>
        <v>0</v>
      </c>
      <c r="D61" s="5"/>
      <c r="E61" s="5"/>
      <c r="F61" s="5"/>
      <c r="G61" s="5"/>
      <c r="H61" s="5">
        <f t="shared" si="1"/>
        <v>0</v>
      </c>
      <c r="I61" s="5"/>
      <c r="J61" s="5"/>
      <c r="K61" s="194"/>
      <c r="L61" s="5"/>
      <c r="M61" s="5"/>
      <c r="N61" s="117"/>
      <c r="O61" s="117"/>
      <c r="P61" s="117">
        <f t="shared" si="2"/>
        <v>0</v>
      </c>
      <c r="Q61" s="117"/>
      <c r="R61" s="117"/>
      <c r="S61" s="117"/>
      <c r="T61" s="5"/>
      <c r="U61" s="5">
        <f t="shared" si="3"/>
        <v>0</v>
      </c>
      <c r="V61" s="5"/>
      <c r="W61" s="5"/>
      <c r="X61" s="5"/>
    </row>
    <row r="62" spans="1:24">
      <c r="A62" s="243"/>
      <c r="B62" s="4" t="s">
        <v>57</v>
      </c>
      <c r="C62" s="5">
        <f t="shared" si="0"/>
        <v>0</v>
      </c>
      <c r="D62" s="5"/>
      <c r="E62" s="5"/>
      <c r="F62" s="5"/>
      <c r="G62" s="5"/>
      <c r="H62" s="5">
        <f t="shared" si="1"/>
        <v>0</v>
      </c>
      <c r="I62" s="5"/>
      <c r="J62" s="5"/>
      <c r="K62" s="194"/>
      <c r="L62" s="5"/>
      <c r="M62" s="5"/>
      <c r="N62" s="117"/>
      <c r="O62" s="117"/>
      <c r="P62" s="117">
        <f t="shared" si="2"/>
        <v>0</v>
      </c>
      <c r="Q62" s="117"/>
      <c r="R62" s="117"/>
      <c r="S62" s="117"/>
      <c r="T62" s="5"/>
      <c r="U62" s="5">
        <f t="shared" si="3"/>
        <v>0</v>
      </c>
      <c r="V62" s="5"/>
      <c r="W62" s="5"/>
      <c r="X62" s="5"/>
    </row>
    <row r="63" spans="1:24">
      <c r="A63" s="243"/>
      <c r="B63" s="4" t="s">
        <v>58</v>
      </c>
      <c r="C63" s="5">
        <f t="shared" si="0"/>
        <v>0</v>
      </c>
      <c r="D63" s="5"/>
      <c r="E63" s="5"/>
      <c r="F63" s="5"/>
      <c r="G63" s="5"/>
      <c r="H63" s="5">
        <f t="shared" si="1"/>
        <v>0</v>
      </c>
      <c r="I63" s="5"/>
      <c r="J63" s="5"/>
      <c r="K63" s="194"/>
      <c r="L63" s="5"/>
      <c r="M63" s="5"/>
      <c r="N63" s="117"/>
      <c r="O63" s="117"/>
      <c r="P63" s="117">
        <f t="shared" si="2"/>
        <v>0</v>
      </c>
      <c r="Q63" s="117"/>
      <c r="R63" s="117"/>
      <c r="S63" s="117"/>
      <c r="T63" s="5"/>
      <c r="U63" s="5">
        <f t="shared" si="3"/>
        <v>0</v>
      </c>
      <c r="V63" s="5"/>
      <c r="W63" s="5"/>
      <c r="X63" s="5"/>
    </row>
    <row r="64" spans="1:24">
      <c r="A64" s="243"/>
      <c r="B64" s="4" t="s">
        <v>59</v>
      </c>
      <c r="C64" s="5">
        <f t="shared" si="0"/>
        <v>0</v>
      </c>
      <c r="D64" s="5">
        <f>-F64</f>
        <v>18.373000000000001</v>
      </c>
      <c r="E64" s="5"/>
      <c r="F64" s="5">
        <f>-F12</f>
        <v>-18.373000000000001</v>
      </c>
      <c r="G64" s="5"/>
      <c r="H64" s="5">
        <f t="shared" si="1"/>
        <v>0</v>
      </c>
      <c r="I64" s="5"/>
      <c r="J64" s="5"/>
      <c r="K64" s="194"/>
      <c r="L64" s="7"/>
      <c r="M64" s="5"/>
      <c r="N64" s="117"/>
      <c r="O64" s="117"/>
      <c r="P64" s="117">
        <f t="shared" si="2"/>
        <v>0</v>
      </c>
      <c r="Q64" s="117"/>
      <c r="R64" s="117"/>
      <c r="S64" s="117"/>
      <c r="T64" s="5"/>
      <c r="U64" s="5">
        <f t="shared" si="3"/>
        <v>0</v>
      </c>
      <c r="V64" s="5"/>
      <c r="W64" s="5"/>
      <c r="X64" s="5"/>
    </row>
    <row r="65" spans="1:24">
      <c r="A65" s="244"/>
      <c r="B65" s="4" t="s">
        <v>60</v>
      </c>
      <c r="C65" s="8">
        <f>SUM(C56:C64)</f>
        <v>0</v>
      </c>
      <c r="D65" s="8">
        <f>SUM(D56:D64)</f>
        <v>218.03299999999999</v>
      </c>
      <c r="E65" s="8">
        <f t="shared" ref="E65:X65" si="4">SUM(E56:E64)</f>
        <v>-10.09</v>
      </c>
      <c r="F65" s="8">
        <f t="shared" si="4"/>
        <v>-26.033000000000001</v>
      </c>
      <c r="G65" s="8">
        <f t="shared" si="4"/>
        <v>0</v>
      </c>
      <c r="H65" s="8">
        <f t="shared" si="4"/>
        <v>10.09</v>
      </c>
      <c r="I65" s="8">
        <f t="shared" si="4"/>
        <v>0</v>
      </c>
      <c r="J65" s="8">
        <f t="shared" si="4"/>
        <v>0</v>
      </c>
      <c r="K65" s="195">
        <f t="shared" si="4"/>
        <v>0</v>
      </c>
      <c r="L65" s="8">
        <f t="shared" si="4"/>
        <v>0</v>
      </c>
      <c r="M65" s="8">
        <f t="shared" si="4"/>
        <v>10.09</v>
      </c>
      <c r="N65" s="13">
        <f t="shared" si="4"/>
        <v>0</v>
      </c>
      <c r="O65" s="13">
        <f t="shared" si="4"/>
        <v>0</v>
      </c>
      <c r="P65" s="13">
        <f t="shared" si="4"/>
        <v>-192</v>
      </c>
      <c r="Q65" s="13">
        <f t="shared" si="4"/>
        <v>0</v>
      </c>
      <c r="R65" s="13">
        <f t="shared" si="4"/>
        <v>0</v>
      </c>
      <c r="S65" s="13">
        <f t="shared" si="4"/>
        <v>-192</v>
      </c>
      <c r="T65" s="8">
        <f t="shared" si="4"/>
        <v>0</v>
      </c>
      <c r="U65" s="8">
        <f t="shared" si="4"/>
        <v>0</v>
      </c>
      <c r="V65" s="8">
        <f t="shared" si="4"/>
        <v>0</v>
      </c>
      <c r="W65" s="8">
        <f t="shared" si="4"/>
        <v>0</v>
      </c>
      <c r="X65" s="8">
        <f t="shared" si="4"/>
        <v>0</v>
      </c>
    </row>
    <row r="66" spans="1:24">
      <c r="A66" s="245" t="s">
        <v>61</v>
      </c>
      <c r="B66" s="9" t="s">
        <v>62</v>
      </c>
      <c r="C66" s="5">
        <f>SUM(D66:H66)+O66+P66+U66</f>
        <v>-2.4868995751603507E-14</v>
      </c>
      <c r="D66" s="5">
        <f>-X14-F66-H66</f>
        <v>424.25499999999994</v>
      </c>
      <c r="E66" s="5"/>
      <c r="F66" s="5">
        <f>-427.63-15.95+9.665</f>
        <v>-433.91499999999996</v>
      </c>
      <c r="G66" s="5"/>
      <c r="H66" s="5">
        <f t="shared" ref="H66:H69" si="5">SUM(I66:N66)</f>
        <v>9.66</v>
      </c>
      <c r="I66" s="5"/>
      <c r="J66" s="5"/>
      <c r="K66" s="194">
        <v>9.66</v>
      </c>
      <c r="L66" s="6"/>
      <c r="M66" s="5"/>
      <c r="N66" s="117"/>
      <c r="O66" s="117"/>
      <c r="P66" s="117">
        <f>SUM(Q66:T66)</f>
        <v>0</v>
      </c>
      <c r="Q66" s="117"/>
      <c r="R66" s="117"/>
      <c r="S66" s="117"/>
      <c r="T66" s="5"/>
      <c r="U66" s="5">
        <f>SUM(V66:Y66)</f>
        <v>0</v>
      </c>
      <c r="V66" s="5"/>
      <c r="W66" s="5"/>
      <c r="X66" s="5"/>
    </row>
    <row r="67" spans="1:24">
      <c r="A67" s="246"/>
      <c r="B67" s="9" t="s">
        <v>63</v>
      </c>
      <c r="C67" s="5">
        <f>SUM(D67:H67)+O67+P67+U67</f>
        <v>0</v>
      </c>
      <c r="D67" s="5">
        <f>-SUM(E67:H67)-SUM(O67:P67)-U67-X67</f>
        <v>24.469999999999992</v>
      </c>
      <c r="E67" s="5"/>
      <c r="F67" s="5">
        <f>35.34</f>
        <v>35.340000000000003</v>
      </c>
      <c r="G67" s="5"/>
      <c r="H67" s="5">
        <f t="shared" si="5"/>
        <v>0</v>
      </c>
      <c r="I67" s="5"/>
      <c r="J67" s="5"/>
      <c r="K67" s="194"/>
      <c r="L67" s="6"/>
      <c r="M67" s="5"/>
      <c r="N67" s="117"/>
      <c r="O67" s="117">
        <f>-59.81-S67-V67</f>
        <v>-80.13</v>
      </c>
      <c r="P67" s="117">
        <f t="shared" ref="P67:P68" si="6">SUM(Q67:T67)</f>
        <v>18.22</v>
      </c>
      <c r="Q67" s="117"/>
      <c r="R67" s="117"/>
      <c r="S67" s="117">
        <v>18.22</v>
      </c>
      <c r="T67" s="5"/>
      <c r="U67" s="5">
        <f t="shared" ref="U67:U68" si="7">SUM(V67:Y67)</f>
        <v>2.1</v>
      </c>
      <c r="V67" s="5">
        <v>2.1</v>
      </c>
      <c r="W67" s="5"/>
      <c r="X67" s="5"/>
    </row>
    <row r="68" spans="1:24">
      <c r="A68" s="246"/>
      <c r="B68" s="9" t="s">
        <v>64</v>
      </c>
      <c r="C68" s="5">
        <f>SUM(D68:H68)+O68+P68+U68</f>
        <v>-4.5519144009631418E-15</v>
      </c>
      <c r="D68" s="5">
        <f>-SUM(E68:H68)-SUM(O68:P68)-U68-X68</f>
        <v>-160.61732499999999</v>
      </c>
      <c r="E68" s="5"/>
      <c r="F68" s="5">
        <f>35.2</f>
        <v>35.200000000000003</v>
      </c>
      <c r="G68" s="5">
        <f>(累计利润调整表!F33-累计利润调整表!F41)*0.01</f>
        <v>217.27709999999999</v>
      </c>
      <c r="H68" s="5">
        <f t="shared" si="5"/>
        <v>-100.9812</v>
      </c>
      <c r="I68" s="5">
        <f>-30.85-33.77*0.01</f>
        <v>-31.187700000000003</v>
      </c>
      <c r="J68" s="5">
        <v>-72.06</v>
      </c>
      <c r="K68" s="194">
        <f>累计利润调整表!J33*0.01</f>
        <v>-7.3499999999999996E-2</v>
      </c>
      <c r="L68" s="5">
        <f>累计利润调整表!K33*0.01</f>
        <v>0</v>
      </c>
      <c r="M68" s="5">
        <f>累计利润调整表!L33*0.01</f>
        <v>0</v>
      </c>
      <c r="N68" s="117">
        <v>2.34</v>
      </c>
      <c r="O68" s="117">
        <f>累计利润调整表!N33*0.01</f>
        <v>-5.2499000000000002</v>
      </c>
      <c r="P68" s="117">
        <f t="shared" si="6"/>
        <v>14.298199999999998</v>
      </c>
      <c r="Q68" s="117">
        <f>累计利润调整表!P33*0.01</f>
        <v>-3.6820999999999997</v>
      </c>
      <c r="R68" s="117">
        <f>累计利润调整表!Q33*0.01</f>
        <v>12.136199999999999</v>
      </c>
      <c r="S68" s="117">
        <f>累计利润调整表!R33*0.01</f>
        <v>0.98</v>
      </c>
      <c r="T68" s="5">
        <f>累计利润调整表!S33*0.01</f>
        <v>4.8640999999999996</v>
      </c>
      <c r="U68" s="5">
        <f t="shared" si="7"/>
        <v>7.3124999999999996E-2</v>
      </c>
      <c r="V68" s="5">
        <f>累计利润调整表!U33*0.0075</f>
        <v>7.3124999999999996E-2</v>
      </c>
      <c r="W68" s="5">
        <f>累计利润调整表!V33*0.0075</f>
        <v>0</v>
      </c>
      <c r="X68" s="5"/>
    </row>
    <row r="69" spans="1:24">
      <c r="A69" s="246"/>
      <c r="B69" s="9" t="s">
        <v>65</v>
      </c>
      <c r="C69" s="5">
        <f t="shared" ref="C69" si="8">SUM(D69:H69)+O69+P69+U69</f>
        <v>0</v>
      </c>
      <c r="D69" s="5">
        <f>-X17</f>
        <v>0</v>
      </c>
      <c r="E69" s="5"/>
      <c r="F69" s="5">
        <f t="shared" ref="F69" si="9">-X69</f>
        <v>0</v>
      </c>
      <c r="G69" s="5"/>
      <c r="H69" s="5">
        <f t="shared" si="5"/>
        <v>0</v>
      </c>
      <c r="I69" s="5"/>
      <c r="J69" s="5"/>
      <c r="K69" s="194"/>
      <c r="L69" s="6"/>
      <c r="M69" s="5"/>
      <c r="N69" s="117"/>
      <c r="O69" s="117"/>
      <c r="P69" s="117">
        <f>SUM(Q69:T69)</f>
        <v>0</v>
      </c>
      <c r="Q69" s="117"/>
      <c r="R69" s="117"/>
      <c r="S69" s="117"/>
      <c r="T69" s="5"/>
      <c r="U69" s="5">
        <f>SUM(V69:Y69)</f>
        <v>0</v>
      </c>
      <c r="V69" s="5"/>
      <c r="W69" s="5"/>
      <c r="X69" s="5"/>
    </row>
    <row r="70" spans="1:24">
      <c r="A70" s="247"/>
      <c r="B70" s="9" t="s">
        <v>66</v>
      </c>
      <c r="C70" s="8">
        <f>SUM(C66:C69)</f>
        <v>-2.9420910152566648E-14</v>
      </c>
      <c r="D70" s="8">
        <f>SUM(D66:D69)</f>
        <v>288.10767499999992</v>
      </c>
      <c r="E70" s="8">
        <f t="shared" ref="E70:X70" si="10">SUM(E66:E69)</f>
        <v>0</v>
      </c>
      <c r="F70" s="8">
        <f t="shared" si="10"/>
        <v>-363.37499999999994</v>
      </c>
      <c r="G70" s="8">
        <f t="shared" si="10"/>
        <v>217.27709999999999</v>
      </c>
      <c r="H70" s="8">
        <f t="shared" si="10"/>
        <v>-91.321200000000005</v>
      </c>
      <c r="I70" s="8">
        <f t="shared" si="10"/>
        <v>-31.187700000000003</v>
      </c>
      <c r="J70" s="8">
        <f t="shared" si="10"/>
        <v>-72.06</v>
      </c>
      <c r="K70" s="195">
        <f t="shared" si="10"/>
        <v>9.5865000000000009</v>
      </c>
      <c r="L70" s="8">
        <f t="shared" si="10"/>
        <v>0</v>
      </c>
      <c r="M70" s="8">
        <f t="shared" si="10"/>
        <v>0</v>
      </c>
      <c r="N70" s="13">
        <f t="shared" si="10"/>
        <v>2.34</v>
      </c>
      <c r="O70" s="13">
        <f t="shared" si="10"/>
        <v>-85.379899999999992</v>
      </c>
      <c r="P70" s="13">
        <f t="shared" si="10"/>
        <v>32.518199999999993</v>
      </c>
      <c r="Q70" s="13">
        <f t="shared" si="10"/>
        <v>-3.6820999999999997</v>
      </c>
      <c r="R70" s="13">
        <f t="shared" si="10"/>
        <v>12.136199999999999</v>
      </c>
      <c r="S70" s="13">
        <f t="shared" si="10"/>
        <v>19.2</v>
      </c>
      <c r="T70" s="8">
        <f t="shared" si="10"/>
        <v>4.8640999999999996</v>
      </c>
      <c r="U70" s="8">
        <f t="shared" si="10"/>
        <v>2.1731250000000002</v>
      </c>
      <c r="V70" s="8">
        <f>SUM(V66:V69)</f>
        <v>2.1731250000000002</v>
      </c>
      <c r="W70" s="8">
        <f>SUM(W66:W69)</f>
        <v>0</v>
      </c>
      <c r="X70" s="8">
        <f t="shared" si="10"/>
        <v>0</v>
      </c>
    </row>
    <row r="71" spans="1:24">
      <c r="A71" s="248" t="s">
        <v>67</v>
      </c>
      <c r="B71" s="9" t="s">
        <v>68</v>
      </c>
      <c r="C71" s="5">
        <f>SUM(D71:H71)+O71+P71+U71</f>
        <v>0</v>
      </c>
      <c r="D71" s="5">
        <f>-(F71+G71+H71+O71+P71+U71)</f>
        <v>60.290000000000006</v>
      </c>
      <c r="E71" s="5"/>
      <c r="F71" s="5">
        <f>-38.2-2.52</f>
        <v>-40.720000000000006</v>
      </c>
      <c r="G71" s="5"/>
      <c r="H71" s="5">
        <f>SUM(I71:N71)</f>
        <v>-11.57</v>
      </c>
      <c r="I71" s="5">
        <v>2.52</v>
      </c>
      <c r="J71" s="5">
        <v>-8.9700000000000006</v>
      </c>
      <c r="K71" s="194"/>
      <c r="L71" s="10"/>
      <c r="M71" s="5">
        <v>-5.12</v>
      </c>
      <c r="N71" s="117"/>
      <c r="O71" s="117"/>
      <c r="P71" s="117">
        <f>SUM(Q71:T71)</f>
        <v>0</v>
      </c>
      <c r="Q71" s="117">
        <v>-21.51</v>
      </c>
      <c r="R71" s="117">
        <v>86.33</v>
      </c>
      <c r="S71" s="117">
        <v>-50.6</v>
      </c>
      <c r="T71" s="5">
        <v>-14.22</v>
      </c>
      <c r="U71" s="5">
        <f>SUM(V71:Y71)</f>
        <v>-8</v>
      </c>
      <c r="V71" s="5">
        <v>-8</v>
      </c>
      <c r="W71" s="5"/>
      <c r="X71" s="5"/>
    </row>
    <row r="72" spans="1:24">
      <c r="A72" s="249"/>
      <c r="B72" s="9" t="s">
        <v>69</v>
      </c>
      <c r="C72" s="5">
        <f t="shared" ref="C72:C102" si="11">SUM(D72:H72)+O72+P72+U72</f>
        <v>0</v>
      </c>
      <c r="D72" s="5"/>
      <c r="E72" s="5"/>
      <c r="F72" s="5"/>
      <c r="G72" s="5"/>
      <c r="H72" s="5">
        <f t="shared" ref="H72:H102" si="12">SUM(I72:N72)</f>
        <v>0</v>
      </c>
      <c r="I72" s="5"/>
      <c r="J72" s="5"/>
      <c r="K72" s="194"/>
      <c r="L72" s="10"/>
      <c r="M72" s="5"/>
      <c r="N72" s="117"/>
      <c r="O72" s="117"/>
      <c r="P72" s="117">
        <f t="shared" ref="P72:P102" si="13">SUM(Q72:T72)</f>
        <v>0</v>
      </c>
      <c r="Q72" s="117"/>
      <c r="R72" s="117"/>
      <c r="S72" s="117"/>
      <c r="T72" s="5"/>
      <c r="U72" s="5">
        <f t="shared" ref="U72:U102" si="14">SUM(V72:Y72)</f>
        <v>0</v>
      </c>
      <c r="V72" s="5"/>
      <c r="W72" s="5"/>
      <c r="X72" s="5"/>
    </row>
    <row r="73" spans="1:24">
      <c r="A73" s="249"/>
      <c r="B73" s="9" t="s">
        <v>70</v>
      </c>
      <c r="C73" s="5">
        <f t="shared" si="11"/>
        <v>0</v>
      </c>
      <c r="D73" s="5"/>
      <c r="E73" s="5"/>
      <c r="F73" s="5"/>
      <c r="G73" s="5"/>
      <c r="H73" s="5">
        <f t="shared" si="12"/>
        <v>0</v>
      </c>
      <c r="I73" s="5"/>
      <c r="J73" s="5"/>
      <c r="K73" s="194"/>
      <c r="L73" s="10"/>
      <c r="M73" s="5"/>
      <c r="N73" s="117"/>
      <c r="O73" s="117"/>
      <c r="P73" s="117">
        <f t="shared" si="13"/>
        <v>0</v>
      </c>
      <c r="Q73" s="117"/>
      <c r="R73" s="117"/>
      <c r="S73" s="117"/>
      <c r="T73" s="5"/>
      <c r="U73" s="5">
        <f t="shared" si="14"/>
        <v>0</v>
      </c>
      <c r="V73" s="5"/>
      <c r="W73" s="5"/>
      <c r="X73" s="5"/>
    </row>
    <row r="74" spans="1:24">
      <c r="A74" s="249"/>
      <c r="B74" s="9" t="s">
        <v>71</v>
      </c>
      <c r="C74" s="5">
        <f t="shared" si="11"/>
        <v>0</v>
      </c>
      <c r="D74" s="5"/>
      <c r="E74" s="5"/>
      <c r="F74" s="5"/>
      <c r="G74" s="5"/>
      <c r="H74" s="5">
        <f t="shared" si="12"/>
        <v>0</v>
      </c>
      <c r="I74" s="5"/>
      <c r="J74" s="5"/>
      <c r="K74" s="194"/>
      <c r="L74" s="10"/>
      <c r="M74" s="5"/>
      <c r="N74" s="117"/>
      <c r="O74" s="117"/>
      <c r="P74" s="117">
        <f t="shared" si="13"/>
        <v>0</v>
      </c>
      <c r="Q74" s="117"/>
      <c r="R74" s="117"/>
      <c r="S74" s="117"/>
      <c r="T74" s="5"/>
      <c r="U74" s="5">
        <f t="shared" si="14"/>
        <v>0</v>
      </c>
      <c r="V74" s="5"/>
      <c r="W74" s="5"/>
      <c r="X74" s="5"/>
    </row>
    <row r="75" spans="1:24">
      <c r="A75" s="249"/>
      <c r="B75" s="9" t="s">
        <v>72</v>
      </c>
      <c r="C75" s="5">
        <f t="shared" si="11"/>
        <v>0</v>
      </c>
      <c r="D75" s="5"/>
      <c r="E75" s="5"/>
      <c r="F75" s="5"/>
      <c r="G75" s="5"/>
      <c r="H75" s="5">
        <f t="shared" si="12"/>
        <v>0</v>
      </c>
      <c r="I75" s="5"/>
      <c r="J75" s="5"/>
      <c r="K75" s="194"/>
      <c r="L75" s="10"/>
      <c r="M75" s="5"/>
      <c r="N75" s="117"/>
      <c r="O75" s="117"/>
      <c r="P75" s="117">
        <f t="shared" si="13"/>
        <v>0</v>
      </c>
      <c r="Q75" s="117"/>
      <c r="R75" s="117"/>
      <c r="S75" s="117"/>
      <c r="T75" s="5"/>
      <c r="U75" s="5">
        <f t="shared" si="14"/>
        <v>0</v>
      </c>
      <c r="V75" s="5"/>
      <c r="W75" s="5"/>
      <c r="X75" s="5"/>
    </row>
    <row r="76" spans="1:24">
      <c r="A76" s="249"/>
      <c r="B76" s="9" t="s">
        <v>73</v>
      </c>
      <c r="C76" s="5">
        <f t="shared" si="11"/>
        <v>0</v>
      </c>
      <c r="D76" s="5"/>
      <c r="E76" s="5"/>
      <c r="F76" s="5"/>
      <c r="G76" s="5"/>
      <c r="H76" s="5">
        <f t="shared" si="12"/>
        <v>0</v>
      </c>
      <c r="I76" s="5"/>
      <c r="J76" s="5"/>
      <c r="K76" s="194"/>
      <c r="L76" s="10"/>
      <c r="M76" s="5"/>
      <c r="N76" s="117"/>
      <c r="O76" s="117"/>
      <c r="P76" s="117">
        <f t="shared" si="13"/>
        <v>0</v>
      </c>
      <c r="Q76" s="117"/>
      <c r="R76" s="117"/>
      <c r="S76" s="117"/>
      <c r="T76" s="5"/>
      <c r="U76" s="5">
        <f t="shared" si="14"/>
        <v>0</v>
      </c>
      <c r="V76" s="5"/>
      <c r="W76" s="5"/>
      <c r="X76" s="5"/>
    </row>
    <row r="77" spans="1:24">
      <c r="A77" s="249"/>
      <c r="B77" s="4" t="s">
        <v>74</v>
      </c>
      <c r="C77" s="5">
        <f t="shared" si="11"/>
        <v>0</v>
      </c>
      <c r="D77" s="5"/>
      <c r="E77" s="5"/>
      <c r="F77" s="5"/>
      <c r="G77" s="5"/>
      <c r="H77" s="5">
        <f t="shared" si="12"/>
        <v>0</v>
      </c>
      <c r="I77" s="5"/>
      <c r="J77" s="5"/>
      <c r="K77" s="194"/>
      <c r="L77" s="5"/>
      <c r="M77" s="5"/>
      <c r="N77" s="117"/>
      <c r="O77" s="117"/>
      <c r="P77" s="117">
        <f t="shared" si="13"/>
        <v>0</v>
      </c>
      <c r="Q77" s="117"/>
      <c r="R77" s="117"/>
      <c r="S77" s="117"/>
      <c r="T77" s="5"/>
      <c r="U77" s="5">
        <f t="shared" si="14"/>
        <v>0</v>
      </c>
      <c r="V77" s="5"/>
      <c r="W77" s="5"/>
      <c r="X77" s="5"/>
    </row>
    <row r="78" spans="1:24">
      <c r="A78" s="249"/>
      <c r="B78" s="9" t="s">
        <v>75</v>
      </c>
      <c r="C78" s="5">
        <f t="shared" si="11"/>
        <v>0</v>
      </c>
      <c r="D78" s="5"/>
      <c r="E78" s="5"/>
      <c r="F78" s="5"/>
      <c r="G78" s="5"/>
      <c r="H78" s="5">
        <f t="shared" si="12"/>
        <v>0</v>
      </c>
      <c r="I78" s="5"/>
      <c r="J78" s="5"/>
      <c r="K78" s="194"/>
      <c r="L78" s="5"/>
      <c r="M78" s="5"/>
      <c r="N78" s="117"/>
      <c r="O78" s="117"/>
      <c r="P78" s="117">
        <f t="shared" si="13"/>
        <v>0</v>
      </c>
      <c r="Q78" s="117"/>
      <c r="R78" s="117"/>
      <c r="S78" s="117"/>
      <c r="T78" s="5"/>
      <c r="U78" s="5">
        <f t="shared" si="14"/>
        <v>0</v>
      </c>
      <c r="V78" s="5"/>
      <c r="W78" s="5"/>
      <c r="X78" s="5"/>
    </row>
    <row r="79" spans="1:24">
      <c r="A79" s="249"/>
      <c r="B79" s="9" t="s">
        <v>76</v>
      </c>
      <c r="C79" s="5">
        <f t="shared" si="11"/>
        <v>0</v>
      </c>
      <c r="D79" s="5"/>
      <c r="E79" s="5"/>
      <c r="F79" s="5"/>
      <c r="G79" s="5"/>
      <c r="H79" s="5">
        <f t="shared" si="12"/>
        <v>0</v>
      </c>
      <c r="I79" s="5"/>
      <c r="J79" s="5"/>
      <c r="K79" s="194"/>
      <c r="L79" s="5"/>
      <c r="M79" s="5"/>
      <c r="N79" s="117"/>
      <c r="O79" s="117"/>
      <c r="P79" s="117">
        <f t="shared" si="13"/>
        <v>0</v>
      </c>
      <c r="Q79" s="117"/>
      <c r="R79" s="117"/>
      <c r="S79" s="117"/>
      <c r="T79" s="5"/>
      <c r="U79" s="5">
        <f t="shared" si="14"/>
        <v>0</v>
      </c>
      <c r="V79" s="5"/>
      <c r="W79" s="5"/>
      <c r="X79" s="5"/>
    </row>
    <row r="80" spans="1:24">
      <c r="A80" s="249"/>
      <c r="B80" s="9" t="s">
        <v>77</v>
      </c>
      <c r="C80" s="5">
        <f>SUM(D80:H80)+O80+P80+U80</f>
        <v>0</v>
      </c>
      <c r="D80" s="5">
        <f>0.52-F80</f>
        <v>1715.27</v>
      </c>
      <c r="E80" s="5"/>
      <c r="F80" s="5">
        <f>-1714.75</f>
        <v>-1714.75</v>
      </c>
      <c r="G80" s="5"/>
      <c r="H80" s="5">
        <f t="shared" si="12"/>
        <v>-650.11</v>
      </c>
      <c r="I80" s="5">
        <f>-650.11</f>
        <v>-650.11</v>
      </c>
      <c r="J80" s="5"/>
      <c r="K80" s="194"/>
      <c r="L80" s="5"/>
      <c r="M80" s="5"/>
      <c r="N80" s="117"/>
      <c r="O80" s="117"/>
      <c r="P80" s="117">
        <f t="shared" si="13"/>
        <v>649.59</v>
      </c>
      <c r="Q80" s="117"/>
      <c r="R80" s="117">
        <v>649.59</v>
      </c>
      <c r="S80" s="117"/>
      <c r="T80" s="5"/>
      <c r="U80" s="5">
        <f t="shared" si="14"/>
        <v>0</v>
      </c>
      <c r="V80" s="5"/>
      <c r="W80" s="5"/>
      <c r="X80" s="5"/>
    </row>
    <row r="81" spans="1:24">
      <c r="A81" s="249"/>
      <c r="B81" s="9" t="s">
        <v>78</v>
      </c>
      <c r="C81" s="5">
        <f t="shared" si="11"/>
        <v>0</v>
      </c>
      <c r="D81" s="5">
        <f>-X81</f>
        <v>100.870903</v>
      </c>
      <c r="E81" s="5"/>
      <c r="F81" s="5"/>
      <c r="G81" s="5"/>
      <c r="H81" s="5">
        <f t="shared" si="12"/>
        <v>0</v>
      </c>
      <c r="I81" s="5"/>
      <c r="J81" s="5"/>
      <c r="K81" s="194"/>
      <c r="L81" s="5"/>
      <c r="M81" s="5"/>
      <c r="N81" s="117"/>
      <c r="O81" s="117"/>
      <c r="P81" s="117">
        <f t="shared" si="13"/>
        <v>0</v>
      </c>
      <c r="Q81" s="117"/>
      <c r="R81" s="117"/>
      <c r="S81" s="117"/>
      <c r="T81" s="5"/>
      <c r="U81" s="5">
        <f t="shared" si="14"/>
        <v>-100.870903</v>
      </c>
      <c r="V81" s="5"/>
      <c r="W81" s="5"/>
      <c r="X81" s="155">
        <f>-X29</f>
        <v>-100.870903</v>
      </c>
    </row>
    <row r="82" spans="1:24">
      <c r="A82" s="249"/>
      <c r="B82" s="9" t="s">
        <v>79</v>
      </c>
      <c r="C82" s="5">
        <f t="shared" si="11"/>
        <v>0</v>
      </c>
      <c r="D82" s="5"/>
      <c r="E82" s="5"/>
      <c r="F82" s="5"/>
      <c r="G82" s="5"/>
      <c r="H82" s="5">
        <f t="shared" si="12"/>
        <v>0</v>
      </c>
      <c r="I82" s="5"/>
      <c r="J82" s="5"/>
      <c r="K82" s="194"/>
      <c r="L82" s="5"/>
      <c r="M82" s="5"/>
      <c r="N82" s="117"/>
      <c r="O82" s="117"/>
      <c r="P82" s="117">
        <f t="shared" si="13"/>
        <v>0</v>
      </c>
      <c r="Q82" s="117"/>
      <c r="R82" s="117"/>
      <c r="S82" s="117"/>
      <c r="T82" s="5"/>
      <c r="U82" s="5">
        <f t="shared" si="14"/>
        <v>0</v>
      </c>
      <c r="V82" s="5"/>
      <c r="W82" s="5"/>
      <c r="X82" s="5"/>
    </row>
    <row r="83" spans="1:24">
      <c r="A83" s="249"/>
      <c r="B83" s="9" t="s">
        <v>80</v>
      </c>
      <c r="C83" s="5">
        <f t="shared" si="11"/>
        <v>0</v>
      </c>
      <c r="D83" s="5"/>
      <c r="E83" s="5"/>
      <c r="F83" s="5"/>
      <c r="G83" s="5"/>
      <c r="H83" s="5">
        <f t="shared" si="12"/>
        <v>0</v>
      </c>
      <c r="I83" s="5"/>
      <c r="J83" s="5"/>
      <c r="K83" s="194"/>
      <c r="L83" s="5"/>
      <c r="M83" s="5"/>
      <c r="N83" s="117"/>
      <c r="O83" s="117"/>
      <c r="P83" s="117">
        <f t="shared" si="13"/>
        <v>0</v>
      </c>
      <c r="Q83" s="117"/>
      <c r="R83" s="117"/>
      <c r="S83" s="117"/>
      <c r="T83" s="5"/>
      <c r="U83" s="5">
        <f t="shared" si="14"/>
        <v>0</v>
      </c>
      <c r="V83" s="5"/>
      <c r="W83" s="5"/>
      <c r="X83" s="5"/>
    </row>
    <row r="84" spans="1:24">
      <c r="A84" s="249"/>
      <c r="B84" s="9" t="s">
        <v>81</v>
      </c>
      <c r="C84" s="5">
        <f t="shared" si="11"/>
        <v>0</v>
      </c>
      <c r="D84" s="5"/>
      <c r="E84" s="5"/>
      <c r="F84" s="5"/>
      <c r="G84" s="5"/>
      <c r="H84" s="5">
        <f t="shared" si="12"/>
        <v>0</v>
      </c>
      <c r="I84" s="5"/>
      <c r="J84" s="5"/>
      <c r="K84" s="194"/>
      <c r="L84" s="5"/>
      <c r="M84" s="5"/>
      <c r="N84" s="117"/>
      <c r="O84" s="117"/>
      <c r="P84" s="117">
        <f t="shared" si="13"/>
        <v>0</v>
      </c>
      <c r="Q84" s="117"/>
      <c r="R84" s="117"/>
      <c r="S84" s="117"/>
      <c r="T84" s="5"/>
      <c r="U84" s="5">
        <f t="shared" si="14"/>
        <v>0</v>
      </c>
      <c r="V84" s="5"/>
      <c r="W84" s="5"/>
      <c r="X84" s="5"/>
    </row>
    <row r="85" spans="1:24">
      <c r="A85" s="249"/>
      <c r="B85" s="9" t="s">
        <v>82</v>
      </c>
      <c r="C85" s="5">
        <f t="shared" si="11"/>
        <v>0</v>
      </c>
      <c r="D85" s="5"/>
      <c r="E85" s="5"/>
      <c r="F85" s="5"/>
      <c r="G85" s="5"/>
      <c r="H85" s="5">
        <f t="shared" si="12"/>
        <v>0</v>
      </c>
      <c r="I85" s="5"/>
      <c r="J85" s="5"/>
      <c r="K85" s="194"/>
      <c r="L85" s="5"/>
      <c r="M85" s="5"/>
      <c r="N85" s="117"/>
      <c r="O85" s="117"/>
      <c r="P85" s="117">
        <f t="shared" si="13"/>
        <v>0</v>
      </c>
      <c r="Q85" s="117"/>
      <c r="R85" s="117"/>
      <c r="S85" s="117"/>
      <c r="T85" s="5"/>
      <c r="U85" s="5">
        <f t="shared" si="14"/>
        <v>0</v>
      </c>
      <c r="V85" s="5"/>
      <c r="W85" s="5"/>
      <c r="X85" s="5"/>
    </row>
    <row r="86" spans="1:24">
      <c r="A86" s="249"/>
      <c r="B86" s="9" t="s">
        <v>83</v>
      </c>
      <c r="C86" s="5">
        <f t="shared" si="11"/>
        <v>0</v>
      </c>
      <c r="D86" s="5"/>
      <c r="E86" s="5"/>
      <c r="F86" s="5"/>
      <c r="G86" s="5"/>
      <c r="H86" s="5">
        <f t="shared" si="12"/>
        <v>0</v>
      </c>
      <c r="I86" s="5"/>
      <c r="J86" s="5"/>
      <c r="K86" s="194"/>
      <c r="L86" s="5"/>
      <c r="M86" s="5"/>
      <c r="N86" s="117"/>
      <c r="O86" s="117"/>
      <c r="P86" s="117">
        <f t="shared" si="13"/>
        <v>0</v>
      </c>
      <c r="Q86" s="117"/>
      <c r="R86" s="117"/>
      <c r="S86" s="117"/>
      <c r="T86" s="5"/>
      <c r="U86" s="5">
        <f t="shared" si="14"/>
        <v>0</v>
      </c>
      <c r="V86" s="5"/>
      <c r="W86" s="5"/>
      <c r="X86" s="5"/>
    </row>
    <row r="87" spans="1:24">
      <c r="A87" s="249"/>
      <c r="B87" s="9" t="s">
        <v>84</v>
      </c>
      <c r="C87" s="5">
        <f t="shared" si="11"/>
        <v>0</v>
      </c>
      <c r="D87" s="5"/>
      <c r="E87" s="5"/>
      <c r="F87" s="5"/>
      <c r="G87" s="5"/>
      <c r="H87" s="5">
        <f t="shared" si="12"/>
        <v>0</v>
      </c>
      <c r="I87" s="5"/>
      <c r="J87" s="5"/>
      <c r="K87" s="194"/>
      <c r="L87" s="5"/>
      <c r="M87" s="5"/>
      <c r="N87" s="117"/>
      <c r="O87" s="117"/>
      <c r="P87" s="117">
        <f t="shared" si="13"/>
        <v>0</v>
      </c>
      <c r="Q87" s="117"/>
      <c r="R87" s="117"/>
      <c r="S87" s="117"/>
      <c r="T87" s="5"/>
      <c r="U87" s="5">
        <f t="shared" si="14"/>
        <v>0</v>
      </c>
      <c r="V87" s="5"/>
      <c r="W87" s="5"/>
      <c r="X87" s="5"/>
    </row>
    <row r="88" spans="1:24">
      <c r="A88" s="249"/>
      <c r="B88" s="9" t="s">
        <v>85</v>
      </c>
      <c r="C88" s="5">
        <f t="shared" si="11"/>
        <v>0</v>
      </c>
      <c r="D88" s="5"/>
      <c r="E88" s="5"/>
      <c r="F88" s="5"/>
      <c r="G88" s="5"/>
      <c r="H88" s="5">
        <f t="shared" si="12"/>
        <v>0</v>
      </c>
      <c r="I88" s="5"/>
      <c r="J88" s="5"/>
      <c r="K88" s="194"/>
      <c r="L88" s="5"/>
      <c r="M88" s="5"/>
      <c r="N88" s="117"/>
      <c r="O88" s="117"/>
      <c r="P88" s="117">
        <f t="shared" si="13"/>
        <v>0</v>
      </c>
      <c r="Q88" s="117"/>
      <c r="R88" s="117"/>
      <c r="S88" s="117"/>
      <c r="T88" s="5"/>
      <c r="U88" s="5">
        <f t="shared" si="14"/>
        <v>0</v>
      </c>
      <c r="V88" s="5"/>
      <c r="W88" s="5"/>
      <c r="X88" s="5"/>
    </row>
    <row r="89" spans="1:24">
      <c r="A89" s="249"/>
      <c r="B89" s="9" t="s">
        <v>86</v>
      </c>
      <c r="C89" s="5">
        <f t="shared" si="11"/>
        <v>0</v>
      </c>
      <c r="D89" s="5"/>
      <c r="E89" s="5"/>
      <c r="F89" s="5"/>
      <c r="G89" s="5"/>
      <c r="H89" s="5">
        <f t="shared" si="12"/>
        <v>0</v>
      </c>
      <c r="I89" s="5"/>
      <c r="J89" s="5"/>
      <c r="K89" s="194"/>
      <c r="L89" s="5"/>
      <c r="M89" s="5"/>
      <c r="N89" s="117"/>
      <c r="O89" s="117"/>
      <c r="P89" s="117">
        <f t="shared" si="13"/>
        <v>0</v>
      </c>
      <c r="Q89" s="117"/>
      <c r="R89" s="117"/>
      <c r="S89" s="117"/>
      <c r="T89" s="5"/>
      <c r="U89" s="5">
        <f t="shared" si="14"/>
        <v>0</v>
      </c>
      <c r="V89" s="5"/>
      <c r="W89" s="5"/>
      <c r="X89" s="5"/>
    </row>
    <row r="90" spans="1:24">
      <c r="A90" s="249"/>
      <c r="B90" s="9" t="s">
        <v>87</v>
      </c>
      <c r="C90" s="5">
        <f t="shared" si="11"/>
        <v>0</v>
      </c>
      <c r="D90" s="5"/>
      <c r="E90" s="5"/>
      <c r="F90" s="5"/>
      <c r="G90" s="5"/>
      <c r="H90" s="5">
        <f t="shared" si="12"/>
        <v>0</v>
      </c>
      <c r="I90" s="5"/>
      <c r="J90" s="5"/>
      <c r="K90" s="194"/>
      <c r="L90" s="5"/>
      <c r="M90" s="5"/>
      <c r="N90" s="117"/>
      <c r="O90" s="117"/>
      <c r="P90" s="117">
        <f t="shared" si="13"/>
        <v>0</v>
      </c>
      <c r="Q90" s="117"/>
      <c r="R90" s="117"/>
      <c r="S90" s="117"/>
      <c r="T90" s="5"/>
      <c r="U90" s="5">
        <f t="shared" si="14"/>
        <v>0</v>
      </c>
      <c r="V90" s="5"/>
      <c r="W90" s="5"/>
      <c r="X90" s="5"/>
    </row>
    <row r="91" spans="1:24">
      <c r="A91" s="249"/>
      <c r="B91" s="9" t="s">
        <v>88</v>
      </c>
      <c r="C91" s="5">
        <f t="shared" si="11"/>
        <v>0</v>
      </c>
      <c r="D91" s="5"/>
      <c r="E91" s="5"/>
      <c r="F91" s="5"/>
      <c r="G91" s="5"/>
      <c r="H91" s="5">
        <f t="shared" si="12"/>
        <v>0</v>
      </c>
      <c r="I91" s="5"/>
      <c r="J91" s="5"/>
      <c r="K91" s="194"/>
      <c r="L91" s="5"/>
      <c r="M91" s="5"/>
      <c r="N91" s="117"/>
      <c r="O91" s="117"/>
      <c r="P91" s="117">
        <f t="shared" si="13"/>
        <v>0</v>
      </c>
      <c r="Q91" s="117"/>
      <c r="R91" s="117"/>
      <c r="S91" s="117"/>
      <c r="T91" s="5"/>
      <c r="U91" s="5">
        <f t="shared" si="14"/>
        <v>0</v>
      </c>
      <c r="V91" s="5"/>
      <c r="W91" s="5"/>
      <c r="X91" s="5"/>
    </row>
    <row r="92" spans="1:24">
      <c r="A92" s="249"/>
      <c r="B92" s="9" t="s">
        <v>89</v>
      </c>
      <c r="C92" s="5">
        <f t="shared" si="11"/>
        <v>0</v>
      </c>
      <c r="D92" s="5"/>
      <c r="E92" s="5"/>
      <c r="F92" s="5"/>
      <c r="G92" s="5"/>
      <c r="H92" s="5">
        <f t="shared" si="12"/>
        <v>0</v>
      </c>
      <c r="I92" s="5"/>
      <c r="J92" s="5"/>
      <c r="K92" s="194"/>
      <c r="L92" s="5"/>
      <c r="M92" s="5"/>
      <c r="N92" s="117"/>
      <c r="O92" s="117"/>
      <c r="P92" s="117">
        <f t="shared" si="13"/>
        <v>0</v>
      </c>
      <c r="Q92" s="117"/>
      <c r="R92" s="117"/>
      <c r="S92" s="117"/>
      <c r="T92" s="5"/>
      <c r="U92" s="5">
        <f t="shared" si="14"/>
        <v>0</v>
      </c>
      <c r="V92" s="5"/>
      <c r="W92" s="5"/>
      <c r="X92" s="5"/>
    </row>
    <row r="93" spans="1:24">
      <c r="A93" s="249"/>
      <c r="B93" s="9" t="s">
        <v>90</v>
      </c>
      <c r="C93" s="5">
        <f t="shared" si="11"/>
        <v>0</v>
      </c>
      <c r="D93" s="5"/>
      <c r="E93" s="5"/>
      <c r="F93" s="5"/>
      <c r="G93" s="5"/>
      <c r="H93" s="5">
        <f t="shared" si="12"/>
        <v>0</v>
      </c>
      <c r="I93" s="5"/>
      <c r="J93" s="5"/>
      <c r="K93" s="194"/>
      <c r="L93" s="5"/>
      <c r="M93" s="5"/>
      <c r="N93" s="117"/>
      <c r="O93" s="117"/>
      <c r="P93" s="117">
        <f t="shared" si="13"/>
        <v>0</v>
      </c>
      <c r="Q93" s="117"/>
      <c r="R93" s="117"/>
      <c r="S93" s="117"/>
      <c r="T93" s="5"/>
      <c r="U93" s="5">
        <f t="shared" si="14"/>
        <v>0</v>
      </c>
      <c r="V93" s="5"/>
      <c r="W93" s="5"/>
      <c r="X93" s="5"/>
    </row>
    <row r="94" spans="1:24">
      <c r="A94" s="249"/>
      <c r="B94" s="9" t="s">
        <v>91</v>
      </c>
      <c r="C94" s="5">
        <f t="shared" si="11"/>
        <v>0</v>
      </c>
      <c r="D94" s="5"/>
      <c r="E94" s="5"/>
      <c r="F94" s="5"/>
      <c r="G94" s="5"/>
      <c r="H94" s="5">
        <f t="shared" si="12"/>
        <v>0</v>
      </c>
      <c r="I94" s="5"/>
      <c r="J94" s="5"/>
      <c r="K94" s="194"/>
      <c r="L94" s="11"/>
      <c r="M94" s="5"/>
      <c r="N94" s="117"/>
      <c r="O94" s="117"/>
      <c r="P94" s="117">
        <f t="shared" si="13"/>
        <v>0</v>
      </c>
      <c r="Q94" s="117"/>
      <c r="R94" s="117"/>
      <c r="S94" s="117"/>
      <c r="T94" s="5"/>
      <c r="U94" s="5">
        <f t="shared" si="14"/>
        <v>0</v>
      </c>
      <c r="V94" s="5"/>
      <c r="W94" s="5"/>
      <c r="X94" s="5"/>
    </row>
    <row r="95" spans="1:24">
      <c r="A95" s="250"/>
      <c r="B95" s="9" t="s">
        <v>66</v>
      </c>
      <c r="C95" s="12">
        <f>SUM(C71:C94)</f>
        <v>0</v>
      </c>
      <c r="D95" s="12">
        <f>SUM(D71:D94)</f>
        <v>1876.4309029999999</v>
      </c>
      <c r="E95" s="12">
        <f t="shared" ref="E95:X95" si="15">SUM(E71:E94)</f>
        <v>0</v>
      </c>
      <c r="F95" s="12">
        <f t="shared" si="15"/>
        <v>-1755.47</v>
      </c>
      <c r="G95" s="12">
        <f t="shared" si="15"/>
        <v>0</v>
      </c>
      <c r="H95" s="12">
        <f t="shared" si="15"/>
        <v>-661.68000000000006</v>
      </c>
      <c r="I95" s="12">
        <f t="shared" si="15"/>
        <v>-647.59</v>
      </c>
      <c r="J95" s="12">
        <f t="shared" si="15"/>
        <v>-8.9700000000000006</v>
      </c>
      <c r="K95" s="196">
        <f t="shared" si="15"/>
        <v>0</v>
      </c>
      <c r="L95" s="12">
        <f t="shared" si="15"/>
        <v>0</v>
      </c>
      <c r="M95" s="12">
        <f t="shared" si="15"/>
        <v>-5.12</v>
      </c>
      <c r="N95" s="118">
        <f t="shared" si="15"/>
        <v>0</v>
      </c>
      <c r="O95" s="118">
        <f t="shared" si="15"/>
        <v>0</v>
      </c>
      <c r="P95" s="118">
        <f t="shared" si="15"/>
        <v>649.59</v>
      </c>
      <c r="Q95" s="118">
        <f>SUM(Q71:Q94)</f>
        <v>-21.51</v>
      </c>
      <c r="R95" s="118">
        <f t="shared" si="15"/>
        <v>735.92000000000007</v>
      </c>
      <c r="S95" s="118">
        <f t="shared" si="15"/>
        <v>-50.6</v>
      </c>
      <c r="T95" s="12">
        <f t="shared" si="15"/>
        <v>-14.22</v>
      </c>
      <c r="U95" s="12">
        <f t="shared" si="15"/>
        <v>-108.870903</v>
      </c>
      <c r="V95" s="12">
        <f t="shared" si="15"/>
        <v>-8</v>
      </c>
      <c r="W95" s="12">
        <f t="shared" si="15"/>
        <v>0</v>
      </c>
      <c r="X95" s="12">
        <f t="shared" si="15"/>
        <v>-100.870903</v>
      </c>
    </row>
    <row r="96" spans="1:24">
      <c r="A96" s="248" t="s">
        <v>92</v>
      </c>
      <c r="B96" s="9" t="s">
        <v>93</v>
      </c>
      <c r="C96" s="5">
        <f t="shared" si="11"/>
        <v>0</v>
      </c>
      <c r="D96" s="5"/>
      <c r="E96" s="5"/>
      <c r="F96" s="5"/>
      <c r="G96" s="5"/>
      <c r="H96" s="5">
        <f t="shared" si="12"/>
        <v>0</v>
      </c>
      <c r="I96" s="5"/>
      <c r="J96" s="5"/>
      <c r="K96" s="194"/>
      <c r="L96" s="5"/>
      <c r="M96" s="5"/>
      <c r="N96" s="117"/>
      <c r="O96" s="117"/>
      <c r="P96" s="117">
        <f t="shared" si="13"/>
        <v>0</v>
      </c>
      <c r="Q96" s="117"/>
      <c r="R96" s="117"/>
      <c r="S96" s="117"/>
      <c r="T96" s="5"/>
      <c r="U96" s="5">
        <f t="shared" si="14"/>
        <v>0</v>
      </c>
      <c r="V96" s="5"/>
      <c r="W96" s="5"/>
      <c r="X96" s="5"/>
    </row>
    <row r="97" spans="1:24">
      <c r="A97" s="249"/>
      <c r="B97" s="9" t="s">
        <v>94</v>
      </c>
      <c r="C97" s="5">
        <f t="shared" si="11"/>
        <v>0</v>
      </c>
      <c r="D97" s="5">
        <f>-X97</f>
        <v>2.17</v>
      </c>
      <c r="E97" s="5"/>
      <c r="F97" s="5"/>
      <c r="G97" s="5"/>
      <c r="H97" s="5">
        <f t="shared" si="12"/>
        <v>0</v>
      </c>
      <c r="I97" s="5"/>
      <c r="J97" s="5"/>
      <c r="K97" s="194"/>
      <c r="L97" s="5"/>
      <c r="M97" s="5"/>
      <c r="N97" s="117"/>
      <c r="O97" s="117"/>
      <c r="P97" s="117">
        <f t="shared" si="13"/>
        <v>0</v>
      </c>
      <c r="Q97" s="117"/>
      <c r="R97" s="117"/>
      <c r="S97" s="117"/>
      <c r="T97" s="5"/>
      <c r="U97" s="5">
        <f t="shared" si="14"/>
        <v>-2.17</v>
      </c>
      <c r="V97" s="5"/>
      <c r="W97" s="5"/>
      <c r="X97" s="5">
        <f>-2.17</f>
        <v>-2.17</v>
      </c>
    </row>
    <row r="98" spans="1:24">
      <c r="A98" s="249"/>
      <c r="B98" s="9" t="s">
        <v>95</v>
      </c>
      <c r="C98" s="5">
        <f t="shared" si="11"/>
        <v>0</v>
      </c>
      <c r="D98" s="5">
        <v>22.1</v>
      </c>
      <c r="E98" s="83">
        <f>-F98</f>
        <v>-300</v>
      </c>
      <c r="F98" s="5">
        <f>300/12*累计利润调整表!D2</f>
        <v>300</v>
      </c>
      <c r="G98" s="5"/>
      <c r="H98" s="5">
        <f t="shared" si="12"/>
        <v>-22.1</v>
      </c>
      <c r="I98" s="5"/>
      <c r="J98" s="5"/>
      <c r="K98" s="194"/>
      <c r="L98" s="5"/>
      <c r="M98" s="5">
        <v>-22.1</v>
      </c>
      <c r="N98" s="117"/>
      <c r="O98" s="117"/>
      <c r="P98" s="117">
        <f t="shared" si="13"/>
        <v>0</v>
      </c>
      <c r="Q98" s="117"/>
      <c r="R98" s="117"/>
      <c r="S98" s="117"/>
      <c r="T98" s="5"/>
      <c r="U98" s="5">
        <f t="shared" si="14"/>
        <v>0</v>
      </c>
      <c r="V98" s="5"/>
      <c r="W98" s="5"/>
      <c r="X98" s="5"/>
    </row>
    <row r="99" spans="1:24">
      <c r="A99" s="249"/>
      <c r="B99" s="9" t="s">
        <v>96</v>
      </c>
      <c r="C99" s="5">
        <f t="shared" si="11"/>
        <v>0</v>
      </c>
      <c r="D99" s="83">
        <f>IF(F99&gt;D47,-D47,-F99)</f>
        <v>-700</v>
      </c>
      <c r="E99" s="5"/>
      <c r="F99" s="5">
        <f>700/12*累计利润调整表!D2</f>
        <v>700</v>
      </c>
      <c r="G99" s="5"/>
      <c r="H99" s="5">
        <f t="shared" si="12"/>
        <v>0</v>
      </c>
      <c r="I99" s="5"/>
      <c r="J99" s="5"/>
      <c r="K99" s="194"/>
      <c r="L99" s="5"/>
      <c r="M99" s="5"/>
      <c r="N99" s="117"/>
      <c r="O99" s="117"/>
      <c r="P99" s="117">
        <f t="shared" si="13"/>
        <v>0</v>
      </c>
      <c r="Q99" s="117"/>
      <c r="R99" s="117"/>
      <c r="S99" s="117"/>
      <c r="T99" s="5"/>
      <c r="U99" s="5">
        <f t="shared" si="14"/>
        <v>0</v>
      </c>
      <c r="V99" s="5"/>
      <c r="W99" s="5"/>
      <c r="X99" s="5"/>
    </row>
    <row r="100" spans="1:24">
      <c r="A100" s="249"/>
      <c r="B100" s="9" t="s">
        <v>97</v>
      </c>
      <c r="C100" s="5">
        <f t="shared" si="11"/>
        <v>0</v>
      </c>
      <c r="D100" s="5"/>
      <c r="E100" s="5"/>
      <c r="F100" s="5"/>
      <c r="G100" s="5"/>
      <c r="H100" s="5">
        <f t="shared" si="12"/>
        <v>0</v>
      </c>
      <c r="I100" s="5"/>
      <c r="J100" s="5"/>
      <c r="K100" s="194"/>
      <c r="L100" s="5"/>
      <c r="M100" s="5"/>
      <c r="N100" s="117"/>
      <c r="O100" s="117"/>
      <c r="P100" s="117">
        <f t="shared" si="13"/>
        <v>0</v>
      </c>
      <c r="Q100" s="117"/>
      <c r="R100" s="117"/>
      <c r="S100" s="117"/>
      <c r="T100" s="5"/>
      <c r="U100" s="5">
        <f t="shared" si="14"/>
        <v>0</v>
      </c>
      <c r="V100" s="5"/>
      <c r="W100" s="5"/>
      <c r="X100" s="5"/>
    </row>
    <row r="101" spans="1:24">
      <c r="A101" s="249"/>
      <c r="B101" s="9" t="s">
        <v>98</v>
      </c>
      <c r="C101" s="5">
        <f t="shared" si="11"/>
        <v>-4.2632564145606011E-14</v>
      </c>
      <c r="D101" s="5">
        <f>-(F101+G101+H101+O101+P101)</f>
        <v>-406.8845</v>
      </c>
      <c r="E101" s="5"/>
      <c r="F101" s="5">
        <v>41.99</v>
      </c>
      <c r="G101" s="5">
        <v>100.66</v>
      </c>
      <c r="H101" s="5">
        <f>SUM(I101:N101)</f>
        <v>191.54999999999998</v>
      </c>
      <c r="I101" s="5">
        <v>78.569999999999993</v>
      </c>
      <c r="J101" s="5">
        <v>39.58</v>
      </c>
      <c r="K101" s="194">
        <v>21.66</v>
      </c>
      <c r="L101" s="5"/>
      <c r="M101" s="5">
        <v>2.48</v>
      </c>
      <c r="N101" s="117">
        <v>49.26</v>
      </c>
      <c r="O101" s="117">
        <v>34.86</v>
      </c>
      <c r="P101" s="117">
        <f t="shared" si="13"/>
        <v>37.8245</v>
      </c>
      <c r="Q101" s="117">
        <v>4.4800000000000004</v>
      </c>
      <c r="R101" s="153">
        <v>21.314499999999999</v>
      </c>
      <c r="S101" s="117">
        <v>5.72</v>
      </c>
      <c r="T101" s="5">
        <v>6.31</v>
      </c>
      <c r="U101" s="5">
        <f t="shared" si="14"/>
        <v>0</v>
      </c>
      <c r="V101" s="5"/>
      <c r="W101" s="5"/>
      <c r="X101" s="5"/>
    </row>
    <row r="102" spans="1:24">
      <c r="A102" s="249"/>
      <c r="B102" s="9" t="s">
        <v>99</v>
      </c>
      <c r="C102" s="5">
        <f t="shared" si="11"/>
        <v>0</v>
      </c>
      <c r="D102" s="5"/>
      <c r="E102" s="5"/>
      <c r="F102" s="5"/>
      <c r="G102" s="5"/>
      <c r="H102" s="5">
        <f t="shared" si="12"/>
        <v>0</v>
      </c>
      <c r="I102" s="5"/>
      <c r="J102" s="5"/>
      <c r="K102" s="194"/>
      <c r="L102" s="5"/>
      <c r="M102" s="5"/>
      <c r="N102" s="117"/>
      <c r="O102" s="117"/>
      <c r="P102" s="117">
        <f t="shared" si="13"/>
        <v>0</v>
      </c>
      <c r="Q102" s="117"/>
      <c r="R102" s="117"/>
      <c r="S102" s="117"/>
      <c r="T102" s="5"/>
      <c r="U102" s="5">
        <f t="shared" si="14"/>
        <v>0</v>
      </c>
      <c r="V102" s="5"/>
      <c r="W102" s="5"/>
      <c r="X102" s="5"/>
    </row>
    <row r="103" spans="1:24">
      <c r="A103" s="250"/>
      <c r="B103" s="9" t="s">
        <v>66</v>
      </c>
      <c r="C103" s="13">
        <f>SUM(C96:C102)</f>
        <v>-4.2632564145606011E-14</v>
      </c>
      <c r="D103" s="13">
        <f>SUM(D96:D102)</f>
        <v>-1082.6145000000001</v>
      </c>
      <c r="E103" s="13">
        <f t="shared" ref="E103:X103" si="16">SUM(E96:E102)</f>
        <v>-300</v>
      </c>
      <c r="F103" s="13">
        <f>SUM(F96:F102)</f>
        <v>1041.99</v>
      </c>
      <c r="G103" s="13">
        <f t="shared" si="16"/>
        <v>100.66</v>
      </c>
      <c r="H103" s="13">
        <f t="shared" si="16"/>
        <v>169.45</v>
      </c>
      <c r="I103" s="13">
        <f t="shared" si="16"/>
        <v>78.569999999999993</v>
      </c>
      <c r="J103" s="13">
        <f>SUM(J96:J102)</f>
        <v>39.58</v>
      </c>
      <c r="K103" s="197">
        <f t="shared" si="16"/>
        <v>21.66</v>
      </c>
      <c r="L103" s="13">
        <f t="shared" si="16"/>
        <v>0</v>
      </c>
      <c r="M103" s="13">
        <f t="shared" si="16"/>
        <v>-19.62</v>
      </c>
      <c r="N103" s="13">
        <f t="shared" si="16"/>
        <v>49.26</v>
      </c>
      <c r="O103" s="13">
        <f t="shared" si="16"/>
        <v>34.86</v>
      </c>
      <c r="P103" s="13">
        <f t="shared" si="16"/>
        <v>37.8245</v>
      </c>
      <c r="Q103" s="13">
        <f t="shared" si="16"/>
        <v>4.4800000000000004</v>
      </c>
      <c r="R103" s="13">
        <f t="shared" si="16"/>
        <v>21.314499999999999</v>
      </c>
      <c r="S103" s="13">
        <f t="shared" si="16"/>
        <v>5.72</v>
      </c>
      <c r="T103" s="13">
        <f t="shared" si="16"/>
        <v>6.31</v>
      </c>
      <c r="U103" s="13">
        <f t="shared" si="16"/>
        <v>-2.17</v>
      </c>
      <c r="V103" s="13">
        <f t="shared" si="16"/>
        <v>0</v>
      </c>
      <c r="W103" s="13">
        <f t="shared" si="16"/>
        <v>0</v>
      </c>
      <c r="X103" s="13">
        <f t="shared" si="16"/>
        <v>-2.17</v>
      </c>
    </row>
    <row r="104" spans="1:24" ht="14.25" thickBot="1">
      <c r="A104" s="14"/>
      <c r="B104" s="14" t="s">
        <v>100</v>
      </c>
      <c r="C104" s="14">
        <f>C103+C95+C70+C65</f>
        <v>-7.2053474298172659E-14</v>
      </c>
      <c r="D104" s="14">
        <f t="shared" ref="D104" si="17">D103+D95+D70+D65</f>
        <v>1299.9570779999997</v>
      </c>
      <c r="E104" s="14">
        <f t="shared" ref="E104" si="18">E103+E95+E70+E65</f>
        <v>-310.08999999999997</v>
      </c>
      <c r="F104" s="14">
        <f t="shared" ref="F104" si="19">F103+F95+F70+F65</f>
        <v>-1102.8879999999999</v>
      </c>
      <c r="G104" s="14">
        <f t="shared" ref="G104" si="20">G103+G95+G70+G65</f>
        <v>317.93709999999999</v>
      </c>
      <c r="H104" s="14">
        <f t="shared" ref="H104" si="21">H103+H95+H70+H65</f>
        <v>-573.46120000000008</v>
      </c>
      <c r="I104" s="14">
        <f t="shared" ref="I104" si="22">I103+I95+I70+I65</f>
        <v>-600.20769999999993</v>
      </c>
      <c r="J104" s="14">
        <f>J103+J95+J70+J65</f>
        <v>-41.45</v>
      </c>
      <c r="K104" s="198">
        <f>K103+K95+K70+K65</f>
        <v>31.246500000000001</v>
      </c>
      <c r="L104" s="14">
        <f t="shared" ref="L104" si="23">L103+L95+L70+L65</f>
        <v>0</v>
      </c>
      <c r="M104" s="14">
        <f t="shared" ref="M104" si="24">M103+M95+M70+M65</f>
        <v>-14.650000000000002</v>
      </c>
      <c r="N104" s="120">
        <f>N103+N95+N70+N65</f>
        <v>51.599999999999994</v>
      </c>
      <c r="O104" s="119">
        <f t="shared" ref="O104" si="25">O103+O95+O70+O65</f>
        <v>-50.519899999999993</v>
      </c>
      <c r="P104" s="119">
        <f t="shared" ref="P104" si="26">P103+P95+P70+P65</f>
        <v>527.93270000000007</v>
      </c>
      <c r="Q104" s="119">
        <f t="shared" ref="Q104" si="27">Q103+Q95+Q70+Q65</f>
        <v>-20.7121</v>
      </c>
      <c r="R104" s="119">
        <f t="shared" ref="R104" si="28">R103+R95+R70+R65</f>
        <v>769.37070000000006</v>
      </c>
      <c r="S104" s="119">
        <f>S103+S95+S70+S65</f>
        <v>-217.68</v>
      </c>
      <c r="T104" s="14">
        <f>T103+T95+T70+T65</f>
        <v>-3.0459000000000014</v>
      </c>
      <c r="U104" s="14">
        <f>U103+U95+U70+U65</f>
        <v>-108.867778</v>
      </c>
      <c r="V104" s="14">
        <f t="shared" ref="V104" si="29">V103+V95+V70+V65</f>
        <v>-5.8268749999999994</v>
      </c>
      <c r="W104" s="14">
        <f t="shared" ref="W104" si="30">W103+W95+W70+W65</f>
        <v>0</v>
      </c>
      <c r="X104" s="14">
        <f>X103+X95+X70+X65</f>
        <v>-103.040903</v>
      </c>
    </row>
    <row r="106" spans="1:24" ht="14.25" thickBot="1">
      <c r="B106" s="70" t="s">
        <v>131</v>
      </c>
    </row>
    <row r="107" spans="1:24">
      <c r="A107" s="77" t="s">
        <v>48</v>
      </c>
      <c r="B107" s="82" t="s">
        <v>49</v>
      </c>
      <c r="C107" s="95" t="s">
        <v>45</v>
      </c>
      <c r="D107" s="95" t="s">
        <v>26</v>
      </c>
      <c r="E107" s="95" t="s">
        <v>46</v>
      </c>
      <c r="F107" s="95" t="s">
        <v>27</v>
      </c>
      <c r="G107" s="95" t="s">
        <v>28</v>
      </c>
      <c r="H107" s="95" t="s">
        <v>29</v>
      </c>
      <c r="I107" s="96" t="s">
        <v>30</v>
      </c>
      <c r="J107" s="96" t="s">
        <v>31</v>
      </c>
      <c r="K107" s="193" t="s">
        <v>181</v>
      </c>
      <c r="L107" s="96" t="s">
        <v>32</v>
      </c>
      <c r="M107" s="96" t="s">
        <v>33</v>
      </c>
      <c r="N107" s="96" t="s">
        <v>34</v>
      </c>
      <c r="O107" s="95" t="s">
        <v>35</v>
      </c>
      <c r="P107" s="95" t="s">
        <v>36</v>
      </c>
      <c r="Q107" s="96" t="s">
        <v>37</v>
      </c>
      <c r="R107" s="96" t="s">
        <v>38</v>
      </c>
      <c r="S107" s="96" t="s">
        <v>39</v>
      </c>
      <c r="T107" s="96" t="s">
        <v>40</v>
      </c>
      <c r="U107" s="95" t="s">
        <v>41</v>
      </c>
      <c r="V107" s="96" t="s">
        <v>42</v>
      </c>
      <c r="W107" s="96" t="s">
        <v>43</v>
      </c>
      <c r="X107" s="96" t="s">
        <v>44</v>
      </c>
    </row>
    <row r="108" spans="1:24">
      <c r="A108" s="242" t="s">
        <v>50</v>
      </c>
      <c r="B108" s="4" t="s">
        <v>51</v>
      </c>
      <c r="C108" s="97">
        <f t="shared" ref="C108:C154" si="31">SUM(D108:H108)+O108+P108+U108</f>
        <v>14547.392687999998</v>
      </c>
      <c r="D108" s="97">
        <f t="shared" ref="D108:G116" si="32">D4+D56</f>
        <v>-315.3366410000001</v>
      </c>
      <c r="E108" s="97">
        <f t="shared" si="32"/>
        <v>3819.4844779999994</v>
      </c>
      <c r="F108" s="97">
        <f t="shared" si="32"/>
        <v>7573.8729449999992</v>
      </c>
      <c r="G108" s="97">
        <f t="shared" si="32"/>
        <v>532.25944500000003</v>
      </c>
      <c r="H108" s="97">
        <f>SUM(I108:N108)</f>
        <v>1165.0115560000002</v>
      </c>
      <c r="I108" s="97">
        <f t="shared" ref="I108:O116" si="33">I4+I56</f>
        <v>347.09968599999996</v>
      </c>
      <c r="J108" s="97">
        <f t="shared" si="33"/>
        <v>260.53323</v>
      </c>
      <c r="K108" s="200">
        <f t="shared" si="33"/>
        <v>173.416867</v>
      </c>
      <c r="L108" s="97">
        <f t="shared" si="33"/>
        <v>0</v>
      </c>
      <c r="M108" s="97">
        <f t="shared" si="33"/>
        <v>147.018531</v>
      </c>
      <c r="N108" s="121">
        <f t="shared" si="33"/>
        <v>236.943242</v>
      </c>
      <c r="O108" s="121">
        <f t="shared" si="33"/>
        <v>412.73139300000003</v>
      </c>
      <c r="P108" s="121">
        <f>SUM(Q108:T108)</f>
        <v>958.3203309999999</v>
      </c>
      <c r="Q108" s="121">
        <f t="shared" ref="Q108:T116" si="34">Q4+Q56</f>
        <v>102.61494</v>
      </c>
      <c r="R108" s="121">
        <f t="shared" si="34"/>
        <v>321.01171199999999</v>
      </c>
      <c r="S108" s="121">
        <f t="shared" si="34"/>
        <v>371.31573200000003</v>
      </c>
      <c r="T108" s="97">
        <f t="shared" si="34"/>
        <v>163.37794700000001</v>
      </c>
      <c r="U108" s="97">
        <f>SUM(V108:Y108)</f>
        <v>401.04918099999998</v>
      </c>
      <c r="V108" s="97">
        <f t="shared" ref="V108:X116" si="35">V4+V56</f>
        <v>54.344144999999997</v>
      </c>
      <c r="W108" s="97">
        <f t="shared" si="35"/>
        <v>25.488363</v>
      </c>
      <c r="X108" s="97">
        <f t="shared" si="35"/>
        <v>321.21667300000001</v>
      </c>
    </row>
    <row r="109" spans="1:24">
      <c r="A109" s="243"/>
      <c r="B109" s="4" t="s">
        <v>52</v>
      </c>
      <c r="C109" s="97">
        <f t="shared" si="31"/>
        <v>67.95056799999999</v>
      </c>
      <c r="D109" s="97">
        <f t="shared" si="32"/>
        <v>0.5</v>
      </c>
      <c r="E109" s="97">
        <f t="shared" si="32"/>
        <v>14.046214000000001</v>
      </c>
      <c r="F109" s="97">
        <f t="shared" si="32"/>
        <v>44.466667999999991</v>
      </c>
      <c r="G109" s="97">
        <f t="shared" si="32"/>
        <v>1.1546000000000001</v>
      </c>
      <c r="H109" s="97">
        <f t="shared" ref="H109:H116" si="36">SUM(I109:N109)</f>
        <v>2.3635799999999998</v>
      </c>
      <c r="I109" s="97">
        <f t="shared" si="33"/>
        <v>0.69779999999999998</v>
      </c>
      <c r="J109" s="97">
        <f t="shared" si="33"/>
        <v>0.57698000000000005</v>
      </c>
      <c r="K109" s="200">
        <f t="shared" si="33"/>
        <v>0.27429999999999999</v>
      </c>
      <c r="L109" s="97">
        <f t="shared" si="33"/>
        <v>0</v>
      </c>
      <c r="M109" s="97">
        <f t="shared" si="33"/>
        <v>0.45960000000000001</v>
      </c>
      <c r="N109" s="121">
        <f t="shared" si="33"/>
        <v>0.35489999999999999</v>
      </c>
      <c r="O109" s="121">
        <f t="shared" si="33"/>
        <v>1.4003000000000001</v>
      </c>
      <c r="P109" s="121">
        <f t="shared" ref="P109:P116" si="37">SUM(Q109:T109)</f>
        <v>1.8143</v>
      </c>
      <c r="Q109" s="121">
        <f t="shared" si="34"/>
        <v>0.31730000000000003</v>
      </c>
      <c r="R109" s="121">
        <f t="shared" si="34"/>
        <v>0.80759999999999998</v>
      </c>
      <c r="S109" s="121">
        <f t="shared" si="34"/>
        <v>0.36890000000000001</v>
      </c>
      <c r="T109" s="97">
        <f t="shared" si="34"/>
        <v>0.32050000000000001</v>
      </c>
      <c r="U109" s="97">
        <f t="shared" ref="U109:U116" si="38">SUM(V109:Y109)</f>
        <v>2.2049059999999998</v>
      </c>
      <c r="V109" s="97">
        <f t="shared" si="35"/>
        <v>2.1190000000000001E-2</v>
      </c>
      <c r="W109" s="97">
        <f t="shared" si="35"/>
        <v>2.144536</v>
      </c>
      <c r="X109" s="97">
        <f t="shared" si="35"/>
        <v>3.918E-2</v>
      </c>
    </row>
    <row r="110" spans="1:24">
      <c r="A110" s="243"/>
      <c r="B110" s="4" t="s">
        <v>53</v>
      </c>
      <c r="C110" s="97">
        <f t="shared" si="31"/>
        <v>1260.7030769999999</v>
      </c>
      <c r="D110" s="97">
        <f t="shared" si="32"/>
        <v>620.23094700000001</v>
      </c>
      <c r="E110" s="97">
        <f t="shared" si="32"/>
        <v>78.003877000000003</v>
      </c>
      <c r="F110" s="97">
        <f t="shared" si="32"/>
        <v>468.13924199999997</v>
      </c>
      <c r="G110" s="97">
        <f t="shared" si="32"/>
        <v>9.9253730000000004</v>
      </c>
      <c r="H110" s="97">
        <f t="shared" si="36"/>
        <v>33.643784000000004</v>
      </c>
      <c r="I110" s="97">
        <f t="shared" si="33"/>
        <v>17.545035000000002</v>
      </c>
      <c r="J110" s="97">
        <f t="shared" si="33"/>
        <v>4.8907030000000002</v>
      </c>
      <c r="K110" s="200">
        <f t="shared" si="33"/>
        <v>4.7209410000000007</v>
      </c>
      <c r="L110" s="97">
        <f t="shared" si="33"/>
        <v>0</v>
      </c>
      <c r="M110" s="97">
        <f t="shared" si="33"/>
        <v>2.1787200000000002</v>
      </c>
      <c r="N110" s="121">
        <f t="shared" si="33"/>
        <v>4.3083849999999995</v>
      </c>
      <c r="O110" s="121">
        <f t="shared" si="33"/>
        <v>7.7418899999999997</v>
      </c>
      <c r="P110" s="121">
        <f t="shared" si="37"/>
        <v>35.134165000000003</v>
      </c>
      <c r="Q110" s="121">
        <f t="shared" si="34"/>
        <v>1.9766360000000001</v>
      </c>
      <c r="R110" s="121">
        <f t="shared" si="34"/>
        <v>19.373682000000002</v>
      </c>
      <c r="S110" s="121">
        <f t="shared" si="34"/>
        <v>10.799213999999999</v>
      </c>
      <c r="T110" s="97">
        <f t="shared" si="34"/>
        <v>2.9846330000000001</v>
      </c>
      <c r="U110" s="97">
        <f t="shared" si="38"/>
        <v>7.8837989999999998</v>
      </c>
      <c r="V110" s="97">
        <f t="shared" si="35"/>
        <v>1.091761</v>
      </c>
      <c r="W110" s="97">
        <f t="shared" si="35"/>
        <v>0.494618</v>
      </c>
      <c r="X110" s="97">
        <f t="shared" si="35"/>
        <v>6.2974199999999998</v>
      </c>
    </row>
    <row r="111" spans="1:24">
      <c r="A111" s="243"/>
      <c r="B111" s="4" t="s">
        <v>54</v>
      </c>
      <c r="C111" s="97">
        <f t="shared" si="31"/>
        <v>3475.8489389999995</v>
      </c>
      <c r="D111" s="97">
        <f t="shared" si="32"/>
        <v>-11.359667</v>
      </c>
      <c r="E111" s="97">
        <f t="shared" si="32"/>
        <v>683.89088500000003</v>
      </c>
      <c r="F111" s="97">
        <f t="shared" si="32"/>
        <v>2067.5089749999997</v>
      </c>
      <c r="G111" s="97">
        <f t="shared" si="32"/>
        <v>118.15684899999999</v>
      </c>
      <c r="H111" s="97">
        <f t="shared" si="36"/>
        <v>265.36054000000001</v>
      </c>
      <c r="I111" s="97">
        <f t="shared" si="33"/>
        <v>71.579017000000007</v>
      </c>
      <c r="J111" s="97">
        <f t="shared" si="33"/>
        <v>65.441349000000002</v>
      </c>
      <c r="K111" s="200">
        <f t="shared" si="33"/>
        <v>42.720666999999999</v>
      </c>
      <c r="L111" s="97">
        <f t="shared" si="33"/>
        <v>0</v>
      </c>
      <c r="M111" s="97">
        <f t="shared" si="33"/>
        <v>27.923767999999999</v>
      </c>
      <c r="N111" s="121">
        <f t="shared" si="33"/>
        <v>57.695739000000003</v>
      </c>
      <c r="O111" s="121">
        <f t="shared" si="33"/>
        <v>103.82289499999999</v>
      </c>
      <c r="P111" s="121">
        <f t="shared" si="37"/>
        <v>149.41288699999998</v>
      </c>
      <c r="Q111" s="121">
        <f t="shared" si="34"/>
        <v>25.152694</v>
      </c>
      <c r="R111" s="121">
        <f t="shared" si="34"/>
        <v>69.510487999999995</v>
      </c>
      <c r="S111" s="121">
        <f t="shared" si="34"/>
        <v>40.189019000000002</v>
      </c>
      <c r="T111" s="97">
        <f t="shared" si="34"/>
        <v>14.560685999999999</v>
      </c>
      <c r="U111" s="97">
        <f t="shared" si="38"/>
        <v>99.055575000000005</v>
      </c>
      <c r="V111" s="97">
        <f t="shared" si="35"/>
        <v>7.5558670000000001</v>
      </c>
      <c r="W111" s="97">
        <f t="shared" si="35"/>
        <v>6.6719339999999994</v>
      </c>
      <c r="X111" s="97">
        <f t="shared" si="35"/>
        <v>84.827774000000005</v>
      </c>
    </row>
    <row r="112" spans="1:24">
      <c r="A112" s="243"/>
      <c r="B112" s="4" t="s">
        <v>55</v>
      </c>
      <c r="C112" s="97">
        <f t="shared" si="31"/>
        <v>10</v>
      </c>
      <c r="D112" s="97">
        <f t="shared" si="32"/>
        <v>0</v>
      </c>
      <c r="E112" s="97">
        <f t="shared" si="32"/>
        <v>0</v>
      </c>
      <c r="F112" s="97">
        <f t="shared" si="32"/>
        <v>10</v>
      </c>
      <c r="G112" s="97">
        <f t="shared" si="32"/>
        <v>0</v>
      </c>
      <c r="H112" s="97">
        <f t="shared" si="36"/>
        <v>0</v>
      </c>
      <c r="I112" s="97">
        <f t="shared" si="33"/>
        <v>0</v>
      </c>
      <c r="J112" s="97">
        <f t="shared" si="33"/>
        <v>0</v>
      </c>
      <c r="K112" s="200">
        <f t="shared" si="33"/>
        <v>0</v>
      </c>
      <c r="L112" s="97">
        <f t="shared" si="33"/>
        <v>0</v>
      </c>
      <c r="M112" s="97">
        <f t="shared" si="33"/>
        <v>0</v>
      </c>
      <c r="N112" s="121">
        <f t="shared" si="33"/>
        <v>0</v>
      </c>
      <c r="O112" s="121">
        <f t="shared" si="33"/>
        <v>0</v>
      </c>
      <c r="P112" s="121">
        <f t="shared" si="37"/>
        <v>0</v>
      </c>
      <c r="Q112" s="121">
        <f t="shared" si="34"/>
        <v>0</v>
      </c>
      <c r="R112" s="121">
        <f t="shared" si="34"/>
        <v>0</v>
      </c>
      <c r="S112" s="121">
        <f t="shared" si="34"/>
        <v>0</v>
      </c>
      <c r="T112" s="97">
        <f t="shared" si="34"/>
        <v>0</v>
      </c>
      <c r="U112" s="97">
        <f t="shared" si="38"/>
        <v>0</v>
      </c>
      <c r="V112" s="97">
        <f t="shared" si="35"/>
        <v>0</v>
      </c>
      <c r="W112" s="97">
        <f t="shared" si="35"/>
        <v>0</v>
      </c>
      <c r="X112" s="97">
        <f t="shared" si="35"/>
        <v>0</v>
      </c>
    </row>
    <row r="113" spans="1:24">
      <c r="A113" s="243"/>
      <c r="B113" s="4" t="s">
        <v>56</v>
      </c>
      <c r="C113" s="97">
        <f t="shared" si="31"/>
        <v>156.830004</v>
      </c>
      <c r="D113" s="97">
        <f t="shared" si="32"/>
        <v>0</v>
      </c>
      <c r="E113" s="97">
        <f t="shared" si="32"/>
        <v>30.360800000000001</v>
      </c>
      <c r="F113" s="97">
        <f t="shared" si="32"/>
        <v>72.687303999999997</v>
      </c>
      <c r="G113" s="97">
        <f t="shared" si="32"/>
        <v>6.8714000000000004</v>
      </c>
      <c r="H113" s="97">
        <f t="shared" si="36"/>
        <v>12.947100000000001</v>
      </c>
      <c r="I113" s="97">
        <f t="shared" si="33"/>
        <v>3.2372000000000001</v>
      </c>
      <c r="J113" s="97">
        <f t="shared" si="33"/>
        <v>2.8334000000000001</v>
      </c>
      <c r="K113" s="200">
        <f t="shared" si="33"/>
        <v>1.6186</v>
      </c>
      <c r="L113" s="97">
        <f t="shared" si="33"/>
        <v>0</v>
      </c>
      <c r="M113" s="97">
        <f t="shared" si="33"/>
        <v>1.2131000000000001</v>
      </c>
      <c r="N113" s="121">
        <f t="shared" si="33"/>
        <v>4.0448000000000004</v>
      </c>
      <c r="O113" s="121">
        <f t="shared" si="33"/>
        <v>8.4916999999999998</v>
      </c>
      <c r="P113" s="121">
        <f t="shared" si="37"/>
        <v>14.553799999999999</v>
      </c>
      <c r="Q113" s="121">
        <f t="shared" si="34"/>
        <v>2.0240999999999998</v>
      </c>
      <c r="R113" s="121">
        <f t="shared" si="34"/>
        <v>5.6566000000000001</v>
      </c>
      <c r="S113" s="121">
        <f t="shared" si="34"/>
        <v>4.4451999999999998</v>
      </c>
      <c r="T113" s="97">
        <f t="shared" si="34"/>
        <v>2.4279000000000002</v>
      </c>
      <c r="U113" s="97">
        <f t="shared" si="38"/>
        <v>10.917900000000001</v>
      </c>
      <c r="V113" s="97">
        <f t="shared" si="35"/>
        <v>1.2148000000000001</v>
      </c>
      <c r="W113" s="97">
        <f t="shared" si="35"/>
        <v>1.2148000000000001</v>
      </c>
      <c r="X113" s="97">
        <f t="shared" si="35"/>
        <v>8.4883000000000006</v>
      </c>
    </row>
    <row r="114" spans="1:24">
      <c r="A114" s="243"/>
      <c r="B114" s="4" t="s">
        <v>57</v>
      </c>
      <c r="C114" s="97">
        <f t="shared" si="31"/>
        <v>364.24201100000005</v>
      </c>
      <c r="D114" s="97">
        <f t="shared" si="32"/>
        <v>0.504</v>
      </c>
      <c r="E114" s="97">
        <f t="shared" si="32"/>
        <v>85.767600000000002</v>
      </c>
      <c r="F114" s="97">
        <f t="shared" si="32"/>
        <v>189.53461100000001</v>
      </c>
      <c r="G114" s="97">
        <f t="shared" si="32"/>
        <v>13.02</v>
      </c>
      <c r="H114" s="97">
        <f t="shared" si="36"/>
        <v>25.0778</v>
      </c>
      <c r="I114" s="97">
        <f t="shared" si="33"/>
        <v>8.2720000000000002</v>
      </c>
      <c r="J114" s="97">
        <f t="shared" si="33"/>
        <v>5.8360000000000003</v>
      </c>
      <c r="K114" s="200">
        <f t="shared" si="33"/>
        <v>3.2480000000000002</v>
      </c>
      <c r="L114" s="97">
        <f t="shared" si="33"/>
        <v>0</v>
      </c>
      <c r="M114" s="97">
        <f t="shared" si="33"/>
        <v>2.6040000000000001</v>
      </c>
      <c r="N114" s="121">
        <f t="shared" si="33"/>
        <v>5.1177999999999999</v>
      </c>
      <c r="O114" s="121">
        <f t="shared" si="33"/>
        <v>15.3</v>
      </c>
      <c r="P114" s="121">
        <f t="shared" si="37"/>
        <v>23.026</v>
      </c>
      <c r="Q114" s="121">
        <f t="shared" si="34"/>
        <v>3.7280000000000002</v>
      </c>
      <c r="R114" s="121">
        <f t="shared" si="34"/>
        <v>10.374000000000001</v>
      </c>
      <c r="S114" s="121">
        <f t="shared" si="34"/>
        <v>5.4859999999999998</v>
      </c>
      <c r="T114" s="97">
        <f t="shared" si="34"/>
        <v>3.4380000000000002</v>
      </c>
      <c r="U114" s="97">
        <f t="shared" si="38"/>
        <v>12.011999999999999</v>
      </c>
      <c r="V114" s="97">
        <f t="shared" si="35"/>
        <v>0.754</v>
      </c>
      <c r="W114" s="97">
        <f t="shared" si="35"/>
        <v>0.94599999999999995</v>
      </c>
      <c r="X114" s="97">
        <f t="shared" si="35"/>
        <v>10.311999999999999</v>
      </c>
    </row>
    <row r="115" spans="1:24">
      <c r="A115" s="243"/>
      <c r="B115" s="4" t="s">
        <v>58</v>
      </c>
      <c r="C115" s="97">
        <f t="shared" si="31"/>
        <v>378.91175999999996</v>
      </c>
      <c r="D115" s="97">
        <f t="shared" si="32"/>
        <v>6</v>
      </c>
      <c r="E115" s="97">
        <f t="shared" si="32"/>
        <v>207.11062999999999</v>
      </c>
      <c r="F115" s="97">
        <f t="shared" si="32"/>
        <v>96.091051000000007</v>
      </c>
      <c r="G115" s="97">
        <f t="shared" si="32"/>
        <v>4.9992000000000001</v>
      </c>
      <c r="H115" s="97">
        <f t="shared" si="36"/>
        <v>27.796613000000001</v>
      </c>
      <c r="I115" s="97">
        <f t="shared" si="33"/>
        <v>7.1745000000000001</v>
      </c>
      <c r="J115" s="97">
        <f t="shared" si="33"/>
        <v>5.498189</v>
      </c>
      <c r="K115" s="200">
        <f t="shared" si="33"/>
        <v>4.1246999999999998</v>
      </c>
      <c r="L115" s="97">
        <f t="shared" si="33"/>
        <v>0</v>
      </c>
      <c r="M115" s="97">
        <f t="shared" si="33"/>
        <v>5.4996239999999998</v>
      </c>
      <c r="N115" s="121">
        <f t="shared" si="33"/>
        <v>5.4996</v>
      </c>
      <c r="O115" s="121">
        <f t="shared" si="33"/>
        <v>6.8014199999999994</v>
      </c>
      <c r="P115" s="121">
        <f t="shared" si="37"/>
        <v>25.113646000000003</v>
      </c>
      <c r="Q115" s="121">
        <f t="shared" si="34"/>
        <v>8.4910460000000008</v>
      </c>
      <c r="R115" s="121">
        <f t="shared" si="34"/>
        <v>4.9983000000000004</v>
      </c>
      <c r="S115" s="121">
        <f t="shared" si="34"/>
        <v>2.2915000000000001</v>
      </c>
      <c r="T115" s="97">
        <f t="shared" si="34"/>
        <v>9.3328000000000007</v>
      </c>
      <c r="U115" s="97">
        <f t="shared" si="38"/>
        <v>4.9992000000000001</v>
      </c>
      <c r="V115" s="97">
        <f t="shared" si="35"/>
        <v>1.6664000000000001</v>
      </c>
      <c r="W115" s="97">
        <f t="shared" si="35"/>
        <v>1.2498</v>
      </c>
      <c r="X115" s="97">
        <f t="shared" si="35"/>
        <v>2.0830000000000002</v>
      </c>
    </row>
    <row r="116" spans="1:24">
      <c r="A116" s="243"/>
      <c r="B116" s="4" t="s">
        <v>59</v>
      </c>
      <c r="C116" s="97">
        <f t="shared" si="31"/>
        <v>33765.011343999999</v>
      </c>
      <c r="D116" s="97">
        <f t="shared" si="32"/>
        <v>33760.610131000001</v>
      </c>
      <c r="E116" s="97">
        <f t="shared" si="32"/>
        <v>4.4012130000000003</v>
      </c>
      <c r="F116" s="97">
        <f t="shared" si="32"/>
        <v>0</v>
      </c>
      <c r="G116" s="97">
        <f t="shared" si="32"/>
        <v>0</v>
      </c>
      <c r="H116" s="97">
        <f t="shared" si="36"/>
        <v>0</v>
      </c>
      <c r="I116" s="97">
        <f t="shared" si="33"/>
        <v>0</v>
      </c>
      <c r="J116" s="97">
        <f t="shared" si="33"/>
        <v>0</v>
      </c>
      <c r="K116" s="200">
        <f t="shared" si="33"/>
        <v>0</v>
      </c>
      <c r="L116" s="97">
        <f t="shared" si="33"/>
        <v>0</v>
      </c>
      <c r="M116" s="97">
        <f t="shared" si="33"/>
        <v>0</v>
      </c>
      <c r="N116" s="121">
        <f t="shared" si="33"/>
        <v>0</v>
      </c>
      <c r="O116" s="121">
        <f t="shared" si="33"/>
        <v>0</v>
      </c>
      <c r="P116" s="121">
        <f t="shared" si="37"/>
        <v>0</v>
      </c>
      <c r="Q116" s="121">
        <f t="shared" si="34"/>
        <v>0</v>
      </c>
      <c r="R116" s="121">
        <f t="shared" si="34"/>
        <v>0</v>
      </c>
      <c r="S116" s="121">
        <f t="shared" si="34"/>
        <v>0</v>
      </c>
      <c r="T116" s="97">
        <f t="shared" si="34"/>
        <v>0</v>
      </c>
      <c r="U116" s="97">
        <f t="shared" si="38"/>
        <v>0</v>
      </c>
      <c r="V116" s="97">
        <f t="shared" si="35"/>
        <v>0</v>
      </c>
      <c r="W116" s="97">
        <f t="shared" si="35"/>
        <v>0</v>
      </c>
      <c r="X116" s="97">
        <f t="shared" si="35"/>
        <v>0</v>
      </c>
    </row>
    <row r="117" spans="1:24">
      <c r="A117" s="244"/>
      <c r="B117" s="4" t="s">
        <v>60</v>
      </c>
      <c r="C117" s="98">
        <f>SUM(C108:C116)</f>
        <v>54026.890390999994</v>
      </c>
      <c r="D117" s="98">
        <f>SUM(D108:D116)</f>
        <v>34061.14877</v>
      </c>
      <c r="E117" s="98">
        <f t="shared" ref="E117" si="39">SUM(E108:E116)</f>
        <v>4923.065697</v>
      </c>
      <c r="F117" s="98">
        <f t="shared" ref="F117" si="40">SUM(F108:F116)</f>
        <v>10522.300795999996</v>
      </c>
      <c r="G117" s="98">
        <f t="shared" ref="G117:H117" si="41">SUM(G108:G116)</f>
        <v>686.38686699999994</v>
      </c>
      <c r="H117" s="98">
        <f t="shared" si="41"/>
        <v>1532.2009730000002</v>
      </c>
      <c r="I117" s="98">
        <f t="shared" ref="I117" si="42">SUM(I108:I116)</f>
        <v>455.60523799999993</v>
      </c>
      <c r="J117" s="98">
        <f t="shared" ref="J117" si="43">SUM(J108:J116)</f>
        <v>345.60985099999999</v>
      </c>
      <c r="K117" s="201">
        <f t="shared" ref="K117" si="44">SUM(K108:K116)</f>
        <v>230.12407499999998</v>
      </c>
      <c r="L117" s="98">
        <f t="shared" ref="L117" si="45">SUM(L108:L116)</f>
        <v>0</v>
      </c>
      <c r="M117" s="98">
        <f t="shared" ref="M117" si="46">SUM(M108:M116)</f>
        <v>186.89734300000001</v>
      </c>
      <c r="N117" s="100">
        <f t="shared" ref="N117" si="47">SUM(N108:N116)</f>
        <v>313.96446599999996</v>
      </c>
      <c r="O117" s="100">
        <f t="shared" ref="O117" si="48">SUM(O108:O116)</f>
        <v>556.28959800000007</v>
      </c>
      <c r="P117" s="100">
        <f t="shared" ref="P117" si="49">SUM(P108:P116)</f>
        <v>1207.375129</v>
      </c>
      <c r="Q117" s="100">
        <f t="shared" ref="Q117" si="50">SUM(Q108:Q116)</f>
        <v>144.30471600000004</v>
      </c>
      <c r="R117" s="100">
        <f t="shared" ref="R117" si="51">SUM(R108:R116)</f>
        <v>431.73238200000003</v>
      </c>
      <c r="S117" s="100">
        <f t="shared" ref="S117" si="52">SUM(S108:S116)</f>
        <v>434.89556499999998</v>
      </c>
      <c r="T117" s="98">
        <f t="shared" ref="T117" si="53">SUM(T108:T116)</f>
        <v>196.442466</v>
      </c>
      <c r="U117" s="98">
        <f t="shared" ref="U117" si="54">SUM(U108:U116)</f>
        <v>538.12256099999991</v>
      </c>
      <c r="V117" s="98">
        <f t="shared" ref="V117" si="55">SUM(V108:V116)</f>
        <v>66.648162999999997</v>
      </c>
      <c r="W117" s="98">
        <f t="shared" ref="W117" si="56">SUM(W108:W116)</f>
        <v>38.210050999999993</v>
      </c>
      <c r="X117" s="98">
        <f t="shared" ref="X117" si="57">SUM(X108:X116)</f>
        <v>433.26434699999999</v>
      </c>
    </row>
    <row r="118" spans="1:24">
      <c r="A118" s="245" t="s">
        <v>61</v>
      </c>
      <c r="B118" s="9" t="s">
        <v>62</v>
      </c>
      <c r="C118" s="97">
        <f t="shared" si="31"/>
        <v>10861.558191999999</v>
      </c>
      <c r="D118" s="97">
        <f t="shared" ref="D118:G121" si="58">D14+D66</f>
        <v>424.25499999999994</v>
      </c>
      <c r="E118" s="97">
        <f t="shared" si="58"/>
        <v>0</v>
      </c>
      <c r="F118" s="97">
        <f t="shared" si="58"/>
        <v>10427.643192</v>
      </c>
      <c r="G118" s="97">
        <f t="shared" si="58"/>
        <v>0</v>
      </c>
      <c r="H118" s="97">
        <f t="shared" ref="H118:H121" si="59">SUM(I118:N118)</f>
        <v>9.66</v>
      </c>
      <c r="I118" s="97">
        <f t="shared" ref="I118:O121" si="60">I14+I66</f>
        <v>0</v>
      </c>
      <c r="J118" s="97">
        <f t="shared" si="60"/>
        <v>0</v>
      </c>
      <c r="K118" s="200">
        <f t="shared" si="60"/>
        <v>9.66</v>
      </c>
      <c r="L118" s="97">
        <f t="shared" si="60"/>
        <v>0</v>
      </c>
      <c r="M118" s="97">
        <f t="shared" si="60"/>
        <v>0</v>
      </c>
      <c r="N118" s="121">
        <f t="shared" si="60"/>
        <v>0</v>
      </c>
      <c r="O118" s="121">
        <f t="shared" si="60"/>
        <v>0</v>
      </c>
      <c r="P118" s="121">
        <f>SUM(Q118:T118)</f>
        <v>0</v>
      </c>
      <c r="Q118" s="121">
        <f t="shared" ref="Q118:T121" si="61">Q14+Q66</f>
        <v>0</v>
      </c>
      <c r="R118" s="121">
        <f t="shared" si="61"/>
        <v>0</v>
      </c>
      <c r="S118" s="121">
        <f t="shared" si="61"/>
        <v>0</v>
      </c>
      <c r="T118" s="97">
        <f t="shared" si="61"/>
        <v>0</v>
      </c>
      <c r="U118" s="97">
        <f>SUM(V118:Y118)</f>
        <v>0</v>
      </c>
      <c r="V118" s="97">
        <f t="shared" ref="V118:X121" si="62">V14+V66</f>
        <v>0</v>
      </c>
      <c r="W118" s="97">
        <f t="shared" si="62"/>
        <v>0</v>
      </c>
      <c r="X118" s="97">
        <f t="shared" si="62"/>
        <v>0</v>
      </c>
    </row>
    <row r="119" spans="1:24">
      <c r="A119" s="246"/>
      <c r="B119" s="9" t="s">
        <v>63</v>
      </c>
      <c r="C119" s="97">
        <f t="shared" si="31"/>
        <v>3010.1988420000002</v>
      </c>
      <c r="D119" s="97">
        <f t="shared" si="58"/>
        <v>59.806470999999995</v>
      </c>
      <c r="E119" s="97">
        <f t="shared" si="58"/>
        <v>0</v>
      </c>
      <c r="F119" s="97">
        <f t="shared" si="58"/>
        <v>723.87314400000002</v>
      </c>
      <c r="G119" s="97">
        <f t="shared" si="58"/>
        <v>154.046685</v>
      </c>
      <c r="H119" s="97">
        <f t="shared" si="59"/>
        <v>9.6657530000000005</v>
      </c>
      <c r="I119" s="97">
        <f t="shared" si="60"/>
        <v>0</v>
      </c>
      <c r="J119" s="97">
        <f t="shared" si="60"/>
        <v>0</v>
      </c>
      <c r="K119" s="200">
        <f t="shared" si="60"/>
        <v>9.6657530000000005</v>
      </c>
      <c r="L119" s="97">
        <f t="shared" si="60"/>
        <v>0</v>
      </c>
      <c r="M119" s="97">
        <f t="shared" si="60"/>
        <v>0</v>
      </c>
      <c r="N119" s="121">
        <f t="shared" si="60"/>
        <v>0</v>
      </c>
      <c r="O119" s="121">
        <f t="shared" si="60"/>
        <v>333.67667699999998</v>
      </c>
      <c r="P119" s="121">
        <f t="shared" ref="P119:P120" si="63">SUM(Q119:T119)</f>
        <v>1727.0301120000001</v>
      </c>
      <c r="Q119" s="121">
        <f t="shared" si="61"/>
        <v>0</v>
      </c>
      <c r="R119" s="121">
        <f t="shared" si="61"/>
        <v>1708.8101120000001</v>
      </c>
      <c r="S119" s="121">
        <f t="shared" si="61"/>
        <v>18.22</v>
      </c>
      <c r="T119" s="97">
        <f t="shared" si="61"/>
        <v>0</v>
      </c>
      <c r="U119" s="97">
        <f t="shared" ref="U119:U120" si="64">SUM(V119:Y119)</f>
        <v>2.1</v>
      </c>
      <c r="V119" s="97">
        <f t="shared" si="62"/>
        <v>2.1</v>
      </c>
      <c r="W119" s="97">
        <f t="shared" si="62"/>
        <v>0</v>
      </c>
      <c r="X119" s="97">
        <f t="shared" si="62"/>
        <v>0</v>
      </c>
    </row>
    <row r="120" spans="1:24">
      <c r="A120" s="246"/>
      <c r="B120" s="9" t="s">
        <v>64</v>
      </c>
      <c r="C120" s="97">
        <f t="shared" si="31"/>
        <v>2426.7530650000003</v>
      </c>
      <c r="D120" s="97">
        <f t="shared" si="58"/>
        <v>-407.255695</v>
      </c>
      <c r="E120" s="97">
        <f t="shared" si="58"/>
        <v>0</v>
      </c>
      <c r="F120" s="97">
        <f t="shared" si="58"/>
        <v>1768.8156040000008</v>
      </c>
      <c r="G120" s="97">
        <f t="shared" si="58"/>
        <v>524.70755999999994</v>
      </c>
      <c r="H120" s="97">
        <f t="shared" si="59"/>
        <v>377.38096100000001</v>
      </c>
      <c r="I120" s="97">
        <f t="shared" si="60"/>
        <v>244.17473100000001</v>
      </c>
      <c r="J120" s="97">
        <f>J16+J68</f>
        <v>121.894778</v>
      </c>
      <c r="K120" s="200">
        <f t="shared" si="60"/>
        <v>1.740216</v>
      </c>
      <c r="L120" s="97">
        <f t="shared" si="60"/>
        <v>0</v>
      </c>
      <c r="M120" s="97">
        <f t="shared" si="60"/>
        <v>2.6519999999999998E-3</v>
      </c>
      <c r="N120" s="121">
        <f>N16+N68</f>
        <v>9.5685839999999995</v>
      </c>
      <c r="O120" s="121">
        <f t="shared" si="60"/>
        <v>24.611977000000003</v>
      </c>
      <c r="P120" s="121">
        <f t="shared" si="63"/>
        <v>138.419532</v>
      </c>
      <c r="Q120" s="121">
        <f t="shared" si="61"/>
        <v>0.28790000000000049</v>
      </c>
      <c r="R120" s="121">
        <f t="shared" si="61"/>
        <v>130.61953199999999</v>
      </c>
      <c r="S120" s="121">
        <f t="shared" si="61"/>
        <v>2.58</v>
      </c>
      <c r="T120" s="97">
        <f t="shared" si="61"/>
        <v>4.9320999999999993</v>
      </c>
      <c r="U120" s="97">
        <f t="shared" si="64"/>
        <v>7.3125999999999997E-2</v>
      </c>
      <c r="V120" s="97">
        <f t="shared" si="62"/>
        <v>7.3125999999999997E-2</v>
      </c>
      <c r="W120" s="97">
        <f t="shared" si="62"/>
        <v>0</v>
      </c>
      <c r="X120" s="97">
        <f t="shared" si="62"/>
        <v>0</v>
      </c>
    </row>
    <row r="121" spans="1:24">
      <c r="A121" s="246"/>
      <c r="B121" s="9" t="s">
        <v>65</v>
      </c>
      <c r="C121" s="97">
        <f t="shared" si="31"/>
        <v>1654.4495229999998</v>
      </c>
      <c r="D121" s="97">
        <f t="shared" si="58"/>
        <v>0</v>
      </c>
      <c r="E121" s="97">
        <f t="shared" si="58"/>
        <v>0</v>
      </c>
      <c r="F121" s="97">
        <f t="shared" si="58"/>
        <v>1567.5263769999997</v>
      </c>
      <c r="G121" s="97">
        <f t="shared" si="58"/>
        <v>37.596486999999996</v>
      </c>
      <c r="H121" s="97">
        <f t="shared" si="59"/>
        <v>48.526659000000002</v>
      </c>
      <c r="I121" s="97">
        <f t="shared" si="60"/>
        <v>2</v>
      </c>
      <c r="J121" s="97">
        <f t="shared" si="60"/>
        <v>41.047207</v>
      </c>
      <c r="K121" s="200">
        <f t="shared" si="60"/>
        <v>0</v>
      </c>
      <c r="L121" s="97">
        <f t="shared" si="60"/>
        <v>0</v>
      </c>
      <c r="M121" s="97">
        <f t="shared" si="60"/>
        <v>0</v>
      </c>
      <c r="N121" s="121">
        <f t="shared" si="60"/>
        <v>5.4794519999999993</v>
      </c>
      <c r="O121" s="121">
        <f t="shared" si="60"/>
        <v>0</v>
      </c>
      <c r="P121" s="121">
        <f>SUM(Q121:T121)</f>
        <v>0.8</v>
      </c>
      <c r="Q121" s="121">
        <f t="shared" si="61"/>
        <v>0</v>
      </c>
      <c r="R121" s="121">
        <f t="shared" si="61"/>
        <v>0.8</v>
      </c>
      <c r="S121" s="121">
        <f t="shared" si="61"/>
        <v>0</v>
      </c>
      <c r="T121" s="97">
        <f t="shared" si="61"/>
        <v>0</v>
      </c>
      <c r="U121" s="97">
        <f>SUM(V121:Y121)</f>
        <v>0</v>
      </c>
      <c r="V121" s="97">
        <f t="shared" si="62"/>
        <v>0</v>
      </c>
      <c r="W121" s="97">
        <f t="shared" si="62"/>
        <v>0</v>
      </c>
      <c r="X121" s="97">
        <f t="shared" si="62"/>
        <v>0</v>
      </c>
    </row>
    <row r="122" spans="1:24">
      <c r="A122" s="247"/>
      <c r="B122" s="9" t="s">
        <v>66</v>
      </c>
      <c r="C122" s="98">
        <f>SUM(C118:C121)</f>
        <v>17952.959621999998</v>
      </c>
      <c r="D122" s="98">
        <f>SUM(D118:D121)</f>
        <v>76.805775999999923</v>
      </c>
      <c r="E122" s="98">
        <f t="shared" ref="E122" si="65">SUM(E118:E121)</f>
        <v>0</v>
      </c>
      <c r="F122" s="98">
        <f>SUM(F118:F121)</f>
        <v>14487.858317</v>
      </c>
      <c r="G122" s="98">
        <f t="shared" ref="G122:H122" si="66">SUM(G118:G121)</f>
        <v>716.35073199999999</v>
      </c>
      <c r="H122" s="98">
        <f t="shared" si="66"/>
        <v>445.23337300000003</v>
      </c>
      <c r="I122" s="98">
        <f t="shared" ref="I122" si="67">SUM(I118:I121)</f>
        <v>246.17473100000001</v>
      </c>
      <c r="J122" s="98">
        <f t="shared" ref="J122" si="68">SUM(J118:J121)</f>
        <v>162.94198499999999</v>
      </c>
      <c r="K122" s="201">
        <f t="shared" ref="K122" si="69">SUM(K118:K121)</f>
        <v>21.065968999999999</v>
      </c>
      <c r="L122" s="98">
        <f t="shared" ref="L122" si="70">SUM(L118:L121)</f>
        <v>0</v>
      </c>
      <c r="M122" s="98">
        <f t="shared" ref="M122" si="71">SUM(M118:M121)</f>
        <v>2.6519999999999998E-3</v>
      </c>
      <c r="N122" s="100">
        <f t="shared" ref="N122" si="72">SUM(N118:N121)</f>
        <v>15.048036</v>
      </c>
      <c r="O122" s="100">
        <f t="shared" ref="O122" si="73">SUM(O118:O121)</f>
        <v>358.28865400000001</v>
      </c>
      <c r="P122" s="100">
        <f t="shared" ref="P122" si="74">SUM(P118:P121)</f>
        <v>1866.2496440000002</v>
      </c>
      <c r="Q122" s="100">
        <f t="shared" ref="Q122" si="75">SUM(Q118:Q121)</f>
        <v>0.28790000000000049</v>
      </c>
      <c r="R122" s="100">
        <f t="shared" ref="R122" si="76">SUM(R118:R121)</f>
        <v>1840.229644</v>
      </c>
      <c r="S122" s="100">
        <f t="shared" ref="S122" si="77">SUM(S118:S121)</f>
        <v>20.799999999999997</v>
      </c>
      <c r="T122" s="98">
        <f t="shared" ref="T122" si="78">SUM(T118:T121)</f>
        <v>4.9320999999999993</v>
      </c>
      <c r="U122" s="98">
        <f t="shared" ref="U122" si="79">SUM(U118:U121)</f>
        <v>2.1731259999999999</v>
      </c>
      <c r="V122" s="98">
        <f t="shared" ref="V122" si="80">SUM(V118:V121)</f>
        <v>2.1731259999999999</v>
      </c>
      <c r="W122" s="98">
        <f t="shared" ref="W122" si="81">SUM(W118:W121)</f>
        <v>0</v>
      </c>
      <c r="X122" s="98">
        <f t="shared" ref="X122" si="82">SUM(X118:X121)</f>
        <v>0</v>
      </c>
    </row>
    <row r="123" spans="1:24">
      <c r="A123" s="248" t="s">
        <v>67</v>
      </c>
      <c r="B123" s="9" t="s">
        <v>68</v>
      </c>
      <c r="C123" s="97">
        <f t="shared" si="31"/>
        <v>3079.2159579999998</v>
      </c>
      <c r="D123" s="97">
        <f t="shared" ref="D123:G146" si="83">D19+D71</f>
        <v>17.854600000000005</v>
      </c>
      <c r="E123" s="97">
        <f t="shared" si="83"/>
        <v>486.52902800000004</v>
      </c>
      <c r="F123" s="97">
        <f t="shared" si="83"/>
        <v>1229.6540759999998</v>
      </c>
      <c r="G123" s="97">
        <f t="shared" si="83"/>
        <v>239.94982000000002</v>
      </c>
      <c r="H123" s="97">
        <f>SUM(I123:N123)</f>
        <v>180.45722000000001</v>
      </c>
      <c r="I123" s="97">
        <f>I19+I71</f>
        <v>70.760428000000005</v>
      </c>
      <c r="J123" s="97">
        <f t="shared" ref="I123:O132" si="84">J19+J71</f>
        <v>48.410830000000004</v>
      </c>
      <c r="K123" s="200">
        <f t="shared" si="84"/>
        <v>31.062100000000001</v>
      </c>
      <c r="L123" s="97">
        <f t="shared" si="84"/>
        <v>0</v>
      </c>
      <c r="M123" s="97">
        <f t="shared" si="84"/>
        <v>7.5329589999999991</v>
      </c>
      <c r="N123" s="121">
        <f t="shared" si="84"/>
        <v>22.690902999999999</v>
      </c>
      <c r="O123" s="121">
        <f t="shared" si="84"/>
        <v>53.300899999999999</v>
      </c>
      <c r="P123" s="121">
        <f>SUM(Q123:T123)</f>
        <v>822.94771000000003</v>
      </c>
      <c r="Q123" s="121">
        <f t="shared" ref="Q123:T146" si="85">Q19+Q71</f>
        <v>47.713988000000001</v>
      </c>
      <c r="R123" s="121">
        <f t="shared" si="85"/>
        <v>628.26308000000006</v>
      </c>
      <c r="S123" s="121">
        <f t="shared" si="85"/>
        <v>117.792542</v>
      </c>
      <c r="T123" s="97">
        <f t="shared" si="85"/>
        <v>29.178100000000001</v>
      </c>
      <c r="U123" s="97">
        <f>SUM(V123:Y123)</f>
        <v>48.522604000000001</v>
      </c>
      <c r="V123" s="97">
        <f t="shared" ref="V123:X146" si="86">V19+V71</f>
        <v>20.277796999999996</v>
      </c>
      <c r="W123" s="97">
        <f t="shared" si="86"/>
        <v>10.324427999999999</v>
      </c>
      <c r="X123" s="97">
        <f t="shared" si="86"/>
        <v>17.920379000000001</v>
      </c>
    </row>
    <row r="124" spans="1:24">
      <c r="A124" s="249"/>
      <c r="B124" s="9" t="s">
        <v>69</v>
      </c>
      <c r="C124" s="97">
        <f t="shared" si="31"/>
        <v>873.8586029999999</v>
      </c>
      <c r="D124" s="97">
        <f t="shared" si="83"/>
        <v>2.9899999999999999E-2</v>
      </c>
      <c r="E124" s="97">
        <f t="shared" si="83"/>
        <v>184.12026500000005</v>
      </c>
      <c r="F124" s="97">
        <f t="shared" si="83"/>
        <v>167.09564999999998</v>
      </c>
      <c r="G124" s="97">
        <f t="shared" si="83"/>
        <v>54.477406999999992</v>
      </c>
      <c r="H124" s="97">
        <f t="shared" ref="H124:H154" si="87">SUM(I124:N124)</f>
        <v>131.489105</v>
      </c>
      <c r="I124" s="97">
        <f t="shared" si="84"/>
        <v>54.621258999999995</v>
      </c>
      <c r="J124" s="97">
        <f t="shared" si="84"/>
        <v>20.435055999999999</v>
      </c>
      <c r="K124" s="200">
        <f t="shared" si="84"/>
        <v>27.91525</v>
      </c>
      <c r="L124" s="97">
        <f t="shared" si="84"/>
        <v>0</v>
      </c>
      <c r="M124" s="97">
        <f t="shared" si="84"/>
        <v>7.01708</v>
      </c>
      <c r="N124" s="121">
        <f t="shared" si="84"/>
        <v>21.50046</v>
      </c>
      <c r="O124" s="121">
        <f t="shared" si="84"/>
        <v>54.587060000000001</v>
      </c>
      <c r="P124" s="121">
        <f t="shared" ref="P124:P146" si="88">SUM(Q124:T124)</f>
        <v>261.15142600000001</v>
      </c>
      <c r="Q124" s="121">
        <f t="shared" si="85"/>
        <v>26.821285999999997</v>
      </c>
      <c r="R124" s="121">
        <f t="shared" si="85"/>
        <v>162.71034</v>
      </c>
      <c r="S124" s="121">
        <f t="shared" si="85"/>
        <v>49.707250000000002</v>
      </c>
      <c r="T124" s="97">
        <f t="shared" si="85"/>
        <v>21.91255</v>
      </c>
      <c r="U124" s="97">
        <f t="shared" ref="U124:U146" si="89">SUM(V124:Y124)</f>
        <v>20.907789999999999</v>
      </c>
      <c r="V124" s="97">
        <f t="shared" si="86"/>
        <v>5.6468999999999996</v>
      </c>
      <c r="W124" s="97">
        <f t="shared" si="86"/>
        <v>3.7663000000000002</v>
      </c>
      <c r="X124" s="97">
        <f t="shared" si="86"/>
        <v>11.494589999999999</v>
      </c>
    </row>
    <row r="125" spans="1:24">
      <c r="A125" s="249"/>
      <c r="B125" s="9" t="s">
        <v>70</v>
      </c>
      <c r="C125" s="97">
        <f t="shared" si="31"/>
        <v>460.36291199999994</v>
      </c>
      <c r="D125" s="97">
        <f t="shared" si="83"/>
        <v>0</v>
      </c>
      <c r="E125" s="97">
        <f t="shared" si="83"/>
        <v>135.72778300000002</v>
      </c>
      <c r="F125" s="97">
        <f t="shared" si="83"/>
        <v>290.87622299999992</v>
      </c>
      <c r="G125" s="97">
        <f t="shared" si="83"/>
        <v>3.4975870000000002</v>
      </c>
      <c r="H125" s="97">
        <f t="shared" si="87"/>
        <v>18.312511000000001</v>
      </c>
      <c r="I125" s="97">
        <f t="shared" si="84"/>
        <v>3.6783790000000001</v>
      </c>
      <c r="J125" s="97">
        <f t="shared" si="84"/>
        <v>3.6783790000000001</v>
      </c>
      <c r="K125" s="200">
        <f t="shared" si="84"/>
        <v>3.5060790000000002</v>
      </c>
      <c r="L125" s="97">
        <f t="shared" si="84"/>
        <v>0</v>
      </c>
      <c r="M125" s="97">
        <f t="shared" si="84"/>
        <v>3.7712949999999998</v>
      </c>
      <c r="N125" s="121">
        <f t="shared" si="84"/>
        <v>3.6783790000000001</v>
      </c>
      <c r="O125" s="121">
        <f t="shared" si="84"/>
        <v>0</v>
      </c>
      <c r="P125" s="121">
        <f t="shared" si="88"/>
        <v>6.9436230000000005</v>
      </c>
      <c r="Q125" s="121">
        <f t="shared" si="85"/>
        <v>1.7359060000000002</v>
      </c>
      <c r="R125" s="121">
        <f t="shared" si="85"/>
        <v>1.7359060000000002</v>
      </c>
      <c r="S125" s="121">
        <f t="shared" si="85"/>
        <v>1.7359060000000002</v>
      </c>
      <c r="T125" s="97">
        <f t="shared" si="85"/>
        <v>1.735905</v>
      </c>
      <c r="U125" s="97">
        <f t="shared" si="89"/>
        <v>5.005185</v>
      </c>
      <c r="V125" s="97">
        <f t="shared" si="86"/>
        <v>0</v>
      </c>
      <c r="W125" s="97">
        <f t="shared" si="86"/>
        <v>2.7306759999999999</v>
      </c>
      <c r="X125" s="97">
        <f t="shared" si="86"/>
        <v>2.2745090000000001</v>
      </c>
    </row>
    <row r="126" spans="1:24">
      <c r="A126" s="249"/>
      <c r="B126" s="9" t="s">
        <v>71</v>
      </c>
      <c r="C126" s="97">
        <f t="shared" si="31"/>
        <v>395.73042900000007</v>
      </c>
      <c r="D126" s="97">
        <f t="shared" si="83"/>
        <v>4.1913419999999997</v>
      </c>
      <c r="E126" s="97">
        <f t="shared" si="83"/>
        <v>91.994872999999998</v>
      </c>
      <c r="F126" s="97">
        <f t="shared" si="83"/>
        <v>234.92509900000007</v>
      </c>
      <c r="G126" s="97">
        <f t="shared" si="83"/>
        <v>6.5050699999999999</v>
      </c>
      <c r="H126" s="97">
        <f t="shared" si="87"/>
        <v>33.231091000000006</v>
      </c>
      <c r="I126" s="97">
        <f t="shared" si="84"/>
        <v>11.596878</v>
      </c>
      <c r="J126" s="97">
        <f t="shared" si="84"/>
        <v>5.5708299999999999</v>
      </c>
      <c r="K126" s="200">
        <f t="shared" si="84"/>
        <v>3.9184480000000002</v>
      </c>
      <c r="L126" s="97">
        <f t="shared" si="84"/>
        <v>0</v>
      </c>
      <c r="M126" s="97">
        <f t="shared" si="84"/>
        <v>6.910177</v>
      </c>
      <c r="N126" s="121">
        <f t="shared" si="84"/>
        <v>5.2347580000000002</v>
      </c>
      <c r="O126" s="121">
        <f t="shared" si="84"/>
        <v>6.5872589999999995</v>
      </c>
      <c r="P126" s="121">
        <f t="shared" si="88"/>
        <v>11.601929</v>
      </c>
      <c r="Q126" s="121">
        <f t="shared" si="85"/>
        <v>1.7064520000000001</v>
      </c>
      <c r="R126" s="121">
        <f t="shared" si="85"/>
        <v>6.1562349999999997</v>
      </c>
      <c r="S126" s="121">
        <f t="shared" si="85"/>
        <v>1.930569</v>
      </c>
      <c r="T126" s="97">
        <f t="shared" si="85"/>
        <v>1.808673</v>
      </c>
      <c r="U126" s="97">
        <f t="shared" si="89"/>
        <v>6.6937660000000001</v>
      </c>
      <c r="V126" s="97">
        <f t="shared" si="86"/>
        <v>1.020994</v>
      </c>
      <c r="W126" s="97">
        <f t="shared" si="86"/>
        <v>2.0898340000000002</v>
      </c>
      <c r="X126" s="97">
        <f t="shared" si="86"/>
        <v>3.582938</v>
      </c>
    </row>
    <row r="127" spans="1:24">
      <c r="A127" s="249"/>
      <c r="B127" s="9" t="s">
        <v>72</v>
      </c>
      <c r="C127" s="97">
        <f t="shared" si="31"/>
        <v>200.22429999999994</v>
      </c>
      <c r="D127" s="97">
        <f t="shared" si="83"/>
        <v>0</v>
      </c>
      <c r="E127" s="97">
        <f t="shared" si="83"/>
        <v>29.989740000000001</v>
      </c>
      <c r="F127" s="97">
        <f t="shared" si="83"/>
        <v>142.52296899999996</v>
      </c>
      <c r="G127" s="97">
        <f t="shared" si="83"/>
        <v>2.0657099999999997</v>
      </c>
      <c r="H127" s="97">
        <f t="shared" si="87"/>
        <v>15.396967</v>
      </c>
      <c r="I127" s="97">
        <f t="shared" si="84"/>
        <v>3.8385230000000004</v>
      </c>
      <c r="J127" s="97">
        <f t="shared" si="84"/>
        <v>2.8944619999999999</v>
      </c>
      <c r="K127" s="200">
        <f t="shared" si="84"/>
        <v>2.0698060000000003</v>
      </c>
      <c r="L127" s="97">
        <f t="shared" si="84"/>
        <v>0</v>
      </c>
      <c r="M127" s="97">
        <f t="shared" si="84"/>
        <v>4.4237080000000004</v>
      </c>
      <c r="N127" s="121">
        <f t="shared" si="84"/>
        <v>2.1704680000000001</v>
      </c>
      <c r="O127" s="121">
        <f t="shared" si="84"/>
        <v>1.3409599999999999</v>
      </c>
      <c r="P127" s="121">
        <f t="shared" si="88"/>
        <v>5.6882800000000007</v>
      </c>
      <c r="Q127" s="121">
        <f t="shared" si="85"/>
        <v>0.81657999999999997</v>
      </c>
      <c r="R127" s="121">
        <f t="shared" si="85"/>
        <v>2.3854900000000003</v>
      </c>
      <c r="S127" s="121">
        <f t="shared" si="85"/>
        <v>0.54688000000000003</v>
      </c>
      <c r="T127" s="97">
        <f t="shared" si="85"/>
        <v>1.93933</v>
      </c>
      <c r="U127" s="97">
        <f t="shared" si="89"/>
        <v>3.2196739999999999</v>
      </c>
      <c r="V127" s="97">
        <f t="shared" si="86"/>
        <v>1.48821</v>
      </c>
      <c r="W127" s="97">
        <f t="shared" si="86"/>
        <v>1.0756870000000001</v>
      </c>
      <c r="X127" s="97">
        <f t="shared" si="86"/>
        <v>0.65577700000000005</v>
      </c>
    </row>
    <row r="128" spans="1:24">
      <c r="A128" s="249"/>
      <c r="B128" s="9" t="s">
        <v>73</v>
      </c>
      <c r="C128" s="97">
        <f t="shared" si="31"/>
        <v>137.54348999999996</v>
      </c>
      <c r="D128" s="97">
        <f t="shared" si="83"/>
        <v>1.2750999999999999</v>
      </c>
      <c r="E128" s="97">
        <f t="shared" si="83"/>
        <v>12.365928999999998</v>
      </c>
      <c r="F128" s="97">
        <f t="shared" si="83"/>
        <v>111.52426099999998</v>
      </c>
      <c r="G128" s="97">
        <f t="shared" si="83"/>
        <v>1.7430000000000001</v>
      </c>
      <c r="H128" s="97">
        <f t="shared" si="87"/>
        <v>4.2616100000000001</v>
      </c>
      <c r="I128" s="97">
        <f t="shared" si="84"/>
        <v>1.1813</v>
      </c>
      <c r="J128" s="97">
        <f t="shared" si="84"/>
        <v>0.53959999999999997</v>
      </c>
      <c r="K128" s="200">
        <f t="shared" si="84"/>
        <v>0.29949999999999999</v>
      </c>
      <c r="L128" s="97">
        <f t="shared" si="84"/>
        <v>0</v>
      </c>
      <c r="M128" s="97">
        <f t="shared" si="84"/>
        <v>1.84867</v>
      </c>
      <c r="N128" s="121">
        <f t="shared" si="84"/>
        <v>0.39254</v>
      </c>
      <c r="O128" s="121">
        <f t="shared" si="84"/>
        <v>1.1459999999999999</v>
      </c>
      <c r="P128" s="121">
        <f t="shared" si="88"/>
        <v>2.8456999999999999</v>
      </c>
      <c r="Q128" s="121">
        <f t="shared" si="85"/>
        <v>0.58940000000000003</v>
      </c>
      <c r="R128" s="121">
        <f t="shared" si="85"/>
        <v>0.57999999999999996</v>
      </c>
      <c r="S128" s="121">
        <f t="shared" si="85"/>
        <v>0.38790000000000002</v>
      </c>
      <c r="T128" s="97">
        <f t="shared" si="85"/>
        <v>1.2884</v>
      </c>
      <c r="U128" s="97">
        <f t="shared" si="89"/>
        <v>2.3818899999999998</v>
      </c>
      <c r="V128" s="97">
        <f t="shared" si="86"/>
        <v>0.68048999999999993</v>
      </c>
      <c r="W128" s="97">
        <f t="shared" si="86"/>
        <v>1.0000799999999999</v>
      </c>
      <c r="X128" s="97">
        <f t="shared" si="86"/>
        <v>0.70131999999999994</v>
      </c>
    </row>
    <row r="129" spans="1:24">
      <c r="A129" s="249"/>
      <c r="B129" s="4" t="s">
        <v>74</v>
      </c>
      <c r="C129" s="97">
        <f t="shared" si="31"/>
        <v>1521.4807659999999</v>
      </c>
      <c r="D129" s="97">
        <f t="shared" si="83"/>
        <v>1360.268145</v>
      </c>
      <c r="E129" s="97">
        <f t="shared" si="83"/>
        <v>10.257400000000001</v>
      </c>
      <c r="F129" s="97">
        <f t="shared" si="83"/>
        <v>149.597421</v>
      </c>
      <c r="G129" s="97">
        <f t="shared" si="83"/>
        <v>0.13</v>
      </c>
      <c r="H129" s="97">
        <f t="shared" si="87"/>
        <v>0.71</v>
      </c>
      <c r="I129" s="97">
        <f t="shared" si="84"/>
        <v>0.28000000000000003</v>
      </c>
      <c r="J129" s="97">
        <f t="shared" si="84"/>
        <v>0</v>
      </c>
      <c r="K129" s="200">
        <f t="shared" si="84"/>
        <v>0</v>
      </c>
      <c r="L129" s="97">
        <f t="shared" si="84"/>
        <v>0</v>
      </c>
      <c r="M129" s="97">
        <f t="shared" si="84"/>
        <v>0.43</v>
      </c>
      <c r="N129" s="121">
        <f t="shared" si="84"/>
        <v>0</v>
      </c>
      <c r="O129" s="121">
        <f t="shared" si="84"/>
        <v>0.24579999999999999</v>
      </c>
      <c r="P129" s="121">
        <f t="shared" si="88"/>
        <v>3.2000000000000001E-2</v>
      </c>
      <c r="Q129" s="121">
        <f t="shared" si="85"/>
        <v>0</v>
      </c>
      <c r="R129" s="121">
        <f t="shared" si="85"/>
        <v>0</v>
      </c>
      <c r="S129" s="121">
        <f t="shared" si="85"/>
        <v>3.2000000000000001E-2</v>
      </c>
      <c r="T129" s="97">
        <f t="shared" si="85"/>
        <v>0</v>
      </c>
      <c r="U129" s="97">
        <f t="shared" si="89"/>
        <v>0.24</v>
      </c>
      <c r="V129" s="97">
        <f t="shared" si="86"/>
        <v>0.24</v>
      </c>
      <c r="W129" s="97">
        <f t="shared" si="86"/>
        <v>0</v>
      </c>
      <c r="X129" s="97">
        <f t="shared" si="86"/>
        <v>0</v>
      </c>
    </row>
    <row r="130" spans="1:24">
      <c r="A130" s="249"/>
      <c r="B130" s="9" t="s">
        <v>75</v>
      </c>
      <c r="C130" s="97">
        <f t="shared" si="31"/>
        <v>346.96974500000005</v>
      </c>
      <c r="D130" s="97">
        <f t="shared" si="83"/>
        <v>20</v>
      </c>
      <c r="E130" s="97">
        <f t="shared" si="83"/>
        <v>297.66974500000003</v>
      </c>
      <c r="F130" s="97">
        <f t="shared" si="83"/>
        <v>0.8</v>
      </c>
      <c r="G130" s="97">
        <f t="shared" si="83"/>
        <v>0</v>
      </c>
      <c r="H130" s="97">
        <f t="shared" si="87"/>
        <v>25</v>
      </c>
      <c r="I130" s="97">
        <f t="shared" si="84"/>
        <v>25</v>
      </c>
      <c r="J130" s="97">
        <f t="shared" si="84"/>
        <v>0</v>
      </c>
      <c r="K130" s="200">
        <f t="shared" si="84"/>
        <v>0</v>
      </c>
      <c r="L130" s="97">
        <f t="shared" si="84"/>
        <v>0</v>
      </c>
      <c r="M130" s="97">
        <f t="shared" si="84"/>
        <v>0</v>
      </c>
      <c r="N130" s="121">
        <f t="shared" si="84"/>
        <v>0</v>
      </c>
      <c r="O130" s="121">
        <f t="shared" si="84"/>
        <v>0</v>
      </c>
      <c r="P130" s="121">
        <f t="shared" si="88"/>
        <v>0</v>
      </c>
      <c r="Q130" s="121">
        <f t="shared" si="85"/>
        <v>0</v>
      </c>
      <c r="R130" s="121">
        <f t="shared" si="85"/>
        <v>0</v>
      </c>
      <c r="S130" s="121">
        <f t="shared" si="85"/>
        <v>0</v>
      </c>
      <c r="T130" s="97">
        <f t="shared" si="85"/>
        <v>0</v>
      </c>
      <c r="U130" s="97">
        <f t="shared" si="89"/>
        <v>3.5</v>
      </c>
      <c r="V130" s="97">
        <f t="shared" si="86"/>
        <v>0</v>
      </c>
      <c r="W130" s="97">
        <f t="shared" si="86"/>
        <v>3.5</v>
      </c>
      <c r="X130" s="97">
        <f t="shared" si="86"/>
        <v>0</v>
      </c>
    </row>
    <row r="131" spans="1:24">
      <c r="A131" s="249"/>
      <c r="B131" s="9" t="s">
        <v>76</v>
      </c>
      <c r="C131" s="97">
        <f t="shared" si="31"/>
        <v>2326.072799</v>
      </c>
      <c r="D131" s="97">
        <f t="shared" si="83"/>
        <v>7.4999000000000002</v>
      </c>
      <c r="E131" s="97">
        <f t="shared" si="83"/>
        <v>21.943100000000001</v>
      </c>
      <c r="F131" s="97">
        <f>F27+F79</f>
        <v>2288.4892989999998</v>
      </c>
      <c r="G131" s="97">
        <f t="shared" si="83"/>
        <v>0</v>
      </c>
      <c r="H131" s="97">
        <f>SUM(I131:N131)</f>
        <v>1.2350000000000001</v>
      </c>
      <c r="I131" s="97">
        <f t="shared" si="84"/>
        <v>0</v>
      </c>
      <c r="J131" s="97">
        <f t="shared" si="84"/>
        <v>0</v>
      </c>
      <c r="K131" s="200">
        <f t="shared" si="84"/>
        <v>0</v>
      </c>
      <c r="L131" s="97">
        <f t="shared" si="84"/>
        <v>0</v>
      </c>
      <c r="M131" s="97">
        <f t="shared" si="84"/>
        <v>1.2350000000000001</v>
      </c>
      <c r="N131" s="121">
        <f t="shared" si="84"/>
        <v>0</v>
      </c>
      <c r="O131" s="121">
        <f t="shared" si="84"/>
        <v>6.4000000000000001E-2</v>
      </c>
      <c r="P131" s="121">
        <f t="shared" si="88"/>
        <v>5</v>
      </c>
      <c r="Q131" s="121">
        <f t="shared" si="85"/>
        <v>0</v>
      </c>
      <c r="R131" s="121">
        <f t="shared" si="85"/>
        <v>5</v>
      </c>
      <c r="S131" s="121">
        <f t="shared" si="85"/>
        <v>0</v>
      </c>
      <c r="T131" s="97">
        <f t="shared" si="85"/>
        <v>0</v>
      </c>
      <c r="U131" s="97">
        <f t="shared" si="89"/>
        <v>1.8414999999999999</v>
      </c>
      <c r="V131" s="97">
        <f t="shared" si="86"/>
        <v>0.48499999999999999</v>
      </c>
      <c r="W131" s="97">
        <f t="shared" si="86"/>
        <v>1.3565</v>
      </c>
      <c r="X131" s="97">
        <f t="shared" si="86"/>
        <v>0</v>
      </c>
    </row>
    <row r="132" spans="1:24">
      <c r="A132" s="249"/>
      <c r="B132" s="9" t="s">
        <v>77</v>
      </c>
      <c r="C132" s="97">
        <f t="shared" si="31"/>
        <v>12973.069452000002</v>
      </c>
      <c r="D132" s="97">
        <f t="shared" si="83"/>
        <v>1715.27</v>
      </c>
      <c r="E132" s="97">
        <f t="shared" si="83"/>
        <v>0</v>
      </c>
      <c r="F132" s="97">
        <f t="shared" si="83"/>
        <v>10599.474952</v>
      </c>
      <c r="G132" s="97">
        <f t="shared" si="83"/>
        <v>0</v>
      </c>
      <c r="H132" s="97">
        <f t="shared" si="87"/>
        <v>8.734499999999974</v>
      </c>
      <c r="I132" s="97">
        <f t="shared" si="84"/>
        <v>-8.0000000002655725E-4</v>
      </c>
      <c r="J132" s="97">
        <f t="shared" si="84"/>
        <v>0</v>
      </c>
      <c r="K132" s="200">
        <f t="shared" si="84"/>
        <v>8.7353000000000005</v>
      </c>
      <c r="L132" s="97">
        <f t="shared" si="84"/>
        <v>0</v>
      </c>
      <c r="M132" s="97">
        <f t="shared" si="84"/>
        <v>0</v>
      </c>
      <c r="N132" s="121">
        <f t="shared" si="84"/>
        <v>0</v>
      </c>
      <c r="O132" s="121">
        <f t="shared" si="84"/>
        <v>0</v>
      </c>
      <c r="P132" s="121">
        <f t="shared" si="88"/>
        <v>649.59</v>
      </c>
      <c r="Q132" s="121">
        <f t="shared" si="85"/>
        <v>0</v>
      </c>
      <c r="R132" s="121">
        <f t="shared" si="85"/>
        <v>649.59</v>
      </c>
      <c r="S132" s="121">
        <f t="shared" si="85"/>
        <v>0</v>
      </c>
      <c r="T132" s="97">
        <f t="shared" si="85"/>
        <v>0</v>
      </c>
      <c r="U132" s="97">
        <f t="shared" si="89"/>
        <v>0</v>
      </c>
      <c r="V132" s="97">
        <f t="shared" si="86"/>
        <v>0</v>
      </c>
      <c r="W132" s="97">
        <f t="shared" si="86"/>
        <v>0</v>
      </c>
      <c r="X132" s="97">
        <f t="shared" si="86"/>
        <v>0</v>
      </c>
    </row>
    <row r="133" spans="1:24">
      <c r="A133" s="249"/>
      <c r="B133" s="9" t="s">
        <v>78</v>
      </c>
      <c r="C133" s="97">
        <f t="shared" si="31"/>
        <v>503.64470299999999</v>
      </c>
      <c r="D133" s="97">
        <f t="shared" si="83"/>
        <v>108.370903</v>
      </c>
      <c r="E133" s="97">
        <f t="shared" si="83"/>
        <v>148.28720000000001</v>
      </c>
      <c r="F133" s="97">
        <f t="shared" si="83"/>
        <v>163.72669999999999</v>
      </c>
      <c r="G133" s="97">
        <f t="shared" si="83"/>
        <v>5.1852</v>
      </c>
      <c r="H133" s="97">
        <f t="shared" si="87"/>
        <v>65.796899999999994</v>
      </c>
      <c r="I133" s="97">
        <f t="shared" ref="I133:O142" si="90">I29+I81</f>
        <v>8.9499999999999993</v>
      </c>
      <c r="J133" s="97">
        <f t="shared" si="90"/>
        <v>14.7186</v>
      </c>
      <c r="K133" s="200">
        <f t="shared" si="90"/>
        <v>12.361700000000001</v>
      </c>
      <c r="L133" s="97">
        <f t="shared" si="90"/>
        <v>0</v>
      </c>
      <c r="M133" s="97">
        <f t="shared" si="90"/>
        <v>0.45</v>
      </c>
      <c r="N133" s="121">
        <f t="shared" si="90"/>
        <v>29.316600000000001</v>
      </c>
      <c r="O133" s="121">
        <f t="shared" si="90"/>
        <v>3.8210000000000002</v>
      </c>
      <c r="P133" s="121">
        <f t="shared" si="88"/>
        <v>8.4567999999999994</v>
      </c>
      <c r="Q133" s="121">
        <f t="shared" si="85"/>
        <v>1</v>
      </c>
      <c r="R133" s="121">
        <f t="shared" si="85"/>
        <v>2</v>
      </c>
      <c r="S133" s="121">
        <f t="shared" si="85"/>
        <v>3.4567999999999999</v>
      </c>
      <c r="T133" s="97">
        <f t="shared" si="85"/>
        <v>2</v>
      </c>
      <c r="U133" s="97">
        <f t="shared" si="89"/>
        <v>0</v>
      </c>
      <c r="V133" s="97">
        <f t="shared" si="86"/>
        <v>0</v>
      </c>
      <c r="W133" s="97">
        <f t="shared" si="86"/>
        <v>0</v>
      </c>
      <c r="X133" s="97">
        <f t="shared" si="86"/>
        <v>0</v>
      </c>
    </row>
    <row r="134" spans="1:24">
      <c r="A134" s="249"/>
      <c r="B134" s="9" t="s">
        <v>79</v>
      </c>
      <c r="C134" s="97">
        <f t="shared" si="31"/>
        <v>212.83753400000001</v>
      </c>
      <c r="D134" s="97">
        <f t="shared" si="83"/>
        <v>0</v>
      </c>
      <c r="E134" s="97">
        <f t="shared" si="83"/>
        <v>27.283799999999999</v>
      </c>
      <c r="F134" s="97">
        <f t="shared" si="83"/>
        <v>172.26232999999999</v>
      </c>
      <c r="G134" s="97">
        <f t="shared" si="83"/>
        <v>1.693632</v>
      </c>
      <c r="H134" s="97">
        <f t="shared" si="87"/>
        <v>10.386372000000001</v>
      </c>
      <c r="I134" s="97">
        <f t="shared" si="90"/>
        <v>1.875937</v>
      </c>
      <c r="J134" s="97">
        <f t="shared" si="90"/>
        <v>2.3739369999999997</v>
      </c>
      <c r="K134" s="200">
        <f t="shared" si="90"/>
        <v>1.911937</v>
      </c>
      <c r="L134" s="97">
        <f t="shared" si="90"/>
        <v>0</v>
      </c>
      <c r="M134" s="97">
        <f t="shared" si="90"/>
        <v>2.348624</v>
      </c>
      <c r="N134" s="121">
        <f t="shared" si="90"/>
        <v>1.875937</v>
      </c>
      <c r="O134" s="121">
        <f t="shared" si="90"/>
        <v>0</v>
      </c>
      <c r="P134" s="121">
        <f t="shared" si="88"/>
        <v>0</v>
      </c>
      <c r="Q134" s="121">
        <f t="shared" si="85"/>
        <v>0</v>
      </c>
      <c r="R134" s="121">
        <f t="shared" si="85"/>
        <v>0</v>
      </c>
      <c r="S134" s="121">
        <f t="shared" si="85"/>
        <v>0</v>
      </c>
      <c r="T134" s="97">
        <f t="shared" si="85"/>
        <v>0</v>
      </c>
      <c r="U134" s="97">
        <f t="shared" si="89"/>
        <v>1.2114</v>
      </c>
      <c r="V134" s="97">
        <f t="shared" si="86"/>
        <v>1.2114</v>
      </c>
      <c r="W134" s="97">
        <f t="shared" si="86"/>
        <v>0</v>
      </c>
      <c r="X134" s="97">
        <f t="shared" si="86"/>
        <v>0</v>
      </c>
    </row>
    <row r="135" spans="1:24">
      <c r="A135" s="249"/>
      <c r="B135" s="9" t="s">
        <v>80</v>
      </c>
      <c r="C135" s="97">
        <f t="shared" si="31"/>
        <v>219.42478999999997</v>
      </c>
      <c r="D135" s="97">
        <f t="shared" si="83"/>
        <v>42.0762</v>
      </c>
      <c r="E135" s="97">
        <f t="shared" si="83"/>
        <v>62.579700000000003</v>
      </c>
      <c r="F135" s="97">
        <f t="shared" si="83"/>
        <v>82.752560000000003</v>
      </c>
      <c r="G135" s="97">
        <f t="shared" si="83"/>
        <v>0</v>
      </c>
      <c r="H135" s="97">
        <f t="shared" si="87"/>
        <v>26.20063</v>
      </c>
      <c r="I135" s="97">
        <f t="shared" si="90"/>
        <v>26.07863</v>
      </c>
      <c r="J135" s="97">
        <f t="shared" si="90"/>
        <v>0</v>
      </c>
      <c r="K135" s="200">
        <f t="shared" si="90"/>
        <v>0.122</v>
      </c>
      <c r="L135" s="97">
        <f t="shared" si="90"/>
        <v>0</v>
      </c>
      <c r="M135" s="97">
        <f t="shared" si="90"/>
        <v>0</v>
      </c>
      <c r="N135" s="121">
        <f t="shared" si="90"/>
        <v>0</v>
      </c>
      <c r="O135" s="121">
        <f t="shared" si="90"/>
        <v>3.3456999999999999</v>
      </c>
      <c r="P135" s="121">
        <f t="shared" si="88"/>
        <v>0</v>
      </c>
      <c r="Q135" s="121">
        <f t="shared" si="85"/>
        <v>0</v>
      </c>
      <c r="R135" s="121">
        <f t="shared" si="85"/>
        <v>0</v>
      </c>
      <c r="S135" s="121">
        <f t="shared" si="85"/>
        <v>0</v>
      </c>
      <c r="T135" s="97">
        <f t="shared" si="85"/>
        <v>0</v>
      </c>
      <c r="U135" s="97">
        <f t="shared" si="89"/>
        <v>2.4700000000000002</v>
      </c>
      <c r="V135" s="97">
        <f t="shared" si="86"/>
        <v>2.16</v>
      </c>
      <c r="W135" s="97">
        <f t="shared" si="86"/>
        <v>0.31</v>
      </c>
      <c r="X135" s="97">
        <f t="shared" si="86"/>
        <v>0</v>
      </c>
    </row>
    <row r="136" spans="1:24">
      <c r="A136" s="249"/>
      <c r="B136" s="9" t="s">
        <v>81</v>
      </c>
      <c r="C136" s="97">
        <f t="shared" si="31"/>
        <v>108.762613</v>
      </c>
      <c r="D136" s="97">
        <f t="shared" si="83"/>
        <v>0</v>
      </c>
      <c r="E136" s="97">
        <f t="shared" si="83"/>
        <v>12.007520000000001</v>
      </c>
      <c r="F136" s="97">
        <f t="shared" si="83"/>
        <v>68.000870000000006</v>
      </c>
      <c r="G136" s="97">
        <f t="shared" si="83"/>
        <v>6.3909400000000005</v>
      </c>
      <c r="H136" s="97">
        <f t="shared" si="87"/>
        <v>1.6890000000000001</v>
      </c>
      <c r="I136" s="97">
        <f t="shared" si="90"/>
        <v>0.70794000000000001</v>
      </c>
      <c r="J136" s="97">
        <f t="shared" si="90"/>
        <v>0.13005</v>
      </c>
      <c r="K136" s="200">
        <f t="shared" si="90"/>
        <v>0.28271000000000002</v>
      </c>
      <c r="L136" s="97">
        <f t="shared" si="90"/>
        <v>0</v>
      </c>
      <c r="M136" s="97">
        <f t="shared" si="90"/>
        <v>0.30414999999999998</v>
      </c>
      <c r="N136" s="121">
        <f t="shared" si="90"/>
        <v>0.26415</v>
      </c>
      <c r="O136" s="121">
        <f t="shared" si="90"/>
        <v>1.968407</v>
      </c>
      <c r="P136" s="121">
        <f t="shared" si="88"/>
        <v>17.104475999999998</v>
      </c>
      <c r="Q136" s="121">
        <f t="shared" si="85"/>
        <v>1.54861</v>
      </c>
      <c r="R136" s="121">
        <f t="shared" si="85"/>
        <v>14.789045999999999</v>
      </c>
      <c r="S136" s="121">
        <f t="shared" si="85"/>
        <v>0.42418</v>
      </c>
      <c r="T136" s="97">
        <f t="shared" si="85"/>
        <v>0.34264</v>
      </c>
      <c r="U136" s="97">
        <f t="shared" si="89"/>
        <v>1.6013999999999999</v>
      </c>
      <c r="V136" s="97">
        <f t="shared" si="86"/>
        <v>0.97199999999999998</v>
      </c>
      <c r="W136" s="97">
        <f t="shared" si="86"/>
        <v>0.51090000000000002</v>
      </c>
      <c r="X136" s="97">
        <f t="shared" si="86"/>
        <v>0.11849999999999999</v>
      </c>
    </row>
    <row r="137" spans="1:24">
      <c r="A137" s="249"/>
      <c r="B137" s="9" t="s">
        <v>82</v>
      </c>
      <c r="C137" s="97">
        <f t="shared" si="31"/>
        <v>242.58432700000003</v>
      </c>
      <c r="D137" s="97">
        <f t="shared" si="83"/>
        <v>0</v>
      </c>
      <c r="E137" s="97">
        <f t="shared" si="83"/>
        <v>107.961376</v>
      </c>
      <c r="F137" s="97">
        <f t="shared" si="83"/>
        <v>110.80464300000001</v>
      </c>
      <c r="G137" s="97">
        <f t="shared" si="83"/>
        <v>0</v>
      </c>
      <c r="H137" s="97">
        <f t="shared" si="87"/>
        <v>12.842172999999999</v>
      </c>
      <c r="I137" s="97">
        <f t="shared" si="90"/>
        <v>0.2</v>
      </c>
      <c r="J137" s="97">
        <f t="shared" si="90"/>
        <v>0</v>
      </c>
      <c r="K137" s="200">
        <f t="shared" si="90"/>
        <v>0</v>
      </c>
      <c r="L137" s="97">
        <f t="shared" si="90"/>
        <v>0</v>
      </c>
      <c r="M137" s="97">
        <f t="shared" si="90"/>
        <v>12.642173</v>
      </c>
      <c r="N137" s="121">
        <f t="shared" si="90"/>
        <v>0</v>
      </c>
      <c r="O137" s="121">
        <f t="shared" si="90"/>
        <v>0.38150000000000001</v>
      </c>
      <c r="P137" s="121">
        <f t="shared" si="88"/>
        <v>1.6448999999999998</v>
      </c>
      <c r="Q137" s="121">
        <f t="shared" si="85"/>
        <v>0.505</v>
      </c>
      <c r="R137" s="121">
        <f t="shared" si="85"/>
        <v>7.0000000000000007E-2</v>
      </c>
      <c r="S137" s="121">
        <f t="shared" si="85"/>
        <v>1.8599999999999998E-2</v>
      </c>
      <c r="T137" s="97">
        <f t="shared" si="85"/>
        <v>1.0512999999999999</v>
      </c>
      <c r="U137" s="97">
        <f t="shared" si="89"/>
        <v>8.9497350000000004</v>
      </c>
      <c r="V137" s="97">
        <f t="shared" si="86"/>
        <v>2.4095</v>
      </c>
      <c r="W137" s="97">
        <f t="shared" si="86"/>
        <v>6.3050350000000002</v>
      </c>
      <c r="X137" s="97">
        <f t="shared" si="86"/>
        <v>0.23519999999999999</v>
      </c>
    </row>
    <row r="138" spans="1:24">
      <c r="A138" s="249"/>
      <c r="B138" s="9" t="s">
        <v>83</v>
      </c>
      <c r="C138" s="97">
        <f t="shared" si="31"/>
        <v>81.873549999999994</v>
      </c>
      <c r="D138" s="97">
        <f t="shared" si="83"/>
        <v>0</v>
      </c>
      <c r="E138" s="97">
        <f t="shared" si="83"/>
        <v>81.873549999999994</v>
      </c>
      <c r="F138" s="97">
        <f t="shared" si="83"/>
        <v>0</v>
      </c>
      <c r="G138" s="97">
        <f t="shared" si="83"/>
        <v>0</v>
      </c>
      <c r="H138" s="97">
        <f t="shared" si="87"/>
        <v>0</v>
      </c>
      <c r="I138" s="97">
        <f t="shared" si="90"/>
        <v>0</v>
      </c>
      <c r="J138" s="97">
        <f t="shared" si="90"/>
        <v>0</v>
      </c>
      <c r="K138" s="200">
        <f t="shared" si="90"/>
        <v>0</v>
      </c>
      <c r="L138" s="97">
        <f t="shared" si="90"/>
        <v>0</v>
      </c>
      <c r="M138" s="97">
        <f t="shared" si="90"/>
        <v>0</v>
      </c>
      <c r="N138" s="121">
        <f t="shared" si="90"/>
        <v>0</v>
      </c>
      <c r="O138" s="121">
        <f t="shared" si="90"/>
        <v>0</v>
      </c>
      <c r="P138" s="121">
        <f t="shared" si="88"/>
        <v>0</v>
      </c>
      <c r="Q138" s="121">
        <f t="shared" si="85"/>
        <v>0</v>
      </c>
      <c r="R138" s="121">
        <f t="shared" si="85"/>
        <v>0</v>
      </c>
      <c r="S138" s="121">
        <f t="shared" si="85"/>
        <v>0</v>
      </c>
      <c r="T138" s="97">
        <f t="shared" si="85"/>
        <v>0</v>
      </c>
      <c r="U138" s="97">
        <f t="shared" si="89"/>
        <v>0</v>
      </c>
      <c r="V138" s="97">
        <f t="shared" si="86"/>
        <v>0</v>
      </c>
      <c r="W138" s="97">
        <f t="shared" si="86"/>
        <v>0</v>
      </c>
      <c r="X138" s="97">
        <f t="shared" si="86"/>
        <v>0</v>
      </c>
    </row>
    <row r="139" spans="1:24">
      <c r="A139" s="249"/>
      <c r="B139" s="9" t="s">
        <v>84</v>
      </c>
      <c r="C139" s="97">
        <f t="shared" si="31"/>
        <v>69.577632000000008</v>
      </c>
      <c r="D139" s="97">
        <f t="shared" si="83"/>
        <v>0</v>
      </c>
      <c r="E139" s="97">
        <f t="shared" si="83"/>
        <v>16.749779999999998</v>
      </c>
      <c r="F139" s="97">
        <f t="shared" si="83"/>
        <v>52.322352000000002</v>
      </c>
      <c r="G139" s="97">
        <f t="shared" si="83"/>
        <v>0</v>
      </c>
      <c r="H139" s="97">
        <f t="shared" si="87"/>
        <v>0</v>
      </c>
      <c r="I139" s="97">
        <f t="shared" si="90"/>
        <v>0</v>
      </c>
      <c r="J139" s="97">
        <f t="shared" si="90"/>
        <v>0</v>
      </c>
      <c r="K139" s="200">
        <f t="shared" si="90"/>
        <v>0</v>
      </c>
      <c r="L139" s="97">
        <f t="shared" si="90"/>
        <v>0</v>
      </c>
      <c r="M139" s="97">
        <f t="shared" si="90"/>
        <v>0</v>
      </c>
      <c r="N139" s="121">
        <f t="shared" si="90"/>
        <v>0</v>
      </c>
      <c r="O139" s="121">
        <f t="shared" si="90"/>
        <v>0</v>
      </c>
      <c r="P139" s="121">
        <f t="shared" si="88"/>
        <v>0.15</v>
      </c>
      <c r="Q139" s="121">
        <f t="shared" si="85"/>
        <v>0</v>
      </c>
      <c r="R139" s="121">
        <f t="shared" si="85"/>
        <v>0</v>
      </c>
      <c r="S139" s="121">
        <f t="shared" si="85"/>
        <v>0</v>
      </c>
      <c r="T139" s="97">
        <f t="shared" si="85"/>
        <v>0.15</v>
      </c>
      <c r="U139" s="97">
        <f t="shared" si="89"/>
        <v>0.35549999999999998</v>
      </c>
      <c r="V139" s="97">
        <f t="shared" si="86"/>
        <v>0.35549999999999998</v>
      </c>
      <c r="W139" s="97">
        <f t="shared" si="86"/>
        <v>0</v>
      </c>
      <c r="X139" s="97">
        <f t="shared" si="86"/>
        <v>0</v>
      </c>
    </row>
    <row r="140" spans="1:24">
      <c r="A140" s="249"/>
      <c r="B140" s="9" t="s">
        <v>85</v>
      </c>
      <c r="C140" s="97">
        <f t="shared" si="31"/>
        <v>29.600908</v>
      </c>
      <c r="D140" s="97">
        <f t="shared" si="83"/>
        <v>0</v>
      </c>
      <c r="E140" s="97">
        <f t="shared" si="83"/>
        <v>3.4847699999999997</v>
      </c>
      <c r="F140" s="97">
        <f t="shared" si="83"/>
        <v>23.520669999999999</v>
      </c>
      <c r="G140" s="97">
        <f t="shared" si="83"/>
        <v>0.378</v>
      </c>
      <c r="H140" s="97">
        <f t="shared" si="87"/>
        <v>1.7484099999999998</v>
      </c>
      <c r="I140" s="97">
        <f t="shared" si="90"/>
        <v>0.22801999999999997</v>
      </c>
      <c r="J140" s="97">
        <f t="shared" si="90"/>
        <v>0.40631999999999996</v>
      </c>
      <c r="K140" s="200">
        <f t="shared" si="90"/>
        <v>0.26318000000000003</v>
      </c>
      <c r="L140" s="97">
        <f t="shared" si="90"/>
        <v>0</v>
      </c>
      <c r="M140" s="97">
        <f t="shared" si="90"/>
        <v>0.39034000000000002</v>
      </c>
      <c r="N140" s="121">
        <f t="shared" si="90"/>
        <v>0.46055000000000001</v>
      </c>
      <c r="O140" s="121">
        <f t="shared" si="90"/>
        <v>0.12135</v>
      </c>
      <c r="P140" s="121">
        <f t="shared" si="88"/>
        <v>0.12206999999999998</v>
      </c>
      <c r="Q140" s="121">
        <f t="shared" si="85"/>
        <v>1.4069999999999999E-2</v>
      </c>
      <c r="R140" s="121">
        <f t="shared" si="85"/>
        <v>5.3999999999999999E-2</v>
      </c>
      <c r="S140" s="121">
        <f t="shared" si="85"/>
        <v>0</v>
      </c>
      <c r="T140" s="97">
        <f t="shared" si="85"/>
        <v>5.3999999999999999E-2</v>
      </c>
      <c r="U140" s="97">
        <f t="shared" si="89"/>
        <v>0.22563800000000001</v>
      </c>
      <c r="V140" s="97">
        <f t="shared" si="86"/>
        <v>0</v>
      </c>
      <c r="W140" s="97">
        <f t="shared" si="86"/>
        <v>0</v>
      </c>
      <c r="X140" s="97">
        <f t="shared" si="86"/>
        <v>0.22563800000000001</v>
      </c>
    </row>
    <row r="141" spans="1:24">
      <c r="A141" s="249"/>
      <c r="B141" s="9" t="s">
        <v>86</v>
      </c>
      <c r="C141" s="97">
        <f t="shared" si="31"/>
        <v>42.373018000000002</v>
      </c>
      <c r="D141" s="97">
        <f t="shared" si="83"/>
        <v>0</v>
      </c>
      <c r="E141" s="97">
        <f t="shared" si="83"/>
        <v>4.9482999999999997</v>
      </c>
      <c r="F141" s="97">
        <f t="shared" si="83"/>
        <v>20.767475000000001</v>
      </c>
      <c r="G141" s="97">
        <f t="shared" si="83"/>
        <v>7.8899999999999998E-2</v>
      </c>
      <c r="H141" s="97">
        <f t="shared" si="87"/>
        <v>4.8544429999999998</v>
      </c>
      <c r="I141" s="97">
        <f t="shared" si="90"/>
        <v>1.5040830000000001</v>
      </c>
      <c r="J141" s="97">
        <f t="shared" si="90"/>
        <v>2.0299999999999999E-2</v>
      </c>
      <c r="K141" s="200">
        <f t="shared" si="90"/>
        <v>2.1633</v>
      </c>
      <c r="L141" s="97">
        <f t="shared" si="90"/>
        <v>0</v>
      </c>
      <c r="M141" s="97">
        <f t="shared" si="90"/>
        <v>0.87862000000000007</v>
      </c>
      <c r="N141" s="121">
        <f t="shared" si="90"/>
        <v>0.28814000000000001</v>
      </c>
      <c r="O141" s="121">
        <f t="shared" si="90"/>
        <v>5.23353</v>
      </c>
      <c r="P141" s="121">
        <f t="shared" si="88"/>
        <v>6.0497899999999998</v>
      </c>
      <c r="Q141" s="121">
        <f t="shared" si="85"/>
        <v>0.47566999999999998</v>
      </c>
      <c r="R141" s="121">
        <f t="shared" si="85"/>
        <v>4.87662</v>
      </c>
      <c r="S141" s="121">
        <f t="shared" si="85"/>
        <v>0.20699999999999999</v>
      </c>
      <c r="T141" s="97">
        <f t="shared" si="85"/>
        <v>0.49049999999999999</v>
      </c>
      <c r="U141" s="97">
        <f t="shared" si="89"/>
        <v>0.44057999999999997</v>
      </c>
      <c r="V141" s="97">
        <f t="shared" si="86"/>
        <v>6.5299999999999997E-2</v>
      </c>
      <c r="W141" s="97">
        <f t="shared" si="86"/>
        <v>0.16278000000000001</v>
      </c>
      <c r="X141" s="97">
        <f t="shared" si="86"/>
        <v>0.21249999999999999</v>
      </c>
    </row>
    <row r="142" spans="1:24">
      <c r="A142" s="249"/>
      <c r="B142" s="9" t="s">
        <v>87</v>
      </c>
      <c r="C142" s="97">
        <f t="shared" si="31"/>
        <v>89.803799999999995</v>
      </c>
      <c r="D142" s="97">
        <f t="shared" si="83"/>
        <v>57.4895</v>
      </c>
      <c r="E142" s="97">
        <f t="shared" si="83"/>
        <v>0.2</v>
      </c>
      <c r="F142" s="97">
        <f t="shared" si="83"/>
        <v>31.314299999999999</v>
      </c>
      <c r="G142" s="97">
        <f t="shared" si="83"/>
        <v>0</v>
      </c>
      <c r="H142" s="97">
        <f t="shared" si="87"/>
        <v>0.8</v>
      </c>
      <c r="I142" s="97">
        <f t="shared" si="90"/>
        <v>0</v>
      </c>
      <c r="J142" s="97">
        <f t="shared" si="90"/>
        <v>0</v>
      </c>
      <c r="K142" s="200">
        <f t="shared" si="90"/>
        <v>0</v>
      </c>
      <c r="L142" s="97">
        <f t="shared" si="90"/>
        <v>0</v>
      </c>
      <c r="M142" s="97">
        <f t="shared" si="90"/>
        <v>0.8</v>
      </c>
      <c r="N142" s="121">
        <f t="shared" si="90"/>
        <v>0</v>
      </c>
      <c r="O142" s="121">
        <f t="shared" si="90"/>
        <v>0</v>
      </c>
      <c r="P142" s="121">
        <f t="shared" si="88"/>
        <v>0</v>
      </c>
      <c r="Q142" s="121">
        <f t="shared" si="85"/>
        <v>0</v>
      </c>
      <c r="R142" s="121">
        <f t="shared" si="85"/>
        <v>0</v>
      </c>
      <c r="S142" s="121">
        <f t="shared" si="85"/>
        <v>0</v>
      </c>
      <c r="T142" s="97">
        <f t="shared" si="85"/>
        <v>0</v>
      </c>
      <c r="U142" s="97">
        <f t="shared" si="89"/>
        <v>0</v>
      </c>
      <c r="V142" s="97">
        <f t="shared" si="86"/>
        <v>0</v>
      </c>
      <c r="W142" s="97">
        <f t="shared" si="86"/>
        <v>0</v>
      </c>
      <c r="X142" s="97">
        <f t="shared" si="86"/>
        <v>0</v>
      </c>
    </row>
    <row r="143" spans="1:24">
      <c r="A143" s="249"/>
      <c r="B143" s="9" t="s">
        <v>88</v>
      </c>
      <c r="C143" s="97">
        <f t="shared" si="31"/>
        <v>119.43512600000001</v>
      </c>
      <c r="D143" s="97">
        <f t="shared" si="83"/>
        <v>53.762696999999996</v>
      </c>
      <c r="E143" s="97">
        <f t="shared" si="83"/>
        <v>0.12747999999999998</v>
      </c>
      <c r="F143" s="97">
        <f t="shared" si="83"/>
        <v>63.462425000000025</v>
      </c>
      <c r="G143" s="97">
        <f t="shared" si="83"/>
        <v>0</v>
      </c>
      <c r="H143" s="97">
        <f t="shared" si="87"/>
        <v>1.3097029999999998</v>
      </c>
      <c r="I143" s="97">
        <f t="shared" ref="I143:O146" si="91">I39+I91</f>
        <v>0</v>
      </c>
      <c r="J143" s="97">
        <f t="shared" si="91"/>
        <v>0</v>
      </c>
      <c r="K143" s="200">
        <f t="shared" si="91"/>
        <v>0</v>
      </c>
      <c r="L143" s="97">
        <f t="shared" si="91"/>
        <v>0</v>
      </c>
      <c r="M143" s="97">
        <f t="shared" si="91"/>
        <v>1.2459629999999999</v>
      </c>
      <c r="N143" s="121">
        <f t="shared" si="91"/>
        <v>6.3739999999999991E-2</v>
      </c>
      <c r="O143" s="121">
        <f t="shared" si="91"/>
        <v>0</v>
      </c>
      <c r="P143" s="121">
        <f t="shared" si="88"/>
        <v>0</v>
      </c>
      <c r="Q143" s="121">
        <f t="shared" si="85"/>
        <v>0</v>
      </c>
      <c r="R143" s="121">
        <f t="shared" si="85"/>
        <v>0</v>
      </c>
      <c r="S143" s="121">
        <f t="shared" si="85"/>
        <v>0</v>
      </c>
      <c r="T143" s="97">
        <f t="shared" si="85"/>
        <v>0</v>
      </c>
      <c r="U143" s="97">
        <f t="shared" si="89"/>
        <v>0.77282100000000009</v>
      </c>
      <c r="V143" s="97">
        <f t="shared" si="86"/>
        <v>0.13542100000000001</v>
      </c>
      <c r="W143" s="97">
        <f t="shared" si="86"/>
        <v>6.3739999999999991E-2</v>
      </c>
      <c r="X143" s="97">
        <f t="shared" si="86"/>
        <v>0.57366000000000006</v>
      </c>
    </row>
    <row r="144" spans="1:24">
      <c r="A144" s="249"/>
      <c r="B144" s="9" t="s">
        <v>89</v>
      </c>
      <c r="C144" s="97">
        <f t="shared" si="31"/>
        <v>30</v>
      </c>
      <c r="D144" s="97">
        <f t="shared" si="83"/>
        <v>3</v>
      </c>
      <c r="E144" s="97">
        <f t="shared" si="83"/>
        <v>25</v>
      </c>
      <c r="F144" s="97">
        <f t="shared" si="83"/>
        <v>0</v>
      </c>
      <c r="G144" s="97">
        <f t="shared" si="83"/>
        <v>0</v>
      </c>
      <c r="H144" s="97">
        <f t="shared" si="87"/>
        <v>0</v>
      </c>
      <c r="I144" s="97">
        <f t="shared" si="91"/>
        <v>0</v>
      </c>
      <c r="J144" s="97">
        <f t="shared" si="91"/>
        <v>0</v>
      </c>
      <c r="K144" s="200">
        <f t="shared" si="91"/>
        <v>0</v>
      </c>
      <c r="L144" s="97">
        <f t="shared" si="91"/>
        <v>0</v>
      </c>
      <c r="M144" s="97">
        <f t="shared" si="91"/>
        <v>0</v>
      </c>
      <c r="N144" s="121">
        <f t="shared" si="91"/>
        <v>0</v>
      </c>
      <c r="O144" s="121">
        <f t="shared" si="91"/>
        <v>0</v>
      </c>
      <c r="P144" s="121">
        <f t="shared" si="88"/>
        <v>2</v>
      </c>
      <c r="Q144" s="121">
        <f t="shared" si="85"/>
        <v>0</v>
      </c>
      <c r="R144" s="121">
        <f t="shared" si="85"/>
        <v>2</v>
      </c>
      <c r="S144" s="121">
        <f t="shared" si="85"/>
        <v>0</v>
      </c>
      <c r="T144" s="97">
        <f t="shared" si="85"/>
        <v>0</v>
      </c>
      <c r="U144" s="97">
        <f t="shared" si="89"/>
        <v>0</v>
      </c>
      <c r="V144" s="97">
        <f t="shared" si="86"/>
        <v>0</v>
      </c>
      <c r="W144" s="97">
        <f t="shared" si="86"/>
        <v>0</v>
      </c>
      <c r="X144" s="97">
        <f t="shared" si="86"/>
        <v>0</v>
      </c>
    </row>
    <row r="145" spans="1:24">
      <c r="A145" s="249"/>
      <c r="B145" s="9" t="s">
        <v>90</v>
      </c>
      <c r="C145" s="97">
        <f t="shared" si="31"/>
        <v>0</v>
      </c>
      <c r="D145" s="97">
        <f t="shared" si="83"/>
        <v>0</v>
      </c>
      <c r="E145" s="97">
        <f t="shared" si="83"/>
        <v>0</v>
      </c>
      <c r="F145" s="97">
        <f t="shared" si="83"/>
        <v>0</v>
      </c>
      <c r="G145" s="97">
        <f t="shared" si="83"/>
        <v>0</v>
      </c>
      <c r="H145" s="97">
        <f t="shared" si="87"/>
        <v>0</v>
      </c>
      <c r="I145" s="97">
        <f t="shared" si="91"/>
        <v>0</v>
      </c>
      <c r="J145" s="97">
        <f t="shared" si="91"/>
        <v>0</v>
      </c>
      <c r="K145" s="200">
        <f t="shared" si="91"/>
        <v>0</v>
      </c>
      <c r="L145" s="97">
        <f t="shared" si="91"/>
        <v>0</v>
      </c>
      <c r="M145" s="97">
        <f t="shared" si="91"/>
        <v>0</v>
      </c>
      <c r="N145" s="121">
        <f t="shared" si="91"/>
        <v>0</v>
      </c>
      <c r="O145" s="121">
        <f t="shared" si="91"/>
        <v>0</v>
      </c>
      <c r="P145" s="121">
        <f t="shared" si="88"/>
        <v>0</v>
      </c>
      <c r="Q145" s="121">
        <f t="shared" si="85"/>
        <v>0</v>
      </c>
      <c r="R145" s="121">
        <f t="shared" si="85"/>
        <v>0</v>
      </c>
      <c r="S145" s="121">
        <f t="shared" si="85"/>
        <v>0</v>
      </c>
      <c r="T145" s="97">
        <f t="shared" si="85"/>
        <v>0</v>
      </c>
      <c r="U145" s="97">
        <f t="shared" si="89"/>
        <v>0</v>
      </c>
      <c r="V145" s="97">
        <f t="shared" si="86"/>
        <v>0</v>
      </c>
      <c r="W145" s="97">
        <f t="shared" si="86"/>
        <v>0</v>
      </c>
      <c r="X145" s="97">
        <f t="shared" si="86"/>
        <v>0</v>
      </c>
    </row>
    <row r="146" spans="1:24">
      <c r="A146" s="249"/>
      <c r="B146" s="9" t="s">
        <v>91</v>
      </c>
      <c r="C146" s="97">
        <f t="shared" ref="C146:C147" si="92">SUM(D146:H146)+O146+P146+U146</f>
        <v>62.479574</v>
      </c>
      <c r="D146" s="97">
        <f t="shared" si="83"/>
        <v>0</v>
      </c>
      <c r="E146" s="97">
        <f t="shared" si="83"/>
        <v>35.113050000000001</v>
      </c>
      <c r="F146" s="97">
        <f t="shared" si="83"/>
        <v>1.1339999999999999</v>
      </c>
      <c r="G146" s="97">
        <f t="shared" si="83"/>
        <v>16.932524000000001</v>
      </c>
      <c r="H146" s="97">
        <f t="shared" si="87"/>
        <v>1.61</v>
      </c>
      <c r="I146" s="97">
        <f t="shared" si="91"/>
        <v>0</v>
      </c>
      <c r="J146" s="97">
        <f t="shared" si="91"/>
        <v>0</v>
      </c>
      <c r="K146" s="200">
        <f t="shared" si="91"/>
        <v>1.5</v>
      </c>
      <c r="L146" s="97">
        <f t="shared" si="91"/>
        <v>0</v>
      </c>
      <c r="M146" s="97">
        <f t="shared" si="91"/>
        <v>0.04</v>
      </c>
      <c r="N146" s="121">
        <f t="shared" si="91"/>
        <v>7.0000000000000007E-2</v>
      </c>
      <c r="O146" s="121">
        <f t="shared" si="91"/>
        <v>0</v>
      </c>
      <c r="P146" s="121">
        <f t="shared" si="88"/>
        <v>6.4</v>
      </c>
      <c r="Q146" s="121">
        <f t="shared" si="85"/>
        <v>0</v>
      </c>
      <c r="R146" s="121">
        <f t="shared" si="85"/>
        <v>6.4</v>
      </c>
      <c r="S146" s="121">
        <f t="shared" si="85"/>
        <v>0</v>
      </c>
      <c r="T146" s="97">
        <f t="shared" si="85"/>
        <v>0</v>
      </c>
      <c r="U146" s="97">
        <f t="shared" si="89"/>
        <v>1.29</v>
      </c>
      <c r="V146" s="97">
        <f t="shared" si="86"/>
        <v>0</v>
      </c>
      <c r="W146" s="97">
        <f t="shared" si="86"/>
        <v>0.11</v>
      </c>
      <c r="X146" s="97">
        <f t="shared" si="86"/>
        <v>1.18</v>
      </c>
    </row>
    <row r="147" spans="1:24">
      <c r="A147" s="250"/>
      <c r="B147" s="9" t="s">
        <v>66</v>
      </c>
      <c r="C147" s="99">
        <f t="shared" si="92"/>
        <v>24126.926029000002</v>
      </c>
      <c r="D147" s="99">
        <f>SUM(D123:D146)</f>
        <v>3391.0882870000005</v>
      </c>
      <c r="E147" s="99">
        <f t="shared" ref="E147:X147" si="93">SUM(E123:E146)</f>
        <v>1796.2143890000002</v>
      </c>
      <c r="F147" s="99">
        <f t="shared" si="93"/>
        <v>16005.028274999999</v>
      </c>
      <c r="G147" s="99">
        <f t="shared" si="93"/>
        <v>339.02778999999998</v>
      </c>
      <c r="H147" s="99">
        <f t="shared" si="93"/>
        <v>546.06563499999993</v>
      </c>
      <c r="I147" s="99">
        <f t="shared" si="93"/>
        <v>210.50057699999996</v>
      </c>
      <c r="J147" s="99">
        <f t="shared" si="93"/>
        <v>99.178364000000002</v>
      </c>
      <c r="K147" s="202">
        <f t="shared" si="93"/>
        <v>96.111309999999989</v>
      </c>
      <c r="L147" s="99">
        <f t="shared" si="93"/>
        <v>0</v>
      </c>
      <c r="M147" s="99">
        <f t="shared" si="93"/>
        <v>52.268759000000003</v>
      </c>
      <c r="N147" s="122">
        <f t="shared" si="93"/>
        <v>88.006624999999971</v>
      </c>
      <c r="O147" s="122">
        <f t="shared" si="93"/>
        <v>132.14346599999999</v>
      </c>
      <c r="P147" s="122">
        <f t="shared" si="93"/>
        <v>1807.7287039999999</v>
      </c>
      <c r="Q147" s="122">
        <f t="shared" si="93"/>
        <v>82.926961999999989</v>
      </c>
      <c r="R147" s="122">
        <f t="shared" si="93"/>
        <v>1486.6107170000005</v>
      </c>
      <c r="S147" s="122">
        <f t="shared" si="93"/>
        <v>176.23962699999998</v>
      </c>
      <c r="T147" s="99">
        <f t="shared" si="93"/>
        <v>61.951397999999998</v>
      </c>
      <c r="U147" s="99">
        <f t="shared" si="93"/>
        <v>109.62948299999999</v>
      </c>
      <c r="V147" s="99">
        <f t="shared" si="93"/>
        <v>37.148511999999997</v>
      </c>
      <c r="W147" s="99">
        <f t="shared" si="93"/>
        <v>33.305959999999992</v>
      </c>
      <c r="X147" s="99">
        <f t="shared" si="93"/>
        <v>39.175010999999991</v>
      </c>
    </row>
    <row r="148" spans="1:24">
      <c r="A148" s="248" t="s">
        <v>92</v>
      </c>
      <c r="B148" s="9" t="s">
        <v>93</v>
      </c>
      <c r="C148" s="97">
        <f t="shared" si="31"/>
        <v>846.89974799999993</v>
      </c>
      <c r="D148" s="97">
        <f t="shared" ref="D148:G154" si="94">D44+D96</f>
        <v>8.68</v>
      </c>
      <c r="E148" s="97">
        <f t="shared" si="94"/>
        <v>55.166699999999999</v>
      </c>
      <c r="F148" s="97">
        <f t="shared" si="94"/>
        <v>730.17020599999978</v>
      </c>
      <c r="G148" s="97">
        <f t="shared" si="94"/>
        <v>1.2</v>
      </c>
      <c r="H148" s="97">
        <f t="shared" si="87"/>
        <v>36.033088000000006</v>
      </c>
      <c r="I148" s="97">
        <f t="shared" ref="I148:O154" si="95">I44+I96</f>
        <v>2.04</v>
      </c>
      <c r="J148" s="97">
        <f t="shared" si="95"/>
        <v>14.4</v>
      </c>
      <c r="K148" s="200">
        <f>K44+K96</f>
        <v>0.333088</v>
      </c>
      <c r="L148" s="97">
        <f t="shared" si="95"/>
        <v>0</v>
      </c>
      <c r="M148" s="97">
        <f t="shared" si="95"/>
        <v>0</v>
      </c>
      <c r="N148" s="121">
        <f t="shared" si="95"/>
        <v>19.260000000000002</v>
      </c>
      <c r="O148" s="121">
        <f t="shared" si="95"/>
        <v>0</v>
      </c>
      <c r="P148" s="121">
        <f t="shared" ref="P148:P154" si="96">SUM(Q148:T148)</f>
        <v>0</v>
      </c>
      <c r="Q148" s="121">
        <f t="shared" ref="Q148:T154" si="97">Q44+Q96</f>
        <v>0</v>
      </c>
      <c r="R148" s="121">
        <f t="shared" si="97"/>
        <v>0</v>
      </c>
      <c r="S148" s="121">
        <f t="shared" si="97"/>
        <v>0</v>
      </c>
      <c r="T148" s="97">
        <f t="shared" si="97"/>
        <v>0</v>
      </c>
      <c r="U148" s="97">
        <f t="shared" ref="U148:U154" si="98">SUM(V148:Y148)</f>
        <v>15.649753999999998</v>
      </c>
      <c r="V148" s="97">
        <f t="shared" ref="V148:X154" si="99">V44+V96</f>
        <v>0</v>
      </c>
      <c r="W148" s="97">
        <f t="shared" si="99"/>
        <v>2.8</v>
      </c>
      <c r="X148" s="97">
        <f t="shared" si="99"/>
        <v>12.849753999999999</v>
      </c>
    </row>
    <row r="149" spans="1:24">
      <c r="A149" s="249"/>
      <c r="B149" s="9" t="s">
        <v>94</v>
      </c>
      <c r="C149" s="97">
        <f t="shared" si="31"/>
        <v>295.3032</v>
      </c>
      <c r="D149" s="97">
        <f t="shared" si="94"/>
        <v>6.07</v>
      </c>
      <c r="E149" s="97">
        <f t="shared" si="94"/>
        <v>84.117299999999986</v>
      </c>
      <c r="F149" s="97">
        <f t="shared" si="94"/>
        <v>163.437782</v>
      </c>
      <c r="G149" s="97">
        <f t="shared" si="94"/>
        <v>25.291034</v>
      </c>
      <c r="H149" s="97">
        <f t="shared" si="87"/>
        <v>15.278794000000001</v>
      </c>
      <c r="I149" s="97">
        <f t="shared" si="95"/>
        <v>1.740966</v>
      </c>
      <c r="J149" s="97">
        <f t="shared" si="95"/>
        <v>4.1972760000000005</v>
      </c>
      <c r="K149" s="200">
        <f>K45+K97</f>
        <v>0.32827600000000001</v>
      </c>
      <c r="L149" s="97">
        <f t="shared" si="95"/>
        <v>0</v>
      </c>
      <c r="M149" s="97">
        <f t="shared" si="95"/>
        <v>0.17699999999999999</v>
      </c>
      <c r="N149" s="121">
        <f t="shared" si="95"/>
        <v>8.8352760000000004</v>
      </c>
      <c r="O149" s="121">
        <f t="shared" si="95"/>
        <v>0.2</v>
      </c>
      <c r="P149" s="121">
        <f t="shared" si="96"/>
        <v>0</v>
      </c>
      <c r="Q149" s="121">
        <f t="shared" si="97"/>
        <v>0</v>
      </c>
      <c r="R149" s="121">
        <f t="shared" si="97"/>
        <v>0</v>
      </c>
      <c r="S149" s="121">
        <f t="shared" si="97"/>
        <v>0</v>
      </c>
      <c r="T149" s="97">
        <f t="shared" si="97"/>
        <v>0</v>
      </c>
      <c r="U149" s="97">
        <f t="shared" si="98"/>
        <v>0.90829000000000004</v>
      </c>
      <c r="V149" s="97">
        <f t="shared" si="99"/>
        <v>0</v>
      </c>
      <c r="W149" s="97">
        <f t="shared" si="99"/>
        <v>0.02</v>
      </c>
      <c r="X149" s="97">
        <f t="shared" si="99"/>
        <v>0.88829000000000002</v>
      </c>
    </row>
    <row r="150" spans="1:24">
      <c r="A150" s="249"/>
      <c r="B150" s="9" t="s">
        <v>95</v>
      </c>
      <c r="C150" s="97">
        <f t="shared" si="31"/>
        <v>3070.5473810000008</v>
      </c>
      <c r="D150" s="97">
        <f t="shared" si="94"/>
        <v>22.1</v>
      </c>
      <c r="E150" s="97">
        <f t="shared" si="94"/>
        <v>251.30617400000006</v>
      </c>
      <c r="F150" s="97">
        <f>F46+F98</f>
        <v>2347.1245030000005</v>
      </c>
      <c r="G150" s="97">
        <f t="shared" si="94"/>
        <v>41.791583000000003</v>
      </c>
      <c r="H150" s="97">
        <f t="shared" si="87"/>
        <v>240.35976099999999</v>
      </c>
      <c r="I150" s="97">
        <f t="shared" si="95"/>
        <v>46.104331999999999</v>
      </c>
      <c r="J150" s="97">
        <f t="shared" si="95"/>
        <v>46.104331999999999</v>
      </c>
      <c r="K150" s="200">
        <f t="shared" si="95"/>
        <v>46.049859999999995</v>
      </c>
      <c r="L150" s="97">
        <f t="shared" si="95"/>
        <v>0</v>
      </c>
      <c r="M150" s="97">
        <f t="shared" si="95"/>
        <v>56.796905000000002</v>
      </c>
      <c r="N150" s="121">
        <f t="shared" si="95"/>
        <v>45.304332000000002</v>
      </c>
      <c r="O150" s="121">
        <f t="shared" si="95"/>
        <v>0</v>
      </c>
      <c r="P150" s="121">
        <f t="shared" si="96"/>
        <v>71.081153999999998</v>
      </c>
      <c r="Q150" s="121">
        <f t="shared" si="97"/>
        <v>16.702241000000001</v>
      </c>
      <c r="R150" s="121">
        <f t="shared" si="97"/>
        <v>16.782240999999999</v>
      </c>
      <c r="S150" s="121">
        <f t="shared" si="97"/>
        <v>20.774435</v>
      </c>
      <c r="T150" s="97">
        <f t="shared" si="97"/>
        <v>16.822237000000001</v>
      </c>
      <c r="U150" s="97">
        <f t="shared" si="98"/>
        <v>96.784206000000012</v>
      </c>
      <c r="V150" s="97">
        <f t="shared" si="99"/>
        <v>0</v>
      </c>
      <c r="W150" s="97">
        <f t="shared" si="99"/>
        <v>55.113213000000002</v>
      </c>
      <c r="X150" s="97">
        <f t="shared" si="99"/>
        <v>41.670993000000003</v>
      </c>
    </row>
    <row r="151" spans="1:24">
      <c r="A151" s="249"/>
      <c r="B151" s="9" t="s">
        <v>96</v>
      </c>
      <c r="C151" s="97">
        <f t="shared" si="31"/>
        <v>1222.2041319999998</v>
      </c>
      <c r="D151" s="97">
        <f t="shared" si="94"/>
        <v>189.98681999999997</v>
      </c>
      <c r="E151" s="97">
        <f t="shared" si="94"/>
        <v>0</v>
      </c>
      <c r="F151" s="97">
        <f t="shared" si="94"/>
        <v>972.08991200000003</v>
      </c>
      <c r="G151" s="97">
        <f t="shared" si="94"/>
        <v>0</v>
      </c>
      <c r="H151" s="97">
        <f t="shared" si="87"/>
        <v>50.054512000000003</v>
      </c>
      <c r="I151" s="97">
        <f t="shared" si="95"/>
        <v>0</v>
      </c>
      <c r="J151" s="97">
        <f t="shared" si="95"/>
        <v>0</v>
      </c>
      <c r="K151" s="200">
        <f t="shared" si="95"/>
        <v>0</v>
      </c>
      <c r="L151" s="97">
        <f t="shared" si="95"/>
        <v>0</v>
      </c>
      <c r="M151" s="97">
        <f t="shared" si="95"/>
        <v>50.054512000000003</v>
      </c>
      <c r="N151" s="121">
        <f t="shared" si="95"/>
        <v>0</v>
      </c>
      <c r="O151" s="121">
        <f t="shared" si="95"/>
        <v>0</v>
      </c>
      <c r="P151" s="121">
        <f t="shared" si="96"/>
        <v>0</v>
      </c>
      <c r="Q151" s="121">
        <f t="shared" si="97"/>
        <v>0</v>
      </c>
      <c r="R151" s="121">
        <f t="shared" si="97"/>
        <v>0</v>
      </c>
      <c r="S151" s="121">
        <f t="shared" si="97"/>
        <v>0</v>
      </c>
      <c r="T151" s="97">
        <f t="shared" si="97"/>
        <v>0</v>
      </c>
      <c r="U151" s="97">
        <f t="shared" si="98"/>
        <v>10.072888000000001</v>
      </c>
      <c r="V151" s="97">
        <f t="shared" si="99"/>
        <v>0</v>
      </c>
      <c r="W151" s="97">
        <f t="shared" si="99"/>
        <v>6.1368910000000003</v>
      </c>
      <c r="X151" s="97">
        <f t="shared" si="99"/>
        <v>3.935997</v>
      </c>
    </row>
    <row r="152" spans="1:24">
      <c r="A152" s="249"/>
      <c r="B152" s="9" t="s">
        <v>97</v>
      </c>
      <c r="C152" s="97">
        <f t="shared" si="31"/>
        <v>304.71022400000004</v>
      </c>
      <c r="D152" s="97">
        <f t="shared" si="94"/>
        <v>275.25822400000004</v>
      </c>
      <c r="E152" s="97">
        <f t="shared" si="94"/>
        <v>0</v>
      </c>
      <c r="F152" s="97">
        <f t="shared" si="94"/>
        <v>1.666668</v>
      </c>
      <c r="G152" s="97">
        <f t="shared" si="94"/>
        <v>0</v>
      </c>
      <c r="H152" s="97">
        <f t="shared" si="87"/>
        <v>0</v>
      </c>
      <c r="I152" s="97">
        <f t="shared" si="95"/>
        <v>0</v>
      </c>
      <c r="J152" s="97">
        <f t="shared" si="95"/>
        <v>0</v>
      </c>
      <c r="K152" s="200">
        <f t="shared" si="95"/>
        <v>0</v>
      </c>
      <c r="L152" s="97">
        <f t="shared" si="95"/>
        <v>0</v>
      </c>
      <c r="M152" s="97">
        <f t="shared" si="95"/>
        <v>0</v>
      </c>
      <c r="N152" s="121">
        <f t="shared" si="95"/>
        <v>0</v>
      </c>
      <c r="O152" s="121">
        <f t="shared" si="95"/>
        <v>0</v>
      </c>
      <c r="P152" s="121">
        <f t="shared" si="96"/>
        <v>0</v>
      </c>
      <c r="Q152" s="121">
        <f t="shared" si="97"/>
        <v>0</v>
      </c>
      <c r="R152" s="121">
        <f t="shared" si="97"/>
        <v>0</v>
      </c>
      <c r="S152" s="121">
        <f t="shared" si="97"/>
        <v>0</v>
      </c>
      <c r="T152" s="97">
        <f t="shared" si="97"/>
        <v>0</v>
      </c>
      <c r="U152" s="97">
        <f t="shared" si="98"/>
        <v>27.785332</v>
      </c>
      <c r="V152" s="97">
        <f t="shared" si="99"/>
        <v>0</v>
      </c>
      <c r="W152" s="97">
        <f t="shared" si="99"/>
        <v>0</v>
      </c>
      <c r="X152" s="97">
        <f t="shared" si="99"/>
        <v>27.785332</v>
      </c>
    </row>
    <row r="153" spans="1:24">
      <c r="A153" s="249"/>
      <c r="B153" s="9" t="s">
        <v>98</v>
      </c>
      <c r="C153" s="97">
        <f t="shared" si="31"/>
        <v>672.26350599999989</v>
      </c>
      <c r="D153" s="97">
        <f t="shared" si="94"/>
        <v>-214.82947200000001</v>
      </c>
      <c r="E153" s="97">
        <f t="shared" si="94"/>
        <v>10.827835</v>
      </c>
      <c r="F153" s="97">
        <f t="shared" si="94"/>
        <v>438.14515299999999</v>
      </c>
      <c r="G153" s="97">
        <f t="shared" si="94"/>
        <v>105.20661199999999</v>
      </c>
      <c r="H153" s="97">
        <f t="shared" si="87"/>
        <v>210.549531</v>
      </c>
      <c r="I153" s="97">
        <f t="shared" si="95"/>
        <v>82.543274999999994</v>
      </c>
      <c r="J153" s="97">
        <f t="shared" si="95"/>
        <v>43.37294</v>
      </c>
      <c r="K153" s="200">
        <f t="shared" si="95"/>
        <v>25.424064000000001</v>
      </c>
      <c r="L153" s="97">
        <f t="shared" si="95"/>
        <v>0</v>
      </c>
      <c r="M153" s="97">
        <f t="shared" si="95"/>
        <v>6.1896469999999999</v>
      </c>
      <c r="N153" s="121">
        <f t="shared" si="95"/>
        <v>53.019604999999999</v>
      </c>
      <c r="O153" s="121">
        <f t="shared" si="95"/>
        <v>34.86</v>
      </c>
      <c r="P153" s="121">
        <f t="shared" si="96"/>
        <v>69.859612999999996</v>
      </c>
      <c r="Q153" s="121">
        <f t="shared" si="97"/>
        <v>14.837150000000001</v>
      </c>
      <c r="R153" s="121">
        <f t="shared" si="97"/>
        <v>30.165853999999996</v>
      </c>
      <c r="S153" s="121">
        <f t="shared" si="97"/>
        <v>14.38335</v>
      </c>
      <c r="T153" s="97">
        <f t="shared" si="97"/>
        <v>10.473258999999999</v>
      </c>
      <c r="U153" s="97">
        <f t="shared" si="98"/>
        <v>17.644233999999997</v>
      </c>
      <c r="V153" s="97">
        <f t="shared" si="99"/>
        <v>0</v>
      </c>
      <c r="W153" s="97">
        <f t="shared" si="99"/>
        <v>9.8521409999999996</v>
      </c>
      <c r="X153" s="97">
        <f t="shared" si="99"/>
        <v>7.7920929999999995</v>
      </c>
    </row>
    <row r="154" spans="1:24">
      <c r="A154" s="249"/>
      <c r="B154" s="9" t="s">
        <v>99</v>
      </c>
      <c r="C154" s="97">
        <f t="shared" si="31"/>
        <v>10</v>
      </c>
      <c r="D154" s="97">
        <f t="shared" si="94"/>
        <v>0</v>
      </c>
      <c r="E154" s="97">
        <f t="shared" si="94"/>
        <v>0</v>
      </c>
      <c r="F154" s="97">
        <f t="shared" si="94"/>
        <v>10</v>
      </c>
      <c r="G154" s="97">
        <f t="shared" si="94"/>
        <v>0</v>
      </c>
      <c r="H154" s="97">
        <f t="shared" si="87"/>
        <v>0</v>
      </c>
      <c r="I154" s="97">
        <f t="shared" si="95"/>
        <v>0</v>
      </c>
      <c r="J154" s="97">
        <f t="shared" si="95"/>
        <v>0</v>
      </c>
      <c r="K154" s="200">
        <f t="shared" si="95"/>
        <v>0</v>
      </c>
      <c r="L154" s="97">
        <f t="shared" si="95"/>
        <v>0</v>
      </c>
      <c r="M154" s="97">
        <f t="shared" si="95"/>
        <v>0</v>
      </c>
      <c r="N154" s="121">
        <f t="shared" si="95"/>
        <v>0</v>
      </c>
      <c r="O154" s="121">
        <f t="shared" si="95"/>
        <v>0</v>
      </c>
      <c r="P154" s="121">
        <f t="shared" si="96"/>
        <v>0</v>
      </c>
      <c r="Q154" s="121">
        <f t="shared" si="97"/>
        <v>0</v>
      </c>
      <c r="R154" s="121">
        <f t="shared" si="97"/>
        <v>0</v>
      </c>
      <c r="S154" s="121">
        <f t="shared" si="97"/>
        <v>0</v>
      </c>
      <c r="T154" s="97">
        <f t="shared" si="97"/>
        <v>0</v>
      </c>
      <c r="U154" s="97">
        <f t="shared" si="98"/>
        <v>0</v>
      </c>
      <c r="V154" s="97">
        <f t="shared" si="99"/>
        <v>0</v>
      </c>
      <c r="W154" s="97">
        <f t="shared" si="99"/>
        <v>0</v>
      </c>
      <c r="X154" s="97">
        <f t="shared" si="99"/>
        <v>0</v>
      </c>
    </row>
    <row r="155" spans="1:24">
      <c r="A155" s="250"/>
      <c r="B155" s="9" t="s">
        <v>66</v>
      </c>
      <c r="C155" s="100">
        <f>SUM(C148:C154)</f>
        <v>6421.9281910000009</v>
      </c>
      <c r="D155" s="100">
        <f>SUM(D148:D154)</f>
        <v>287.26557200000002</v>
      </c>
      <c r="E155" s="100">
        <f t="shared" ref="E155" si="100">SUM(E148:E154)</f>
        <v>401.41800900000004</v>
      </c>
      <c r="F155" s="100">
        <f t="shared" ref="F155" si="101">SUM(F148:F154)</f>
        <v>4662.6342240000004</v>
      </c>
      <c r="G155" s="100">
        <f t="shared" ref="G155:H155" si="102">SUM(G148:G154)</f>
        <v>173.48922899999999</v>
      </c>
      <c r="H155" s="100">
        <f t="shared" si="102"/>
        <v>552.27568599999995</v>
      </c>
      <c r="I155" s="100">
        <f t="shared" ref="I155" si="103">SUM(I148:I154)</f>
        <v>132.428573</v>
      </c>
      <c r="J155" s="100">
        <f t="shared" ref="J155" si="104">SUM(J148:J154)</f>
        <v>108.07454799999999</v>
      </c>
      <c r="K155" s="203">
        <f t="shared" ref="K155" si="105">SUM(K148:K154)</f>
        <v>72.135288000000003</v>
      </c>
      <c r="L155" s="100">
        <f t="shared" ref="L155" si="106">SUM(L148:L154)</f>
        <v>0</v>
      </c>
      <c r="M155" s="100">
        <f t="shared" ref="M155" si="107">SUM(M148:M154)</f>
        <v>113.218064</v>
      </c>
      <c r="N155" s="100">
        <f t="shared" ref="N155" si="108">SUM(N148:N154)</f>
        <v>126.419213</v>
      </c>
      <c r="O155" s="100">
        <f t="shared" ref="O155" si="109">SUM(O148:O154)</f>
        <v>35.06</v>
      </c>
      <c r="P155" s="100">
        <f t="shared" ref="P155" si="110">SUM(P148:P154)</f>
        <v>140.94076699999999</v>
      </c>
      <c r="Q155" s="100">
        <f t="shared" ref="Q155" si="111">SUM(Q148:Q154)</f>
        <v>31.539391000000002</v>
      </c>
      <c r="R155" s="100">
        <f t="shared" ref="R155" si="112">SUM(R148:R154)</f>
        <v>46.948094999999995</v>
      </c>
      <c r="S155" s="100">
        <f t="shared" ref="S155" si="113">SUM(S148:S154)</f>
        <v>35.157785000000004</v>
      </c>
      <c r="T155" s="100">
        <f t="shared" ref="T155" si="114">SUM(T148:T154)</f>
        <v>27.295496</v>
      </c>
      <c r="U155" s="100">
        <f t="shared" ref="U155" si="115">SUM(U148:U154)</f>
        <v>168.84470400000004</v>
      </c>
      <c r="V155" s="100">
        <f t="shared" ref="V155" si="116">SUM(V148:V154)</f>
        <v>0</v>
      </c>
      <c r="W155" s="100">
        <f t="shared" ref="W155" si="117">SUM(W148:W154)</f>
        <v>73.922245000000004</v>
      </c>
      <c r="X155" s="100">
        <f t="shared" ref="X155" si="118">SUM(X148:X154)</f>
        <v>94.922458999999989</v>
      </c>
    </row>
    <row r="156" spans="1:24" ht="14.25" thickBot="1">
      <c r="A156" s="14"/>
      <c r="B156" s="14" t="s">
        <v>100</v>
      </c>
      <c r="C156" s="101">
        <f>C155+C147+C122+C117</f>
        <v>102528.704233</v>
      </c>
      <c r="D156" s="101">
        <f t="shared" ref="D156" si="119">D155+D147+D122+D117</f>
        <v>37816.308405000003</v>
      </c>
      <c r="E156" s="101">
        <f t="shared" ref="E156" si="120">E155+E147+E122+E117</f>
        <v>7120.6980949999997</v>
      </c>
      <c r="F156" s="125">
        <f t="shared" ref="F156" si="121">F155+F147+F122+F117</f>
        <v>45677.821611999992</v>
      </c>
      <c r="G156" s="101">
        <f t="shared" ref="G156:H156" si="122">G155+G147+G122+G117</f>
        <v>1915.2546179999999</v>
      </c>
      <c r="H156" s="101">
        <f t="shared" si="122"/>
        <v>3075.7756669999999</v>
      </c>
      <c r="I156" s="101">
        <f t="shared" ref="I156" si="123">I155+I147+I122+I117</f>
        <v>1044.7091189999999</v>
      </c>
      <c r="J156" s="125">
        <f t="shared" ref="J156" si="124">J155+J147+J122+J117</f>
        <v>715.80474800000002</v>
      </c>
      <c r="K156" s="204">
        <f t="shared" ref="K156" si="125">K155+K147+K122+K117</f>
        <v>419.43664200000001</v>
      </c>
      <c r="L156" s="101">
        <f t="shared" ref="L156" si="126">L155+L147+L122+L117</f>
        <v>0</v>
      </c>
      <c r="M156" s="101">
        <f t="shared" ref="M156" si="127">M155+M147+M122+M117</f>
        <v>352.38681800000006</v>
      </c>
      <c r="N156" s="123">
        <f t="shared" ref="N156" si="128">N155+N147+N122+N117</f>
        <v>543.43833999999993</v>
      </c>
      <c r="O156" s="123">
        <f t="shared" ref="O156" si="129">O155+O147+O122+O117</f>
        <v>1081.7817180000002</v>
      </c>
      <c r="P156" s="123">
        <f t="shared" ref="P156" si="130">P155+P147+P122+P117</f>
        <v>5022.2942440000006</v>
      </c>
      <c r="Q156" s="123">
        <f t="shared" ref="Q156" si="131">Q155+Q147+Q122+Q117</f>
        <v>259.05896900000005</v>
      </c>
      <c r="R156" s="123">
        <f t="shared" ref="R156" si="132">R155+R147+R122+R117</f>
        <v>3805.5208380000004</v>
      </c>
      <c r="S156" s="123">
        <f t="shared" ref="S156" si="133">S155+S147+S122+S117</f>
        <v>667.09297700000002</v>
      </c>
      <c r="T156" s="125">
        <f t="shared" ref="T156" si="134">T155+T147+T122+T117</f>
        <v>290.62146000000001</v>
      </c>
      <c r="U156" s="101">
        <f>U155+U147+U122+U117</f>
        <v>818.76987399999996</v>
      </c>
      <c r="V156" s="125">
        <f t="shared" ref="V156" si="135">V155+V147+V122+V117</f>
        <v>105.96980099999999</v>
      </c>
      <c r="W156" s="125">
        <f t="shared" ref="W156" si="136">W155+W147+W122+W117</f>
        <v>145.438256</v>
      </c>
      <c r="X156" s="101">
        <f>X155+X147+X122+X117</f>
        <v>567.36181699999997</v>
      </c>
    </row>
    <row r="158" spans="1:24" s="72" customFormat="1" ht="12">
      <c r="B158" s="71" t="s">
        <v>148</v>
      </c>
      <c r="C158" s="73">
        <f>C156-累计利润调整表!B77</f>
        <v>0</v>
      </c>
      <c r="D158" s="73">
        <f>D156-累计利润调整表!C77</f>
        <v>0</v>
      </c>
      <c r="E158" s="73">
        <f>E156-累计利润调整表!D77</f>
        <v>1.3642420526593924E-11</v>
      </c>
      <c r="F158" s="73">
        <f>F156-累计利润调整表!E77</f>
        <v>0</v>
      </c>
      <c r="G158" s="73">
        <f>G156-累计利润调整表!F77</f>
        <v>0</v>
      </c>
      <c r="H158" s="73">
        <f>H156-累计利润调整表!G77</f>
        <v>0</v>
      </c>
      <c r="I158" s="73">
        <f>I156-累计利润调整表!H77</f>
        <v>0</v>
      </c>
      <c r="J158" s="73">
        <f>J156-累计利润调整表!I77</f>
        <v>0</v>
      </c>
      <c r="K158" s="205">
        <f>K156-累计利润调整表!J77</f>
        <v>0</v>
      </c>
      <c r="L158" s="73">
        <f>L156-累计利润调整表!K77</f>
        <v>0</v>
      </c>
      <c r="M158" s="73">
        <f>M156-累计利润调整表!L77</f>
        <v>0</v>
      </c>
      <c r="N158" s="124">
        <f>N156-累计利润调整表!M77</f>
        <v>0</v>
      </c>
      <c r="O158" s="124">
        <f>O156-累计利润调整表!N77</f>
        <v>0</v>
      </c>
      <c r="P158" s="124">
        <f>P156-累计利润调整表!O77</f>
        <v>0</v>
      </c>
      <c r="Q158" s="124">
        <f>Q156-累计利润调整表!P77</f>
        <v>0</v>
      </c>
      <c r="R158" s="124">
        <f>R156-累计利润调整表!Q77</f>
        <v>0</v>
      </c>
      <c r="S158" s="124">
        <f>S156-累计利润调整表!R77</f>
        <v>0</v>
      </c>
      <c r="T158" s="73">
        <f>T156-累计利润调整表!S77</f>
        <v>0</v>
      </c>
      <c r="U158" s="73">
        <f>U156-累计利润调整表!T77</f>
        <v>0</v>
      </c>
      <c r="V158" s="73">
        <f>V156-累计利润调整表!U77</f>
        <v>0</v>
      </c>
      <c r="W158" s="73">
        <f>W156-累计利润调整表!V77</f>
        <v>0</v>
      </c>
      <c r="X158" s="73">
        <f>X156-累计利润调整表!W77</f>
        <v>0</v>
      </c>
    </row>
    <row r="159" spans="1:24">
      <c r="K159" s="199">
        <f>K156-K122-K132</f>
        <v>389.63537300000002</v>
      </c>
      <c r="M159" s="150">
        <f>M156+K156-K118-K120-K132</f>
        <v>751.68794400000002</v>
      </c>
      <c r="W159" s="150"/>
      <c r="X159" s="150"/>
    </row>
    <row r="161" spans="3:24">
      <c r="C161" s="236">
        <f>(C123-[2]累计考核费用!C123)/ C123</f>
        <v>0.21792107346567585</v>
      </c>
      <c r="D161" s="236">
        <f>(D123-[2]累计考核费用!D123)/ D123</f>
        <v>0.47013654744435623</v>
      </c>
      <c r="E161" s="236">
        <f>(E123-[2]累计考核费用!E123)/ E123</f>
        <v>0.15944624788143172</v>
      </c>
      <c r="F161" s="236">
        <f>(F123-[2]累计考核费用!F123)/ F123</f>
        <v>0.14400145167330783</v>
      </c>
      <c r="G161" s="236">
        <f>(G123-[2]累计考核费用!G123)/ G123</f>
        <v>0.21401408011058315</v>
      </c>
      <c r="H161" s="236">
        <f>(H123-[2]累计考核费用!H123)/ H123</f>
        <v>0.17049926292780079</v>
      </c>
      <c r="I161" s="236">
        <f>(I123-[2]累计考核费用!I123)/ I123</f>
        <v>0.24218437457727088</v>
      </c>
      <c r="J161" s="236">
        <f>(J123-[2]累计考核费用!J123)/ J123</f>
        <v>0.13641245151136647</v>
      </c>
      <c r="K161" s="236">
        <f>(K123-[2]累计考核费用!K123)/ K123</f>
        <v>6.9744479606980825E-2</v>
      </c>
      <c r="L161" s="237" t="e">
        <f>(L123-[2]累计考核费用!L123)/ L123</f>
        <v>#DIV/0!</v>
      </c>
      <c r="M161" s="236">
        <f>(M123-[2]累计考核费用!M123)/ M123</f>
        <v>0.18028771960659809</v>
      </c>
      <c r="N161" s="236">
        <f>(N123-[2]累计考核费用!N123)/ N123</f>
        <v>0.1543527377469287</v>
      </c>
      <c r="O161" s="236">
        <f>(O123-[2]累计考核费用!O123)/ O123</f>
        <v>0.31268777825515137</v>
      </c>
      <c r="P161" s="236">
        <f>(P123-[2]累计考核费用!P123)/ P123</f>
        <v>0.35563840745118536</v>
      </c>
      <c r="Q161" s="236">
        <f>(Q123-[2]累计考核费用!Q123)/ Q123</f>
        <v>0.53115451175449846</v>
      </c>
      <c r="R161" s="236">
        <f>(R123-[2]累计考核费用!R123)/ R123</f>
        <v>0.36998335315199488</v>
      </c>
      <c r="S161" s="236">
        <f>(S123-[2]累计考核费用!S123)/ S123</f>
        <v>0.26290401305712546</v>
      </c>
      <c r="T161" s="236">
        <f>(T123-[2]累计考核费用!T123)/ T123</f>
        <v>0.13411771157134972</v>
      </c>
      <c r="U161" s="236">
        <f>(U123-[2]累计考核费用!U123)/ U123</f>
        <v>0.34058211302921831</v>
      </c>
      <c r="V161" s="236">
        <f>(V123-[2]累计考核费用!V123)/ V123</f>
        <v>0.46402511081455239</v>
      </c>
      <c r="W161" s="236">
        <f>(W123-[2]累计考核费用!W123)/ W123</f>
        <v>0.34002271118554939</v>
      </c>
      <c r="X161" s="236">
        <f>(X123-[2]累计考核费用!X123)/ X123</f>
        <v>0.20122252994760878</v>
      </c>
    </row>
  </sheetData>
  <mergeCells count="13">
    <mergeCell ref="A56:A65"/>
    <mergeCell ref="A66:A70"/>
    <mergeCell ref="A71:A95"/>
    <mergeCell ref="A96:A103"/>
    <mergeCell ref="A148:A155"/>
    <mergeCell ref="A108:A117"/>
    <mergeCell ref="A118:A122"/>
    <mergeCell ref="A123:A147"/>
    <mergeCell ref="A14:A18"/>
    <mergeCell ref="A19:A43"/>
    <mergeCell ref="A44:A51"/>
    <mergeCell ref="A1:X1"/>
    <mergeCell ref="A4:A13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B19" sqref="B19"/>
    </sheetView>
  </sheetViews>
  <sheetFormatPr defaultRowHeight="13.5"/>
  <cols>
    <col min="1" max="1" width="17.25" style="15" bestFit="1" customWidth="1"/>
    <col min="2" max="2" width="14.125" customWidth="1"/>
    <col min="3" max="3" width="20.5" bestFit="1" customWidth="1"/>
  </cols>
  <sheetData>
    <row r="1" spans="1:3" ht="24" customHeight="1">
      <c r="A1" s="253" t="s">
        <v>120</v>
      </c>
      <c r="B1" s="253"/>
      <c r="C1" s="253"/>
    </row>
    <row r="2" spans="1:3" ht="14.25" thickBot="1">
      <c r="A2" s="27"/>
      <c r="B2" s="1"/>
      <c r="C2" s="28" t="s">
        <v>121</v>
      </c>
    </row>
    <row r="3" spans="1:3">
      <c r="A3" s="251" t="s">
        <v>106</v>
      </c>
      <c r="B3" s="251" t="s">
        <v>107</v>
      </c>
      <c r="C3" s="251" t="s">
        <v>108</v>
      </c>
    </row>
    <row r="4" spans="1:3">
      <c r="A4" s="252"/>
      <c r="B4" s="252"/>
      <c r="C4" s="252"/>
    </row>
    <row r="5" spans="1:3">
      <c r="A5" s="2" t="s">
        <v>104</v>
      </c>
      <c r="B5" s="62">
        <f>累计利润调整表!B25</f>
        <v>97571.549015000026</v>
      </c>
      <c r="C5" s="17"/>
    </row>
    <row r="6" spans="1:3">
      <c r="A6" s="2" t="s">
        <v>105</v>
      </c>
      <c r="B6" s="62">
        <f>SUM(B7:B10)</f>
        <v>2634.7</v>
      </c>
      <c r="C6" s="39"/>
    </row>
    <row r="7" spans="1:3">
      <c r="A7" s="44" t="s">
        <v>171</v>
      </c>
      <c r="B7" s="63">
        <f>累计利润调整表!B59</f>
        <v>2634.7</v>
      </c>
      <c r="C7" s="40"/>
    </row>
    <row r="8" spans="1:3">
      <c r="A8" s="44" t="s">
        <v>101</v>
      </c>
      <c r="B8" s="63"/>
      <c r="C8" s="40"/>
    </row>
    <row r="9" spans="1:3">
      <c r="A9" s="44" t="s">
        <v>102</v>
      </c>
      <c r="B9" s="63"/>
      <c r="C9" s="40"/>
    </row>
    <row r="10" spans="1:3">
      <c r="A10" s="44" t="s">
        <v>103</v>
      </c>
      <c r="B10" s="63"/>
      <c r="C10" s="40"/>
    </row>
    <row r="11" spans="1:3">
      <c r="A11" s="16" t="s">
        <v>115</v>
      </c>
      <c r="B11" s="62">
        <f>SUM(B12:B17)</f>
        <v>-1.4921397450962104E-13</v>
      </c>
      <c r="C11" s="39"/>
    </row>
    <row r="12" spans="1:3">
      <c r="A12" s="10">
        <v>1</v>
      </c>
      <c r="B12" s="63">
        <f>累计利润调整表!B45</f>
        <v>-1.4921397450962104E-13</v>
      </c>
      <c r="C12" s="61"/>
    </row>
    <row r="13" spans="1:3">
      <c r="A13" s="10" t="s">
        <v>101</v>
      </c>
      <c r="B13" s="63"/>
      <c r="C13" s="40"/>
    </row>
    <row r="14" spans="1:3">
      <c r="A14" s="10" t="s">
        <v>102</v>
      </c>
      <c r="B14" s="63"/>
      <c r="C14" s="40"/>
    </row>
    <row r="15" spans="1:3">
      <c r="A15" s="10" t="s">
        <v>103</v>
      </c>
      <c r="B15" s="63"/>
      <c r="C15" s="40"/>
    </row>
    <row r="16" spans="1:3">
      <c r="A16" s="10"/>
      <c r="B16" s="63"/>
      <c r="C16" s="40"/>
    </row>
    <row r="17" spans="1:3">
      <c r="A17" s="10"/>
      <c r="B17" s="63"/>
      <c r="C17" s="40"/>
    </row>
    <row r="18" spans="1:3">
      <c r="A18" s="16" t="s">
        <v>116</v>
      </c>
      <c r="B18" s="62">
        <f>SUM(B19:B20)</f>
        <v>658.68</v>
      </c>
      <c r="C18" s="39"/>
    </row>
    <row r="19" spans="1:3">
      <c r="A19" s="10" t="s">
        <v>198</v>
      </c>
      <c r="B19" s="63">
        <f>累计利润调整表!B53</f>
        <v>658.68</v>
      </c>
      <c r="C19" s="40" t="s">
        <v>199</v>
      </c>
    </row>
    <row r="20" spans="1:3">
      <c r="A20" s="10" t="s">
        <v>103</v>
      </c>
      <c r="B20" s="63"/>
      <c r="C20" s="40"/>
    </row>
    <row r="21" spans="1:3" ht="14.25" thickBot="1">
      <c r="A21" s="3" t="s">
        <v>117</v>
      </c>
      <c r="B21" s="64">
        <f>B5+B6-B11-B18</f>
        <v>99547.56901500003</v>
      </c>
      <c r="C21" s="41"/>
    </row>
    <row r="22" spans="1:3">
      <c r="B22" s="65"/>
      <c r="C22" s="42"/>
    </row>
    <row r="23" spans="1:3">
      <c r="A23" s="16" t="s">
        <v>118</v>
      </c>
      <c r="B23" s="62">
        <f>累计利润调整表!B58</f>
        <v>34806.28</v>
      </c>
      <c r="C23" s="39"/>
    </row>
    <row r="24" spans="1:3" ht="14.25" thickBot="1">
      <c r="A24" s="3" t="s">
        <v>119</v>
      </c>
      <c r="B24" s="64">
        <f>B21-B23</f>
        <v>64741.289015000031</v>
      </c>
      <c r="C24" s="41"/>
    </row>
    <row r="25" spans="1:3">
      <c r="A25" s="15" t="s">
        <v>172</v>
      </c>
      <c r="B25" s="65">
        <f>B24-累计利润调整表!B90</f>
        <v>-2.9999999969732016E-3</v>
      </c>
    </row>
    <row r="26" spans="1:3">
      <c r="A26" s="43" t="s">
        <v>123</v>
      </c>
    </row>
    <row r="27" spans="1:3">
      <c r="A27" s="43" t="s">
        <v>124</v>
      </c>
    </row>
    <row r="28" spans="1:3">
      <c r="A28" s="43" t="s">
        <v>125</v>
      </c>
    </row>
    <row r="29" spans="1:3">
      <c r="A29" s="43" t="s">
        <v>126</v>
      </c>
    </row>
  </sheetData>
  <mergeCells count="4">
    <mergeCell ref="A3:A4"/>
    <mergeCell ref="B3:B4"/>
    <mergeCell ref="C3:C4"/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3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C84" sqref="C84"/>
    </sheetView>
  </sheetViews>
  <sheetFormatPr defaultRowHeight="13.5"/>
  <cols>
    <col min="1" max="1" width="9.875" customWidth="1"/>
    <col min="2" max="2" width="43" style="29" customWidth="1"/>
    <col min="3" max="3" width="14.625" style="29" customWidth="1"/>
    <col min="4" max="4" width="14.25" style="29" customWidth="1"/>
    <col min="5" max="5" width="15.25" style="29" customWidth="1"/>
    <col min="6" max="6" width="16.625" style="29" customWidth="1"/>
    <col min="7" max="7" width="45.125" style="188" customWidth="1"/>
  </cols>
  <sheetData>
    <row r="1" spans="1:7" ht="16.5">
      <c r="A1" s="156"/>
      <c r="B1" s="157" t="s">
        <v>106</v>
      </c>
      <c r="C1" s="157" t="s">
        <v>200</v>
      </c>
      <c r="D1" s="157" t="s">
        <v>201</v>
      </c>
      <c r="E1" s="157" t="s">
        <v>237</v>
      </c>
      <c r="F1" s="157" t="s">
        <v>108</v>
      </c>
      <c r="G1" s="179" t="s">
        <v>238</v>
      </c>
    </row>
    <row r="2" spans="1:7" ht="16.5">
      <c r="A2" s="254" t="s">
        <v>202</v>
      </c>
      <c r="B2" s="158" t="s">
        <v>203</v>
      </c>
      <c r="C2" s="158">
        <v>-202445.6</v>
      </c>
      <c r="D2" s="158" t="s">
        <v>204</v>
      </c>
      <c r="E2" s="158">
        <f>-C2</f>
        <v>202445.6</v>
      </c>
      <c r="F2" s="158" t="s">
        <v>174</v>
      </c>
      <c r="G2" s="180" t="s">
        <v>239</v>
      </c>
    </row>
    <row r="3" spans="1:7" ht="16.5">
      <c r="A3" s="254"/>
      <c r="B3" s="158" t="s">
        <v>205</v>
      </c>
      <c r="C3" s="158">
        <v>21866745.41</v>
      </c>
      <c r="D3" s="158" t="s">
        <v>204</v>
      </c>
      <c r="E3" s="158">
        <f t="shared" ref="E3:E38" si="0">-C3</f>
        <v>-21866745.41</v>
      </c>
      <c r="F3" s="158" t="s">
        <v>174</v>
      </c>
      <c r="G3" s="180" t="s">
        <v>240</v>
      </c>
    </row>
    <row r="4" spans="1:7" ht="16.5">
      <c r="A4" s="254"/>
      <c r="B4" s="158" t="s">
        <v>206</v>
      </c>
      <c r="C4" s="158">
        <v>30380</v>
      </c>
      <c r="D4" s="158" t="s">
        <v>207</v>
      </c>
      <c r="E4" s="158">
        <f t="shared" si="0"/>
        <v>-30380</v>
      </c>
      <c r="F4" s="159" t="s">
        <v>241</v>
      </c>
      <c r="G4" s="180" t="s">
        <v>243</v>
      </c>
    </row>
    <row r="5" spans="1:7" ht="16.5">
      <c r="A5" s="254"/>
      <c r="B5" s="158" t="s">
        <v>208</v>
      </c>
      <c r="C5" s="158">
        <v>2407236</v>
      </c>
      <c r="D5" s="158" t="s">
        <v>204</v>
      </c>
      <c r="E5" s="158">
        <f t="shared" si="0"/>
        <v>-2407236</v>
      </c>
      <c r="F5" s="158" t="s">
        <v>242</v>
      </c>
      <c r="G5" s="180" t="s">
        <v>243</v>
      </c>
    </row>
    <row r="6" spans="1:7" ht="16.5">
      <c r="A6" s="254"/>
      <c r="B6" s="158" t="s">
        <v>209</v>
      </c>
      <c r="C6" s="158">
        <v>1073919.6100000001</v>
      </c>
      <c r="D6" s="158" t="s">
        <v>207</v>
      </c>
      <c r="E6" s="158">
        <f t="shared" si="0"/>
        <v>-1073919.6100000001</v>
      </c>
      <c r="F6" s="158" t="s">
        <v>257</v>
      </c>
      <c r="G6" s="180" t="s">
        <v>258</v>
      </c>
    </row>
    <row r="7" spans="1:7" ht="16.5">
      <c r="A7" s="254"/>
      <c r="B7" s="160" t="s">
        <v>331</v>
      </c>
      <c r="C7" s="158">
        <v>-5648028.9199999999</v>
      </c>
      <c r="D7" s="158" t="s">
        <v>197</v>
      </c>
      <c r="E7" s="158">
        <f t="shared" si="0"/>
        <v>5648028.9199999999</v>
      </c>
      <c r="F7" s="158" t="s">
        <v>241</v>
      </c>
      <c r="G7" s="180" t="s">
        <v>332</v>
      </c>
    </row>
    <row r="8" spans="1:7" ht="16.5">
      <c r="A8" s="254"/>
      <c r="B8" s="161" t="s">
        <v>210</v>
      </c>
      <c r="C8" s="158">
        <v>221940.28</v>
      </c>
      <c r="D8" s="158" t="s">
        <v>197</v>
      </c>
      <c r="E8" s="158">
        <f t="shared" si="0"/>
        <v>-221940.28</v>
      </c>
      <c r="F8" s="158" t="s">
        <v>196</v>
      </c>
      <c r="G8" s="180" t="s">
        <v>244</v>
      </c>
    </row>
    <row r="9" spans="1:7" ht="16.5">
      <c r="A9" s="254"/>
      <c r="B9" s="161" t="s">
        <v>211</v>
      </c>
      <c r="C9" s="158">
        <v>-4101305.98</v>
      </c>
      <c r="D9" s="158" t="s">
        <v>197</v>
      </c>
      <c r="E9" s="158">
        <f t="shared" si="0"/>
        <v>4101305.98</v>
      </c>
      <c r="F9" s="158" t="s">
        <v>184</v>
      </c>
      <c r="G9" s="180" t="s">
        <v>245</v>
      </c>
    </row>
    <row r="10" spans="1:7" ht="16.5">
      <c r="A10" s="254"/>
      <c r="B10" s="161" t="s">
        <v>212</v>
      </c>
      <c r="C10" s="158">
        <v>-15998888.880000001</v>
      </c>
      <c r="D10" s="158" t="s">
        <v>197</v>
      </c>
      <c r="E10" s="158">
        <f t="shared" si="0"/>
        <v>15998888.880000001</v>
      </c>
      <c r="F10" s="158" t="s">
        <v>195</v>
      </c>
      <c r="G10" s="180" t="s">
        <v>246</v>
      </c>
    </row>
    <row r="11" spans="1:7" ht="16.5">
      <c r="A11" s="254"/>
      <c r="B11" s="161" t="s">
        <v>213</v>
      </c>
      <c r="C11" s="158">
        <v>8096389.4900000002</v>
      </c>
      <c r="D11" s="158" t="s">
        <v>197</v>
      </c>
      <c r="E11" s="158">
        <f t="shared" si="0"/>
        <v>-8096389.4900000002</v>
      </c>
      <c r="F11" s="158" t="s">
        <v>195</v>
      </c>
      <c r="G11" s="180" t="s">
        <v>246</v>
      </c>
    </row>
    <row r="12" spans="1:7" ht="16.5">
      <c r="A12" s="254"/>
      <c r="B12" s="161" t="s">
        <v>214</v>
      </c>
      <c r="C12" s="158">
        <v>-1907734.32</v>
      </c>
      <c r="D12" s="158" t="s">
        <v>197</v>
      </c>
      <c r="E12" s="158">
        <f t="shared" si="0"/>
        <v>1907734.32</v>
      </c>
      <c r="F12" s="158" t="s">
        <v>175</v>
      </c>
      <c r="G12" s="180" t="s">
        <v>247</v>
      </c>
    </row>
    <row r="13" spans="1:7" ht="16.5">
      <c r="A13" s="254"/>
      <c r="B13" s="161" t="s">
        <v>215</v>
      </c>
      <c r="C13" s="158">
        <v>-492961.63</v>
      </c>
      <c r="D13" s="158" t="s">
        <v>197</v>
      </c>
      <c r="E13" s="158">
        <f t="shared" si="0"/>
        <v>492961.63</v>
      </c>
      <c r="F13" s="158" t="s">
        <v>175</v>
      </c>
      <c r="G13" s="180" t="s">
        <v>247</v>
      </c>
    </row>
    <row r="14" spans="1:7" ht="16.5">
      <c r="A14" s="254"/>
      <c r="B14" s="161" t="s">
        <v>216</v>
      </c>
      <c r="C14" s="158">
        <v>-48206440.910000004</v>
      </c>
      <c r="D14" s="158" t="s">
        <v>197</v>
      </c>
      <c r="E14" s="158">
        <f t="shared" si="0"/>
        <v>48206440.910000004</v>
      </c>
      <c r="F14" s="158" t="s">
        <v>195</v>
      </c>
      <c r="G14" s="180" t="s">
        <v>246</v>
      </c>
    </row>
    <row r="15" spans="1:7" ht="16.5">
      <c r="A15" s="254"/>
      <c r="B15" s="161" t="s">
        <v>217</v>
      </c>
      <c r="C15" s="158">
        <v>5128.2419999999993</v>
      </c>
      <c r="D15" s="158" t="s">
        <v>197</v>
      </c>
      <c r="E15" s="158">
        <f t="shared" si="0"/>
        <v>-5128.2419999999993</v>
      </c>
      <c r="F15" s="158" t="s">
        <v>185</v>
      </c>
      <c r="G15" s="180" t="s">
        <v>248</v>
      </c>
    </row>
    <row r="16" spans="1:7" ht="16.5">
      <c r="A16" s="254"/>
      <c r="B16" s="161" t="s">
        <v>218</v>
      </c>
      <c r="C16" s="158">
        <v>-164799.54899999997</v>
      </c>
      <c r="D16" s="158" t="s">
        <v>197</v>
      </c>
      <c r="E16" s="158">
        <f t="shared" si="0"/>
        <v>164799.54899999997</v>
      </c>
      <c r="F16" s="158" t="s">
        <v>185</v>
      </c>
      <c r="G16" s="180" t="s">
        <v>248</v>
      </c>
    </row>
    <row r="17" spans="1:7" ht="16.5">
      <c r="A17" s="254"/>
      <c r="B17" s="161" t="s">
        <v>268</v>
      </c>
      <c r="C17" s="158">
        <f>1040752.8+1400000</f>
        <v>2440752.7999999998</v>
      </c>
      <c r="D17" s="158" t="s">
        <v>197</v>
      </c>
      <c r="E17" s="158">
        <f t="shared" si="0"/>
        <v>-2440752.7999999998</v>
      </c>
      <c r="F17" s="158" t="s">
        <v>185</v>
      </c>
      <c r="G17" s="180" t="s">
        <v>249</v>
      </c>
    </row>
    <row r="18" spans="1:7" ht="16.5">
      <c r="A18" s="254"/>
      <c r="B18" s="161" t="s">
        <v>219</v>
      </c>
      <c r="C18" s="158">
        <v>-139325.22</v>
      </c>
      <c r="D18" s="158" t="s">
        <v>197</v>
      </c>
      <c r="E18" s="158">
        <f t="shared" si="0"/>
        <v>139325.22</v>
      </c>
      <c r="F18" s="158" t="s">
        <v>196</v>
      </c>
      <c r="G18" s="180" t="s">
        <v>250</v>
      </c>
    </row>
    <row r="19" spans="1:7" ht="16.5">
      <c r="A19" s="254"/>
      <c r="B19" s="161" t="s">
        <v>220</v>
      </c>
      <c r="C19" s="158">
        <v>-886700.43399999989</v>
      </c>
      <c r="D19" s="158" t="s">
        <v>197</v>
      </c>
      <c r="E19" s="162">
        <f t="shared" si="0"/>
        <v>886700.43399999989</v>
      </c>
      <c r="F19" s="158" t="s">
        <v>196</v>
      </c>
      <c r="G19" s="180" t="s">
        <v>251</v>
      </c>
    </row>
    <row r="20" spans="1:7" ht="16.5">
      <c r="A20" s="254"/>
      <c r="B20" s="161" t="s">
        <v>221</v>
      </c>
      <c r="C20" s="158">
        <v>3620734</v>
      </c>
      <c r="D20" s="158" t="s">
        <v>196</v>
      </c>
      <c r="E20" s="158">
        <f t="shared" si="0"/>
        <v>-3620734</v>
      </c>
      <c r="F20" s="158" t="s">
        <v>174</v>
      </c>
      <c r="G20" s="180" t="s">
        <v>239</v>
      </c>
    </row>
    <row r="21" spans="1:7" ht="16.5">
      <c r="A21" s="254"/>
      <c r="B21" s="161" t="s">
        <v>275</v>
      </c>
      <c r="C21" s="161">
        <v>-233874.46</v>
      </c>
      <c r="D21" s="158" t="s">
        <v>276</v>
      </c>
      <c r="E21" s="158">
        <v>233874.46</v>
      </c>
      <c r="F21" s="158" t="s">
        <v>278</v>
      </c>
      <c r="G21" s="181" t="s">
        <v>277</v>
      </c>
    </row>
    <row r="22" spans="1:7" ht="16.5">
      <c r="A22" s="254"/>
      <c r="B22" s="161" t="s">
        <v>270</v>
      </c>
      <c r="C22" s="158">
        <v>-22949049.300000001</v>
      </c>
      <c r="D22" s="158" t="s">
        <v>269</v>
      </c>
      <c r="E22" s="158">
        <f t="shared" si="0"/>
        <v>22949049.300000001</v>
      </c>
      <c r="F22" s="158" t="s">
        <v>174</v>
      </c>
      <c r="G22" s="180" t="s">
        <v>271</v>
      </c>
    </row>
    <row r="23" spans="1:7" ht="16.5">
      <c r="A23" s="254"/>
      <c r="B23" s="163" t="s">
        <v>222</v>
      </c>
      <c r="C23" s="164">
        <v>-3950000</v>
      </c>
      <c r="D23" s="158" t="s">
        <v>223</v>
      </c>
      <c r="E23" s="158">
        <f t="shared" si="0"/>
        <v>3950000</v>
      </c>
      <c r="F23" s="164" t="s">
        <v>295</v>
      </c>
      <c r="G23" s="182" t="s">
        <v>252</v>
      </c>
    </row>
    <row r="24" spans="1:7" ht="16.5">
      <c r="A24" s="254"/>
      <c r="B24" s="163" t="s">
        <v>224</v>
      </c>
      <c r="C24" s="164">
        <v>267917.81</v>
      </c>
      <c r="D24" s="158" t="s">
        <v>223</v>
      </c>
      <c r="E24" s="158">
        <f t="shared" si="0"/>
        <v>-267917.81</v>
      </c>
      <c r="F24" s="164" t="s">
        <v>295</v>
      </c>
      <c r="G24" s="182" t="s">
        <v>253</v>
      </c>
    </row>
    <row r="25" spans="1:7" ht="16.5">
      <c r="A25" s="254"/>
      <c r="B25" s="163" t="s">
        <v>296</v>
      </c>
      <c r="C25" s="164">
        <v>709235.07</v>
      </c>
      <c r="D25" s="158" t="s">
        <v>297</v>
      </c>
      <c r="E25" s="158">
        <f t="shared" si="0"/>
        <v>-709235.07</v>
      </c>
      <c r="F25" s="164" t="s">
        <v>298</v>
      </c>
      <c r="G25" s="182" t="s">
        <v>299</v>
      </c>
    </row>
    <row r="26" spans="1:7" ht="16.5">
      <c r="A26" s="254"/>
      <c r="B26" s="163" t="s">
        <v>225</v>
      </c>
      <c r="C26" s="165">
        <v>1056206.67</v>
      </c>
      <c r="D26" s="158" t="s">
        <v>272</v>
      </c>
      <c r="E26" s="158">
        <f t="shared" si="0"/>
        <v>-1056206.67</v>
      </c>
      <c r="F26" s="164" t="s">
        <v>174</v>
      </c>
      <c r="G26" s="182" t="s">
        <v>254</v>
      </c>
    </row>
    <row r="27" spans="1:7" ht="16.5">
      <c r="A27" s="254"/>
      <c r="B27" s="163" t="s">
        <v>226</v>
      </c>
      <c r="C27" s="164">
        <v>11200000</v>
      </c>
      <c r="D27" s="158" t="s">
        <v>272</v>
      </c>
      <c r="E27" s="166">
        <f>-C27</f>
        <v>-11200000</v>
      </c>
      <c r="F27" s="164" t="s">
        <v>174</v>
      </c>
      <c r="G27" s="182" t="s">
        <v>255</v>
      </c>
    </row>
    <row r="28" spans="1:7" ht="16.5">
      <c r="A28" s="254"/>
      <c r="B28" s="161" t="s">
        <v>227</v>
      </c>
      <c r="C28" s="161">
        <v>-120000</v>
      </c>
      <c r="D28" s="161" t="s">
        <v>272</v>
      </c>
      <c r="E28" s="161">
        <f t="shared" si="0"/>
        <v>120000</v>
      </c>
      <c r="F28" s="158" t="s">
        <v>185</v>
      </c>
      <c r="G28" s="255" t="s">
        <v>288</v>
      </c>
    </row>
    <row r="29" spans="1:7" ht="16.5">
      <c r="A29" s="254"/>
      <c r="B29" s="161" t="s">
        <v>281</v>
      </c>
      <c r="C29" s="161">
        <v>160000</v>
      </c>
      <c r="D29" s="161" t="s">
        <v>273</v>
      </c>
      <c r="E29" s="161">
        <f t="shared" si="0"/>
        <v>-160000</v>
      </c>
      <c r="F29" s="158" t="s">
        <v>185</v>
      </c>
      <c r="G29" s="255"/>
    </row>
    <row r="30" spans="1:7" ht="16.5">
      <c r="A30" s="254"/>
      <c r="B30" s="161" t="s">
        <v>282</v>
      </c>
      <c r="C30" s="161">
        <v>240000</v>
      </c>
      <c r="D30" s="161" t="s">
        <v>273</v>
      </c>
      <c r="E30" s="161">
        <f t="shared" si="0"/>
        <v>-240000</v>
      </c>
      <c r="F30" s="158" t="s">
        <v>185</v>
      </c>
      <c r="G30" s="255"/>
    </row>
    <row r="31" spans="1:7" ht="16.5">
      <c r="A31" s="254"/>
      <c r="B31" s="161" t="s">
        <v>283</v>
      </c>
      <c r="C31" s="161">
        <v>-60000</v>
      </c>
      <c r="D31" s="161" t="s">
        <v>273</v>
      </c>
      <c r="E31" s="161">
        <f t="shared" si="0"/>
        <v>60000</v>
      </c>
      <c r="F31" s="158" t="s">
        <v>185</v>
      </c>
      <c r="G31" s="255"/>
    </row>
    <row r="32" spans="1:7" ht="16.5">
      <c r="A32" s="254"/>
      <c r="B32" s="161" t="s">
        <v>284</v>
      </c>
      <c r="C32" s="161">
        <v>160000</v>
      </c>
      <c r="D32" s="161" t="s">
        <v>273</v>
      </c>
      <c r="E32" s="161">
        <f t="shared" si="0"/>
        <v>-160000</v>
      </c>
      <c r="F32" s="158" t="s">
        <v>185</v>
      </c>
      <c r="G32" s="255"/>
    </row>
    <row r="33" spans="1:7" ht="16.5">
      <c r="A33" s="254"/>
      <c r="B33" s="161" t="s">
        <v>285</v>
      </c>
      <c r="C33" s="161">
        <v>240000</v>
      </c>
      <c r="D33" s="161" t="s">
        <v>273</v>
      </c>
      <c r="E33" s="161">
        <f t="shared" si="0"/>
        <v>-240000</v>
      </c>
      <c r="F33" s="158" t="s">
        <v>185</v>
      </c>
      <c r="G33" s="255"/>
    </row>
    <row r="34" spans="1:7" ht="16.5">
      <c r="A34" s="254"/>
      <c r="B34" s="161" t="s">
        <v>286</v>
      </c>
      <c r="C34" s="161">
        <v>240000</v>
      </c>
      <c r="D34" s="161" t="s">
        <v>273</v>
      </c>
      <c r="E34" s="161">
        <f t="shared" si="0"/>
        <v>-240000</v>
      </c>
      <c r="F34" s="158" t="s">
        <v>185</v>
      </c>
      <c r="G34" s="255"/>
    </row>
    <row r="35" spans="1:7" ht="16.5">
      <c r="A35" s="254"/>
      <c r="B35" s="161" t="s">
        <v>287</v>
      </c>
      <c r="C35" s="161">
        <v>-182239</v>
      </c>
      <c r="D35" s="161" t="s">
        <v>273</v>
      </c>
      <c r="E35" s="161">
        <f t="shared" si="0"/>
        <v>182239</v>
      </c>
      <c r="F35" s="158" t="s">
        <v>185</v>
      </c>
      <c r="G35" s="255"/>
    </row>
    <row r="36" spans="1:7" ht="16.5">
      <c r="A36" s="254"/>
      <c r="B36" s="161" t="s">
        <v>290</v>
      </c>
      <c r="C36" s="161">
        <v>3750000</v>
      </c>
      <c r="D36" s="161" t="s">
        <v>293</v>
      </c>
      <c r="E36" s="161">
        <f t="shared" si="0"/>
        <v>-3750000</v>
      </c>
      <c r="F36" s="158" t="s">
        <v>294</v>
      </c>
      <c r="G36" s="255" t="s">
        <v>292</v>
      </c>
    </row>
    <row r="37" spans="1:7" ht="16.5">
      <c r="A37" s="254"/>
      <c r="B37" s="161" t="s">
        <v>291</v>
      </c>
      <c r="C37" s="161">
        <v>1114071</v>
      </c>
      <c r="D37" s="161" t="s">
        <v>293</v>
      </c>
      <c r="E37" s="161">
        <f t="shared" si="0"/>
        <v>-1114071</v>
      </c>
      <c r="F37" s="158" t="s">
        <v>294</v>
      </c>
      <c r="G37" s="255"/>
    </row>
    <row r="38" spans="1:7" ht="16.5">
      <c r="A38" s="254"/>
      <c r="B38" s="161" t="s">
        <v>300</v>
      </c>
      <c r="C38" s="161">
        <f>155880000*0.95</f>
        <v>148086000</v>
      </c>
      <c r="D38" s="161" t="s">
        <v>301</v>
      </c>
      <c r="E38" s="161">
        <f t="shared" si="0"/>
        <v>-148086000</v>
      </c>
      <c r="F38" s="158" t="s">
        <v>302</v>
      </c>
      <c r="G38" s="183" t="s">
        <v>303</v>
      </c>
    </row>
    <row r="39" spans="1:7" ht="16.5">
      <c r="A39" s="254"/>
      <c r="B39" s="161" t="s">
        <v>289</v>
      </c>
      <c r="C39" s="161">
        <f>496350-473232.33</f>
        <v>23117.669999999984</v>
      </c>
      <c r="D39" s="161" t="s">
        <v>274</v>
      </c>
      <c r="E39" s="161">
        <f>-C39</f>
        <v>-23117.669999999984</v>
      </c>
      <c r="F39" s="161" t="s">
        <v>241</v>
      </c>
      <c r="G39" s="183" t="s">
        <v>265</v>
      </c>
    </row>
    <row r="40" spans="1:7" ht="16.5">
      <c r="A40" s="254"/>
      <c r="B40" s="161" t="s">
        <v>314</v>
      </c>
      <c r="C40" s="161">
        <f>30977935.49</f>
        <v>30977935.489999998</v>
      </c>
      <c r="D40" s="161" t="s">
        <v>315</v>
      </c>
      <c r="E40" s="161">
        <f t="shared" ref="E40:E46" si="1">-C40</f>
        <v>-30977935.489999998</v>
      </c>
      <c r="F40" s="161" t="s">
        <v>174</v>
      </c>
      <c r="G40" s="183"/>
    </row>
    <row r="41" spans="1:7" ht="16.5">
      <c r="A41" s="254"/>
      <c r="B41" s="161" t="s">
        <v>316</v>
      </c>
      <c r="C41" s="161">
        <f>3082344.72</f>
        <v>3082344.72</v>
      </c>
      <c r="D41" s="161" t="s">
        <v>315</v>
      </c>
      <c r="E41" s="161">
        <f t="shared" si="1"/>
        <v>-3082344.72</v>
      </c>
      <c r="F41" s="161" t="s">
        <v>241</v>
      </c>
      <c r="G41" s="183"/>
    </row>
    <row r="42" spans="1:7" ht="16.5">
      <c r="A42" s="254"/>
      <c r="B42" s="161" t="s">
        <v>317</v>
      </c>
      <c r="C42" s="161">
        <v>-1020020.4</v>
      </c>
      <c r="D42" s="161" t="s">
        <v>315</v>
      </c>
      <c r="E42" s="161">
        <f t="shared" si="1"/>
        <v>1020020.4</v>
      </c>
      <c r="F42" s="161" t="s">
        <v>241</v>
      </c>
      <c r="G42" s="183"/>
    </row>
    <row r="43" spans="1:7" ht="16.5">
      <c r="A43" s="254"/>
      <c r="B43" s="161" t="s">
        <v>318</v>
      </c>
      <c r="C43" s="161">
        <f>2089710-1132686</f>
        <v>957024</v>
      </c>
      <c r="D43" s="161" t="s">
        <v>315</v>
      </c>
      <c r="E43" s="161">
        <f t="shared" si="1"/>
        <v>-957024</v>
      </c>
      <c r="F43" s="161" t="s">
        <v>322</v>
      </c>
      <c r="G43" s="183"/>
    </row>
    <row r="44" spans="1:7" ht="16.5">
      <c r="A44" s="254"/>
      <c r="B44" s="161" t="s">
        <v>319</v>
      </c>
      <c r="C44" s="161">
        <f>-604444.44</f>
        <v>-604444.43999999994</v>
      </c>
      <c r="D44" s="161" t="s">
        <v>315</v>
      </c>
      <c r="E44" s="161">
        <f t="shared" si="1"/>
        <v>604444.43999999994</v>
      </c>
      <c r="F44" s="161" t="s">
        <v>310</v>
      </c>
      <c r="G44" s="183"/>
    </row>
    <row r="45" spans="1:7" ht="16.5">
      <c r="A45" s="254"/>
      <c r="B45" s="161" t="s">
        <v>320</v>
      </c>
      <c r="C45" s="161">
        <v>-317.17</v>
      </c>
      <c r="D45" s="161" t="s">
        <v>315</v>
      </c>
      <c r="E45" s="161">
        <f t="shared" si="1"/>
        <v>317.17</v>
      </c>
      <c r="F45" s="161" t="s">
        <v>174</v>
      </c>
      <c r="G45" s="183"/>
    </row>
    <row r="46" spans="1:7" ht="16.5">
      <c r="A46" s="254"/>
      <c r="B46" s="161" t="s">
        <v>321</v>
      </c>
      <c r="C46" s="161">
        <f>-(824350.51+270462.23)</f>
        <v>-1094812.74</v>
      </c>
      <c r="D46" s="161" t="s">
        <v>315</v>
      </c>
      <c r="E46" s="161">
        <f t="shared" si="1"/>
        <v>1094812.74</v>
      </c>
      <c r="F46" s="161" t="s">
        <v>174</v>
      </c>
      <c r="G46" s="183"/>
    </row>
    <row r="47" spans="1:7" ht="16.5">
      <c r="A47" s="254"/>
      <c r="B47" s="165" t="s">
        <v>384</v>
      </c>
      <c r="C47" s="165">
        <v>-96657.53</v>
      </c>
      <c r="D47" s="165" t="s">
        <v>385</v>
      </c>
      <c r="E47" s="165">
        <f>-C47</f>
        <v>96657.53</v>
      </c>
      <c r="F47" s="165" t="s">
        <v>386</v>
      </c>
      <c r="G47" s="183"/>
    </row>
    <row r="48" spans="1:7" s="131" customFormat="1" ht="16.5">
      <c r="A48" s="254"/>
      <c r="B48" s="167" t="s">
        <v>256</v>
      </c>
      <c r="C48" s="168">
        <f>SUM(C2:C47)</f>
        <v>133967031.779</v>
      </c>
      <c r="D48" s="168"/>
      <c r="E48" s="168">
        <f>SUM(E2:E47)</f>
        <v>-133967031.779</v>
      </c>
      <c r="F48" s="167"/>
      <c r="G48" s="184"/>
    </row>
    <row r="49" spans="1:7" ht="16.5">
      <c r="A49" s="169"/>
      <c r="B49" s="158"/>
      <c r="C49" s="158"/>
      <c r="D49" s="158"/>
      <c r="E49" s="158"/>
      <c r="F49" s="158"/>
      <c r="G49" s="185"/>
    </row>
    <row r="50" spans="1:7" ht="16.5">
      <c r="A50" s="169"/>
      <c r="B50" s="158"/>
      <c r="C50" s="158"/>
      <c r="D50" s="158"/>
      <c r="E50" s="158"/>
      <c r="F50" s="158"/>
      <c r="G50" s="185"/>
    </row>
    <row r="51" spans="1:7" ht="16.5">
      <c r="A51" s="254" t="s">
        <v>365</v>
      </c>
      <c r="B51" s="158" t="s">
        <v>229</v>
      </c>
      <c r="C51" s="158">
        <v>301773.40000000002</v>
      </c>
      <c r="D51" s="158" t="s">
        <v>233</v>
      </c>
      <c r="E51" s="158">
        <f>-C51</f>
        <v>-301773.40000000002</v>
      </c>
      <c r="F51" s="158" t="s">
        <v>231</v>
      </c>
      <c r="G51" s="180" t="s">
        <v>259</v>
      </c>
    </row>
    <row r="52" spans="1:7" ht="16.5">
      <c r="A52" s="254"/>
      <c r="B52" s="158" t="s">
        <v>234</v>
      </c>
      <c r="C52" s="158">
        <v>7499999</v>
      </c>
      <c r="D52" s="158" t="s">
        <v>233</v>
      </c>
      <c r="E52" s="158">
        <f t="shared" ref="E52:E81" si="2">-C52</f>
        <v>-7499999</v>
      </c>
      <c r="F52" s="158" t="s">
        <v>231</v>
      </c>
      <c r="G52" s="180" t="s">
        <v>260</v>
      </c>
    </row>
    <row r="53" spans="1:7" ht="16.5">
      <c r="A53" s="254"/>
      <c r="B53" s="158" t="s">
        <v>235</v>
      </c>
      <c r="C53" s="158">
        <v>-183730</v>
      </c>
      <c r="D53" s="158" t="s">
        <v>232</v>
      </c>
      <c r="E53" s="158">
        <f t="shared" si="2"/>
        <v>183730</v>
      </c>
      <c r="F53" s="158" t="s">
        <v>230</v>
      </c>
      <c r="G53" s="180" t="s">
        <v>261</v>
      </c>
    </row>
    <row r="54" spans="1:7" ht="16.5">
      <c r="A54" s="254"/>
      <c r="B54" s="170" t="s">
        <v>236</v>
      </c>
      <c r="C54" s="158">
        <v>-5177</v>
      </c>
      <c r="D54" s="158" t="s">
        <v>196</v>
      </c>
      <c r="E54" s="158">
        <f t="shared" si="2"/>
        <v>5177</v>
      </c>
      <c r="F54" s="161" t="s">
        <v>174</v>
      </c>
      <c r="G54" s="181" t="s">
        <v>262</v>
      </c>
    </row>
    <row r="55" spans="1:7" ht="16.5">
      <c r="A55" s="254"/>
      <c r="B55" s="170" t="s">
        <v>236</v>
      </c>
      <c r="C55" s="158">
        <v>-6495915</v>
      </c>
      <c r="D55" s="158" t="s">
        <v>196</v>
      </c>
      <c r="E55" s="158">
        <f t="shared" si="2"/>
        <v>6495915</v>
      </c>
      <c r="F55" s="161" t="s">
        <v>188</v>
      </c>
      <c r="G55" s="181" t="s">
        <v>263</v>
      </c>
    </row>
    <row r="56" spans="1:7" ht="16.5">
      <c r="A56" s="254"/>
      <c r="B56" s="165" t="s">
        <v>280</v>
      </c>
      <c r="C56" s="165">
        <f>-160000*12</f>
        <v>-1920000</v>
      </c>
      <c r="D56" s="158" t="s">
        <v>228</v>
      </c>
      <c r="E56" s="158">
        <f t="shared" si="2"/>
        <v>1920000</v>
      </c>
      <c r="F56" s="164" t="s">
        <v>230</v>
      </c>
      <c r="G56" s="182" t="s">
        <v>264</v>
      </c>
    </row>
    <row r="57" spans="1:7" ht="16.5">
      <c r="A57" s="254"/>
      <c r="B57" s="165" t="s">
        <v>304</v>
      </c>
      <c r="C57" s="165">
        <v>37878.547721999996</v>
      </c>
      <c r="D57" s="158" t="s">
        <v>333</v>
      </c>
      <c r="E57" s="166">
        <f>-C57</f>
        <v>-37878.547721999996</v>
      </c>
      <c r="F57" s="164" t="s">
        <v>305</v>
      </c>
      <c r="G57" s="256" t="s">
        <v>306</v>
      </c>
    </row>
    <row r="58" spans="1:7" ht="16.5">
      <c r="A58" s="254"/>
      <c r="B58" s="165" t="s">
        <v>304</v>
      </c>
      <c r="C58" s="165">
        <v>1006585.3920317867</v>
      </c>
      <c r="D58" s="158" t="s">
        <v>334</v>
      </c>
      <c r="E58" s="166">
        <f t="shared" ref="E58:E66" si="3">-C58</f>
        <v>-1006585.3920317867</v>
      </c>
      <c r="F58" s="164" t="s">
        <v>305</v>
      </c>
      <c r="G58" s="257"/>
    </row>
    <row r="59" spans="1:7" ht="16.5">
      <c r="A59" s="254"/>
      <c r="B59" s="165" t="s">
        <v>304</v>
      </c>
      <c r="C59" s="165">
        <v>348612.18399255205</v>
      </c>
      <c r="D59" s="158" t="s">
        <v>335</v>
      </c>
      <c r="E59" s="166">
        <f t="shared" si="3"/>
        <v>-348612.18399255205</v>
      </c>
      <c r="F59" s="164" t="s">
        <v>305</v>
      </c>
      <c r="G59" s="257"/>
    </row>
    <row r="60" spans="1:7" ht="16.5">
      <c r="A60" s="254"/>
      <c r="B60" s="165" t="s">
        <v>304</v>
      </c>
      <c r="C60" s="165">
        <v>213145.35410583398</v>
      </c>
      <c r="D60" s="158" t="s">
        <v>336</v>
      </c>
      <c r="E60" s="166">
        <f t="shared" si="3"/>
        <v>-213145.35410583398</v>
      </c>
      <c r="F60" s="164" t="s">
        <v>305</v>
      </c>
      <c r="G60" s="257"/>
    </row>
    <row r="61" spans="1:7" ht="16.5">
      <c r="A61" s="254"/>
      <c r="B61" s="165" t="s">
        <v>304</v>
      </c>
      <c r="C61" s="165">
        <v>57177.621178040266</v>
      </c>
      <c r="D61" s="158" t="s">
        <v>337</v>
      </c>
      <c r="E61" s="166">
        <f t="shared" si="3"/>
        <v>-57177.621178040266</v>
      </c>
      <c r="F61" s="164" t="s">
        <v>305</v>
      </c>
      <c r="G61" s="257"/>
    </row>
    <row r="62" spans="1:7" ht="16.5">
      <c r="A62" s="254"/>
      <c r="B62" s="165" t="s">
        <v>304</v>
      </c>
      <c r="C62" s="165">
        <v>63118.143633843581</v>
      </c>
      <c r="D62" s="158" t="s">
        <v>338</v>
      </c>
      <c r="E62" s="166">
        <f t="shared" si="3"/>
        <v>-63118.143633843581</v>
      </c>
      <c r="F62" s="164" t="s">
        <v>305</v>
      </c>
      <c r="G62" s="257"/>
    </row>
    <row r="63" spans="1:7" ht="16.5">
      <c r="A63" s="254"/>
      <c r="B63" s="165" t="s">
        <v>304</v>
      </c>
      <c r="C63" s="165">
        <v>44821.487909765383</v>
      </c>
      <c r="D63" s="158" t="s">
        <v>339</v>
      </c>
      <c r="E63" s="166">
        <f t="shared" si="3"/>
        <v>-44821.487909765383</v>
      </c>
      <c r="F63" s="164" t="s">
        <v>305</v>
      </c>
      <c r="G63" s="257"/>
    </row>
    <row r="64" spans="1:7" ht="16.5">
      <c r="A64" s="254"/>
      <c r="B64" s="165" t="s">
        <v>304</v>
      </c>
      <c r="C64" s="165">
        <v>-26356.710948509481</v>
      </c>
      <c r="D64" s="158" t="s">
        <v>340</v>
      </c>
      <c r="E64" s="166">
        <f t="shared" si="3"/>
        <v>26356.710948509481</v>
      </c>
      <c r="F64" s="164" t="s">
        <v>305</v>
      </c>
      <c r="G64" s="257"/>
    </row>
    <row r="65" spans="1:7" ht="16.5">
      <c r="A65" s="254"/>
      <c r="B65" s="165" t="s">
        <v>304</v>
      </c>
      <c r="C65" s="165">
        <v>785732.52232109942</v>
      </c>
      <c r="D65" s="158" t="s">
        <v>341</v>
      </c>
      <c r="E65" s="166">
        <f t="shared" si="3"/>
        <v>-785732.52232109942</v>
      </c>
      <c r="F65" s="164" t="s">
        <v>305</v>
      </c>
      <c r="G65" s="257"/>
    </row>
    <row r="66" spans="1:7" ht="16.5">
      <c r="A66" s="254"/>
      <c r="B66" s="165" t="s">
        <v>304</v>
      </c>
      <c r="C66" s="165">
        <v>492640.70769082464</v>
      </c>
      <c r="D66" s="158" t="s">
        <v>184</v>
      </c>
      <c r="E66" s="166">
        <f t="shared" si="3"/>
        <v>-492640.70769082464</v>
      </c>
      <c r="F66" s="164" t="s">
        <v>305</v>
      </c>
      <c r="G66" s="257"/>
    </row>
    <row r="67" spans="1:7" ht="16.5">
      <c r="A67" s="254"/>
      <c r="B67" s="165" t="s">
        <v>304</v>
      </c>
      <c r="C67" s="165">
        <v>216640.08236662796</v>
      </c>
      <c r="D67" s="158" t="s">
        <v>342</v>
      </c>
      <c r="E67" s="158">
        <f t="shared" si="2"/>
        <v>-216640.08236662796</v>
      </c>
      <c r="F67" s="164" t="s">
        <v>305</v>
      </c>
      <c r="G67" s="257"/>
    </row>
    <row r="68" spans="1:7" ht="16.5">
      <c r="A68" s="254"/>
      <c r="B68" s="165" t="s">
        <v>304</v>
      </c>
      <c r="C68" s="165">
        <v>306137.43853325589</v>
      </c>
      <c r="D68" s="158" t="s">
        <v>343</v>
      </c>
      <c r="E68" s="158">
        <f t="shared" si="2"/>
        <v>-306137.43853325589</v>
      </c>
      <c r="F68" s="164" t="s">
        <v>305</v>
      </c>
      <c r="G68" s="257"/>
    </row>
    <row r="69" spans="1:7" ht="16.5">
      <c r="A69" s="254"/>
      <c r="B69" s="165" t="s">
        <v>344</v>
      </c>
      <c r="C69" s="165">
        <v>-76551.63</v>
      </c>
      <c r="D69" s="165" t="s">
        <v>345</v>
      </c>
      <c r="E69" s="165">
        <f t="shared" si="2"/>
        <v>76551.63</v>
      </c>
      <c r="F69" s="165" t="s">
        <v>241</v>
      </c>
      <c r="G69" s="257"/>
    </row>
    <row r="70" spans="1:7" ht="16.5">
      <c r="A70" s="254"/>
      <c r="B70" s="165" t="s">
        <v>346</v>
      </c>
      <c r="C70" s="165">
        <v>-17147501.079999998</v>
      </c>
      <c r="D70" s="165" t="s">
        <v>347</v>
      </c>
      <c r="E70" s="165">
        <f t="shared" si="2"/>
        <v>17147501.079999998</v>
      </c>
      <c r="F70" s="165" t="s">
        <v>348</v>
      </c>
      <c r="G70" s="257"/>
    </row>
    <row r="71" spans="1:7" ht="16.5">
      <c r="A71" s="254"/>
      <c r="B71" s="165" t="s">
        <v>349</v>
      </c>
      <c r="C71" s="165">
        <v>-25208.3</v>
      </c>
      <c r="D71" s="165" t="s">
        <v>347</v>
      </c>
      <c r="E71" s="165">
        <f t="shared" si="2"/>
        <v>25208.3</v>
      </c>
      <c r="F71" s="165" t="s">
        <v>350</v>
      </c>
      <c r="G71" s="257"/>
    </row>
    <row r="72" spans="1:7" ht="16.5">
      <c r="A72" s="254"/>
      <c r="B72" s="165" t="s">
        <v>351</v>
      </c>
      <c r="C72" s="165">
        <f>-4276316.84</f>
        <v>-4276316.84</v>
      </c>
      <c r="D72" s="165" t="s">
        <v>347</v>
      </c>
      <c r="E72" s="165">
        <f t="shared" si="2"/>
        <v>4276316.84</v>
      </c>
      <c r="F72" s="165" t="s">
        <v>323</v>
      </c>
      <c r="G72" s="257"/>
    </row>
    <row r="73" spans="1:7" ht="16.5">
      <c r="A73" s="254"/>
      <c r="B73" s="165" t="s">
        <v>352</v>
      </c>
      <c r="C73" s="165">
        <v>-159505</v>
      </c>
      <c r="D73" s="165" t="s">
        <v>347</v>
      </c>
      <c r="E73" s="165">
        <f t="shared" si="2"/>
        <v>159505</v>
      </c>
      <c r="F73" s="165" t="s">
        <v>348</v>
      </c>
      <c r="G73" s="258"/>
    </row>
    <row r="74" spans="1:7" ht="16.5">
      <c r="A74" s="254"/>
      <c r="B74" s="165" t="s">
        <v>353</v>
      </c>
      <c r="C74" s="165">
        <f>-598118.4</f>
        <v>-598118.40000000002</v>
      </c>
      <c r="D74" s="165" t="s">
        <v>357</v>
      </c>
      <c r="E74" s="165">
        <f t="shared" si="2"/>
        <v>598118.40000000002</v>
      </c>
      <c r="F74" s="165" t="s">
        <v>355</v>
      </c>
      <c r="G74" s="186" t="s">
        <v>360</v>
      </c>
    </row>
    <row r="75" spans="1:7" ht="16.5">
      <c r="A75" s="254"/>
      <c r="B75" s="165" t="s">
        <v>354</v>
      </c>
      <c r="C75" s="165">
        <v>-182239</v>
      </c>
      <c r="D75" s="165" t="s">
        <v>357</v>
      </c>
      <c r="E75" s="165">
        <f t="shared" si="2"/>
        <v>182239</v>
      </c>
      <c r="F75" s="165" t="s">
        <v>356</v>
      </c>
      <c r="G75" s="186" t="s">
        <v>361</v>
      </c>
    </row>
    <row r="76" spans="1:7" ht="16.5">
      <c r="A76" s="254"/>
      <c r="B76" s="165" t="s">
        <v>367</v>
      </c>
      <c r="C76" s="165">
        <f>-21028</f>
        <v>-21028</v>
      </c>
      <c r="D76" s="165" t="s">
        <v>368</v>
      </c>
      <c r="E76" s="165">
        <f t="shared" si="2"/>
        <v>21028</v>
      </c>
      <c r="F76" s="165" t="s">
        <v>369</v>
      </c>
      <c r="G76" s="186" t="s">
        <v>362</v>
      </c>
    </row>
    <row r="77" spans="1:7" ht="16.5">
      <c r="A77" s="254"/>
      <c r="B77" s="165" t="s">
        <v>370</v>
      </c>
      <c r="C77" s="165">
        <v>-215100</v>
      </c>
      <c r="D77" s="165" t="s">
        <v>371</v>
      </c>
      <c r="E77" s="165">
        <f t="shared" si="2"/>
        <v>215100</v>
      </c>
      <c r="F77" s="165" t="s">
        <v>372</v>
      </c>
      <c r="G77" s="186" t="s">
        <v>363</v>
      </c>
    </row>
    <row r="78" spans="1:7" ht="16.5">
      <c r="A78" s="254"/>
      <c r="B78" s="165" t="s">
        <v>373</v>
      </c>
      <c r="C78" s="165">
        <f>-160000*12</f>
        <v>-1920000</v>
      </c>
      <c r="D78" s="165" t="s">
        <v>374</v>
      </c>
      <c r="E78" s="165">
        <f t="shared" si="2"/>
        <v>1920000</v>
      </c>
      <c r="F78" s="165" t="s">
        <v>375</v>
      </c>
      <c r="G78" s="186" t="s">
        <v>364</v>
      </c>
    </row>
    <row r="79" spans="1:7" ht="16.5">
      <c r="A79" s="254"/>
      <c r="B79" s="165" t="s">
        <v>376</v>
      </c>
      <c r="C79" s="165">
        <v>-506000</v>
      </c>
      <c r="D79" s="165" t="s">
        <v>374</v>
      </c>
      <c r="E79" s="165">
        <f t="shared" si="2"/>
        <v>506000</v>
      </c>
      <c r="F79" s="165" t="s">
        <v>372</v>
      </c>
      <c r="G79" s="186" t="s">
        <v>363</v>
      </c>
    </row>
    <row r="80" spans="1:7" ht="16.5">
      <c r="A80" s="259"/>
      <c r="B80" s="165" t="s">
        <v>377</v>
      </c>
      <c r="C80" s="165">
        <v>182239</v>
      </c>
      <c r="D80" s="165" t="s">
        <v>378</v>
      </c>
      <c r="E80" s="165">
        <f t="shared" si="2"/>
        <v>-182239</v>
      </c>
      <c r="F80" s="165" t="s">
        <v>379</v>
      </c>
      <c r="G80" s="186" t="s">
        <v>361</v>
      </c>
    </row>
    <row r="81" spans="1:7" ht="16.5">
      <c r="A81" s="259"/>
      <c r="B81" s="165" t="s">
        <v>370</v>
      </c>
      <c r="C81" s="165">
        <v>-142200</v>
      </c>
      <c r="D81" s="165" t="s">
        <v>380</v>
      </c>
      <c r="E81" s="165">
        <f t="shared" si="2"/>
        <v>142200</v>
      </c>
      <c r="F81" s="165" t="s">
        <v>372</v>
      </c>
      <c r="G81" s="186" t="s">
        <v>363</v>
      </c>
    </row>
    <row r="82" spans="1:7" ht="16.5">
      <c r="A82" s="259"/>
      <c r="B82" s="165" t="s">
        <v>381</v>
      </c>
      <c r="C82" s="165">
        <v>-11444189.869999999</v>
      </c>
      <c r="D82" s="165" t="s">
        <v>382</v>
      </c>
      <c r="E82" s="165">
        <f>-C82</f>
        <v>11444189.869999999</v>
      </c>
      <c r="F82" s="165" t="s">
        <v>383</v>
      </c>
      <c r="G82" s="186" t="s">
        <v>366</v>
      </c>
    </row>
    <row r="83" spans="1:7" ht="16.5">
      <c r="A83" s="259"/>
      <c r="B83" s="165" t="s">
        <v>384</v>
      </c>
      <c r="C83" s="165">
        <v>96657.53</v>
      </c>
      <c r="D83" s="165" t="s">
        <v>386</v>
      </c>
      <c r="E83" s="165">
        <f>-C83</f>
        <v>-96657.53</v>
      </c>
      <c r="F83" s="165" t="s">
        <v>383</v>
      </c>
      <c r="G83" s="186" t="s">
        <v>387</v>
      </c>
    </row>
    <row r="84" spans="1:7" ht="16.5">
      <c r="A84" s="259"/>
      <c r="B84" s="235"/>
      <c r="C84" s="235"/>
      <c r="D84" s="235"/>
      <c r="E84" s="235"/>
      <c r="F84" s="235"/>
      <c r="G84" s="234"/>
    </row>
    <row r="85" spans="1:7" s="132" customFormat="1" ht="16.5">
      <c r="A85" s="254"/>
      <c r="B85" s="189" t="s">
        <v>256</v>
      </c>
      <c r="C85" s="190">
        <f>SUM(C51:C84)</f>
        <v>-33691978.419462875</v>
      </c>
      <c r="D85" s="190"/>
      <c r="E85" s="190">
        <f>SUM(E51:E84)</f>
        <v>33691978.419462875</v>
      </c>
      <c r="F85" s="190"/>
      <c r="G85" s="187"/>
    </row>
    <row r="88" spans="1:7" ht="16.5">
      <c r="A88" s="171" t="s">
        <v>308</v>
      </c>
      <c r="B88" s="172"/>
      <c r="C88" s="172"/>
      <c r="D88" s="172"/>
      <c r="E88" s="172"/>
    </row>
    <row r="89" spans="1:7" ht="16.5">
      <c r="A89" s="171" t="s">
        <v>307</v>
      </c>
      <c r="B89" s="172"/>
      <c r="C89" s="172"/>
      <c r="D89" s="172"/>
      <c r="E89" s="172"/>
    </row>
    <row r="90" spans="1:7" ht="16.5">
      <c r="A90" s="173" t="s">
        <v>311</v>
      </c>
      <c r="B90" s="173" t="s">
        <v>326</v>
      </c>
      <c r="C90" s="174">
        <f>604444.44</f>
        <v>604444.43999999994</v>
      </c>
      <c r="D90" s="175" t="s">
        <v>324</v>
      </c>
      <c r="E90" s="172"/>
    </row>
    <row r="91" spans="1:7" ht="16.5">
      <c r="A91" s="173" t="s">
        <v>313</v>
      </c>
      <c r="B91" s="173" t="s">
        <v>325</v>
      </c>
      <c r="C91" s="174">
        <v>1040752.6</v>
      </c>
      <c r="D91" s="175" t="s">
        <v>324</v>
      </c>
      <c r="E91" s="172"/>
    </row>
    <row r="92" spans="1:7" ht="16.5">
      <c r="A92" s="173"/>
      <c r="B92" s="173"/>
      <c r="C92" s="174"/>
      <c r="D92" s="175"/>
      <c r="E92" s="172"/>
    </row>
    <row r="93" spans="1:7" ht="16.5">
      <c r="A93" s="173" t="s">
        <v>312</v>
      </c>
      <c r="B93" s="173" t="s">
        <v>358</v>
      </c>
      <c r="C93" s="174">
        <f>4276316.84</f>
        <v>4276316.84</v>
      </c>
      <c r="D93" s="175" t="s">
        <v>324</v>
      </c>
      <c r="E93" s="172"/>
    </row>
    <row r="94" spans="1:7" ht="16.5">
      <c r="A94" s="173" t="s">
        <v>327</v>
      </c>
      <c r="B94" s="173" t="s">
        <v>328</v>
      </c>
      <c r="C94" s="174">
        <f>-累计考核费用!M98*10000</f>
        <v>221000</v>
      </c>
      <c r="D94" s="176" t="s">
        <v>329</v>
      </c>
      <c r="E94" s="172"/>
    </row>
    <row r="95" spans="1:7" ht="16.5">
      <c r="A95" s="173" t="s">
        <v>327</v>
      </c>
      <c r="B95" s="173" t="s">
        <v>330</v>
      </c>
      <c r="C95" s="174"/>
      <c r="D95" s="176" t="s">
        <v>329</v>
      </c>
      <c r="E95" s="172"/>
    </row>
    <row r="96" spans="1:7" ht="16.5">
      <c r="A96" s="171"/>
      <c r="B96" s="172"/>
      <c r="C96" s="172"/>
      <c r="D96" s="172"/>
      <c r="E96" s="172"/>
    </row>
    <row r="97" spans="1:5" ht="16.5">
      <c r="A97" s="171"/>
      <c r="B97" s="172"/>
      <c r="C97" s="172"/>
      <c r="D97" s="172"/>
      <c r="E97" s="172"/>
    </row>
    <row r="98" spans="1:5" ht="16.5">
      <c r="A98" s="171"/>
      <c r="B98" s="172"/>
      <c r="C98" s="172"/>
      <c r="D98" s="172"/>
      <c r="E98" s="172"/>
    </row>
    <row r="99" spans="1:5" ht="16.5">
      <c r="A99" s="171"/>
      <c r="B99" s="172"/>
      <c r="C99" s="172"/>
      <c r="D99" s="172"/>
      <c r="E99" s="172"/>
    </row>
    <row r="100" spans="1:5" ht="16.5">
      <c r="A100" s="171"/>
      <c r="B100" s="172"/>
      <c r="C100" s="172"/>
      <c r="D100" s="172"/>
      <c r="E100" s="172"/>
    </row>
    <row r="101" spans="1:5" ht="16.5">
      <c r="A101" s="171"/>
      <c r="B101" s="172"/>
      <c r="C101" s="172"/>
      <c r="D101" s="172"/>
      <c r="E101" s="172"/>
    </row>
    <row r="102" spans="1:5" ht="16.5">
      <c r="A102" s="171" t="s">
        <v>309</v>
      </c>
      <c r="B102" s="172"/>
      <c r="C102" s="172"/>
      <c r="D102" s="172"/>
      <c r="E102" s="172"/>
    </row>
    <row r="103" spans="1:5" ht="16.5">
      <c r="A103" s="177"/>
      <c r="B103" s="177" t="s">
        <v>359</v>
      </c>
      <c r="C103" s="178">
        <f>2089710-1132686</f>
        <v>957024</v>
      </c>
      <c r="D103" s="172"/>
      <c r="E103" s="172"/>
    </row>
  </sheetData>
  <mergeCells count="5">
    <mergeCell ref="A2:A48"/>
    <mergeCell ref="G28:G35"/>
    <mergeCell ref="G36:G37"/>
    <mergeCell ref="G57:G73"/>
    <mergeCell ref="A51:A85"/>
  </mergeCells>
  <phoneticPr fontId="2" type="noConversion"/>
  <dataValidations count="1">
    <dataValidation type="list" allowBlank="1" showInputMessage="1" showErrorMessage="1" sqref="F54:F55">
      <formula1>部门名称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累计利润调整表</vt:lpstr>
      <vt:lpstr>累计考核费用</vt:lpstr>
      <vt:lpstr>考核调整事项表（分填报单位）</vt:lpstr>
      <vt:lpstr>调整事项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2015-03-04T01:18:13Z</dcterms:created>
  <dcterms:modified xsi:type="dcterms:W3CDTF">2017-09-07T07:40:25Z</dcterms:modified>
</cp:coreProperties>
</file>