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考核\考核调整\考核报表汇总（2016、2017）\2016年\"/>
    </mc:Choice>
  </mc:AlternateContent>
  <bookViews>
    <workbookView xWindow="0" yWindow="0" windowWidth="11745" windowHeight="8835"/>
  </bookViews>
  <sheets>
    <sheet name="累计利润调整表" sheetId="1" r:id="rId1"/>
    <sheet name="累计考核费用" sheetId="2" r:id="rId2"/>
    <sheet name="考核调整事项表" sheetId="3" r:id="rId3"/>
    <sheet name="Sheet1" sheetId="7" r:id="rId4"/>
    <sheet name="分部报表（费用）" sheetId="5" r:id="rId5"/>
    <sheet name="调整后万元版" sheetId="4" r:id="rId6"/>
    <sheet name="原格式费用考核表" sheetId="6" r:id="rId7"/>
  </sheets>
  <externalReferences>
    <externalReference r:id="rId8"/>
  </externalReferences>
  <definedNames>
    <definedName name="_xlnm._FilterDatabase" localSheetId="2" hidden="1">考核调整事项表!$A$182:$Y$241</definedName>
    <definedName name="报表项目">考核调整事项表!#REF!</definedName>
    <definedName name="部门名称">考核调整事项表!$K$1:$K$18</definedName>
    <definedName name="了">[1]考核调整事项表!$K$1:$K$18</definedName>
  </definedNames>
  <calcPr calcId="152511"/>
</workbook>
</file>

<file path=xl/calcChain.xml><?xml version="1.0" encoding="utf-8"?>
<calcChain xmlns="http://schemas.openxmlformats.org/spreadsheetml/2006/main">
  <c r="C97" i="3" l="1"/>
  <c r="E53" i="3"/>
  <c r="C101" i="3"/>
  <c r="C64" i="3" l="1"/>
  <c r="E240" i="3" l="1"/>
  <c r="E40" i="6" l="1"/>
  <c r="E48" i="6"/>
  <c r="E17" i="2" l="1"/>
  <c r="E20" i="2" s="1"/>
  <c r="E52" i="2" s="1"/>
  <c r="E53" i="2" s="1"/>
  <c r="D29" i="1" l="1"/>
  <c r="C29" i="1"/>
  <c r="F311" i="3" l="1"/>
  <c r="F312" i="3"/>
  <c r="F308" i="3"/>
  <c r="F304" i="3"/>
  <c r="E239" i="3"/>
  <c r="E238" i="3"/>
  <c r="Z84" i="2" s="1"/>
  <c r="Z136" i="2" s="1"/>
  <c r="Z61" i="4" s="1"/>
  <c r="E237" i="3"/>
  <c r="C181" i="3"/>
  <c r="E181" i="3" s="1"/>
  <c r="D181" i="3"/>
  <c r="F181" i="3"/>
  <c r="E94" i="3"/>
  <c r="C257" i="3"/>
  <c r="C197" i="3"/>
  <c r="E197" i="3" s="1"/>
  <c r="C133" i="3"/>
  <c r="E236" i="3"/>
  <c r="E235" i="3"/>
  <c r="E234" i="3"/>
  <c r="E233" i="3"/>
  <c r="D83" i="2" s="1"/>
  <c r="E232" i="3"/>
  <c r="C193" i="3"/>
  <c r="E231" i="3"/>
  <c r="D99" i="2" s="1"/>
  <c r="D151" i="2" s="1"/>
  <c r="E45" i="6" s="1"/>
  <c r="E230" i="3"/>
  <c r="F180" i="3"/>
  <c r="D180" i="3"/>
  <c r="C180" i="3"/>
  <c r="E180" i="3" s="1"/>
  <c r="F179" i="3"/>
  <c r="D179" i="3"/>
  <c r="C179" i="3"/>
  <c r="E179" i="3" s="1"/>
  <c r="F178" i="3"/>
  <c r="D178" i="3"/>
  <c r="C178" i="3"/>
  <c r="E178" i="3"/>
  <c r="F177" i="3"/>
  <c r="D177" i="3"/>
  <c r="E177" i="3"/>
  <c r="E134" i="3"/>
  <c r="D134" i="3"/>
  <c r="F134" i="3"/>
  <c r="C135" i="3"/>
  <c r="E135" i="3"/>
  <c r="D135" i="3"/>
  <c r="F135" i="3"/>
  <c r="C136" i="3"/>
  <c r="E136" i="3" s="1"/>
  <c r="D136" i="3"/>
  <c r="F136" i="3"/>
  <c r="C137" i="3"/>
  <c r="E137" i="3"/>
  <c r="D137" i="3"/>
  <c r="F137" i="3"/>
  <c r="E93" i="3"/>
  <c r="E92" i="3"/>
  <c r="E91" i="3"/>
  <c r="C69" i="3"/>
  <c r="C77" i="3"/>
  <c r="E229" i="3"/>
  <c r="E228" i="3"/>
  <c r="E227" i="3"/>
  <c r="E90" i="3"/>
  <c r="C129" i="3"/>
  <c r="C125" i="3"/>
  <c r="E125" i="3" s="1"/>
  <c r="E85" i="3"/>
  <c r="C171" i="3"/>
  <c r="C131" i="3"/>
  <c r="E131" i="3" s="1"/>
  <c r="C132" i="3"/>
  <c r="E132" i="3" s="1"/>
  <c r="C128" i="3"/>
  <c r="E128" i="3" s="1"/>
  <c r="E186" i="3"/>
  <c r="E187" i="3"/>
  <c r="E189" i="3"/>
  <c r="U94" i="2" s="1"/>
  <c r="U146" i="2" s="1"/>
  <c r="E190" i="3"/>
  <c r="E184" i="3"/>
  <c r="E226" i="3"/>
  <c r="E225" i="3"/>
  <c r="E224" i="3"/>
  <c r="E223" i="3"/>
  <c r="C78" i="3"/>
  <c r="N36" i="1"/>
  <c r="N67" i="1" s="1"/>
  <c r="K35" i="1"/>
  <c r="K36" i="1"/>
  <c r="K37" i="1"/>
  <c r="K68" i="1" s="1"/>
  <c r="K7" i="4" s="1"/>
  <c r="K38" i="1"/>
  <c r="K69" i="1" s="1"/>
  <c r="K8" i="4" s="1"/>
  <c r="K39" i="1"/>
  <c r="K40" i="1"/>
  <c r="K41" i="1"/>
  <c r="K72" i="1" s="1"/>
  <c r="K11" i="4" s="1"/>
  <c r="K42" i="1"/>
  <c r="K73" i="1" s="1"/>
  <c r="K12" i="4" s="1"/>
  <c r="K43" i="1"/>
  <c r="K47" i="1"/>
  <c r="K78" i="1" s="1"/>
  <c r="K17" i="4" s="1"/>
  <c r="K48" i="1"/>
  <c r="K50" i="1"/>
  <c r="K81" i="1" s="1"/>
  <c r="K20" i="4" s="1"/>
  <c r="K51" i="1"/>
  <c r="K53" i="1"/>
  <c r="K84" i="1" s="1"/>
  <c r="K23" i="4" s="1"/>
  <c r="K55" i="1"/>
  <c r="K86" i="1" s="1"/>
  <c r="K58" i="1"/>
  <c r="K59" i="1"/>
  <c r="E216" i="3"/>
  <c r="E215" i="3"/>
  <c r="E214" i="3"/>
  <c r="E213" i="3"/>
  <c r="E212" i="3"/>
  <c r="E211" i="3"/>
  <c r="E210" i="3"/>
  <c r="E209" i="3"/>
  <c r="E208" i="3"/>
  <c r="E207" i="3"/>
  <c r="E206" i="3"/>
  <c r="F67" i="2" s="1"/>
  <c r="F119" i="2" s="1"/>
  <c r="C205" i="3"/>
  <c r="C200" i="3"/>
  <c r="C203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D171" i="3"/>
  <c r="E171" i="3"/>
  <c r="C172" i="3"/>
  <c r="E172" i="3" s="1"/>
  <c r="D172" i="3"/>
  <c r="C173" i="3"/>
  <c r="E173" i="3" s="1"/>
  <c r="D173" i="3"/>
  <c r="C174" i="3"/>
  <c r="E174" i="3" s="1"/>
  <c r="D174" i="3"/>
  <c r="C175" i="3"/>
  <c r="E175" i="3" s="1"/>
  <c r="D175" i="3"/>
  <c r="C176" i="3"/>
  <c r="E176" i="3"/>
  <c r="D176" i="3"/>
  <c r="D128" i="3"/>
  <c r="F128" i="3"/>
  <c r="E129" i="3"/>
  <c r="D129" i="3"/>
  <c r="F129" i="3"/>
  <c r="C130" i="3"/>
  <c r="E130" i="3"/>
  <c r="D130" i="3"/>
  <c r="F130" i="3"/>
  <c r="D131" i="3"/>
  <c r="F131" i="3"/>
  <c r="D132" i="3"/>
  <c r="F132" i="3"/>
  <c r="E133" i="3"/>
  <c r="D133" i="3"/>
  <c r="F133" i="3"/>
  <c r="E89" i="3"/>
  <c r="E88" i="3"/>
  <c r="E39" i="1" s="1"/>
  <c r="E87" i="3"/>
  <c r="E86" i="3"/>
  <c r="E84" i="3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J56" i="2"/>
  <c r="J108" i="2" s="1"/>
  <c r="L56" i="2"/>
  <c r="L108" i="2" s="1"/>
  <c r="L33" i="4" s="1"/>
  <c r="AA56" i="2"/>
  <c r="AA108" i="2" s="1"/>
  <c r="AA33" i="4" s="1"/>
  <c r="J57" i="2"/>
  <c r="J109" i="2" s="1"/>
  <c r="L57" i="2"/>
  <c r="L109" i="2" s="1"/>
  <c r="AA57" i="2"/>
  <c r="AA109" i="2" s="1"/>
  <c r="J58" i="2"/>
  <c r="J110" i="2" s="1"/>
  <c r="L58" i="2"/>
  <c r="L110" i="2" s="1"/>
  <c r="L35" i="4" s="1"/>
  <c r="AA58" i="2"/>
  <c r="AA110" i="2" s="1"/>
  <c r="J59" i="2"/>
  <c r="J111" i="2" s="1"/>
  <c r="L59" i="2"/>
  <c r="L111" i="2" s="1"/>
  <c r="L36" i="4" s="1"/>
  <c r="AA59" i="2"/>
  <c r="AA111" i="2" s="1"/>
  <c r="AB23" i="6" s="1"/>
  <c r="Z81" i="6" s="1"/>
  <c r="J60" i="2"/>
  <c r="L60" i="2"/>
  <c r="AA60" i="2"/>
  <c r="AA112" i="2" s="1"/>
  <c r="AB5" i="6" s="1"/>
  <c r="Z63" i="6" s="1"/>
  <c r="J61" i="2"/>
  <c r="J113" i="2" s="1"/>
  <c r="J38" i="4" s="1"/>
  <c r="L61" i="2"/>
  <c r="L113" i="2" s="1"/>
  <c r="L38" i="4" s="1"/>
  <c r="AA61" i="2"/>
  <c r="AA113" i="2" s="1"/>
  <c r="AB6" i="6" s="1"/>
  <c r="Z64" i="6" s="1"/>
  <c r="J62" i="2"/>
  <c r="J114" i="2" s="1"/>
  <c r="K7" i="6" s="1"/>
  <c r="L62" i="2"/>
  <c r="L114" i="2" s="1"/>
  <c r="M7" i="6" s="1"/>
  <c r="AA62" i="2"/>
  <c r="AA114" i="2" s="1"/>
  <c r="J63" i="2"/>
  <c r="J115" i="2" s="1"/>
  <c r="J40" i="4" s="1"/>
  <c r="L63" i="2"/>
  <c r="L115" i="2" s="1"/>
  <c r="AA63" i="2"/>
  <c r="AA115" i="2" s="1"/>
  <c r="J64" i="2"/>
  <c r="J116" i="2" s="1"/>
  <c r="J41" i="4" s="1"/>
  <c r="L64" i="2"/>
  <c r="L116" i="2" s="1"/>
  <c r="L41" i="4" s="1"/>
  <c r="AA64" i="2"/>
  <c r="AA116" i="2" s="1"/>
  <c r="AA41" i="4" s="1"/>
  <c r="J65" i="2"/>
  <c r="J117" i="2" s="1"/>
  <c r="L65" i="2"/>
  <c r="AA65" i="2"/>
  <c r="J67" i="2"/>
  <c r="J119" i="2" s="1"/>
  <c r="K12" i="6" s="1"/>
  <c r="L67" i="2"/>
  <c r="L119" i="2" s="1"/>
  <c r="AA67" i="2"/>
  <c r="AA119" i="2" s="1"/>
  <c r="AA44" i="4" s="1"/>
  <c r="J68" i="2"/>
  <c r="J120" i="2" s="1"/>
  <c r="J45" i="4" s="1"/>
  <c r="L68" i="2"/>
  <c r="L120" i="2" s="1"/>
  <c r="AA68" i="2"/>
  <c r="AA120" i="2" s="1"/>
  <c r="J70" i="2"/>
  <c r="J122" i="2" s="1"/>
  <c r="K37" i="6" s="1"/>
  <c r="L70" i="2"/>
  <c r="L122" i="2" s="1"/>
  <c r="M37" i="6" s="1"/>
  <c r="AA70" i="2"/>
  <c r="AA122" i="2" s="1"/>
  <c r="AA47" i="4" s="1"/>
  <c r="J71" i="2"/>
  <c r="J123" i="2" s="1"/>
  <c r="L71" i="2"/>
  <c r="L123" i="2" s="1"/>
  <c r="AA71" i="2"/>
  <c r="AA123" i="2" s="1"/>
  <c r="AA48" i="4" s="1"/>
  <c r="L73" i="2"/>
  <c r="L125" i="2" s="1"/>
  <c r="L50" i="4" s="1"/>
  <c r="AA73" i="2"/>
  <c r="AA125" i="2" s="1"/>
  <c r="AB17" i="6" s="1"/>
  <c r="Z75" i="6" s="1"/>
  <c r="J74" i="2"/>
  <c r="J126" i="2" s="1"/>
  <c r="L74" i="2"/>
  <c r="AA74" i="2"/>
  <c r="AA126" i="2" s="1"/>
  <c r="AA51" i="4" s="1"/>
  <c r="J75" i="2"/>
  <c r="J127" i="2" s="1"/>
  <c r="K21" i="6" s="1"/>
  <c r="L75" i="2"/>
  <c r="L127" i="2" s="1"/>
  <c r="M21" i="6" s="1"/>
  <c r="AA75" i="2"/>
  <c r="AA127" i="2" s="1"/>
  <c r="J76" i="2"/>
  <c r="J128" i="2" s="1"/>
  <c r="L76" i="2"/>
  <c r="L128" i="2" s="1"/>
  <c r="AA76" i="2"/>
  <c r="AA128" i="2" s="1"/>
  <c r="J77" i="2"/>
  <c r="J129" i="2" s="1"/>
  <c r="K25" i="6" s="1"/>
  <c r="L77" i="2"/>
  <c r="L129" i="2" s="1"/>
  <c r="L54" i="4" s="1"/>
  <c r="AA77" i="2"/>
  <c r="AA129" i="2" s="1"/>
  <c r="J78" i="2"/>
  <c r="J130" i="2" s="1"/>
  <c r="L78" i="2"/>
  <c r="L130" i="2" s="1"/>
  <c r="M27" i="6" s="1"/>
  <c r="AA78" i="2"/>
  <c r="AA130" i="2" s="1"/>
  <c r="AB27" i="6" s="1"/>
  <c r="Z85" i="6" s="1"/>
  <c r="J79" i="2"/>
  <c r="J131" i="2" s="1"/>
  <c r="L79" i="2"/>
  <c r="L131" i="2" s="1"/>
  <c r="L56" i="4" s="1"/>
  <c r="AA79" i="2"/>
  <c r="AA131" i="2" s="1"/>
  <c r="AB29" i="6" s="1"/>
  <c r="J80" i="2"/>
  <c r="J132" i="2" s="1"/>
  <c r="K30" i="6" s="1"/>
  <c r="L80" i="2"/>
  <c r="L132" i="2" s="1"/>
  <c r="L57" i="4" s="1"/>
  <c r="AA80" i="2"/>
  <c r="AA132" i="2" s="1"/>
  <c r="AB30" i="6" s="1"/>
  <c r="J81" i="2"/>
  <c r="J133" i="2" s="1"/>
  <c r="L81" i="2"/>
  <c r="L133" i="2" s="1"/>
  <c r="M34" i="6" s="1"/>
  <c r="AA81" i="2"/>
  <c r="AA133" i="2" s="1"/>
  <c r="AA58" i="4" s="1"/>
  <c r="J82" i="2"/>
  <c r="J134" i="2" s="1"/>
  <c r="L82" i="2"/>
  <c r="L134" i="2" s="1"/>
  <c r="AA82" i="2"/>
  <c r="AA134" i="2" s="1"/>
  <c r="AA59" i="4" s="1"/>
  <c r="J83" i="2"/>
  <c r="J135" i="2" s="1"/>
  <c r="L83" i="2"/>
  <c r="L135" i="2" s="1"/>
  <c r="AA83" i="2"/>
  <c r="AA135" i="2" s="1"/>
  <c r="AA60" i="4" s="1"/>
  <c r="J84" i="2"/>
  <c r="J136" i="2" s="1"/>
  <c r="L84" i="2"/>
  <c r="L136" i="2" s="1"/>
  <c r="AA84" i="2"/>
  <c r="AA136" i="2" s="1"/>
  <c r="J85" i="2"/>
  <c r="J137" i="2" s="1"/>
  <c r="K40" i="6" s="1"/>
  <c r="L85" i="2"/>
  <c r="L137" i="2" s="1"/>
  <c r="L62" i="4" s="1"/>
  <c r="AA85" i="2"/>
  <c r="AA137" i="2" s="1"/>
  <c r="AB40" i="6" s="1"/>
  <c r="Z98" i="6" s="1"/>
  <c r="J87" i="2"/>
  <c r="J139" i="2" s="1"/>
  <c r="L87" i="2"/>
  <c r="L139" i="2" s="1"/>
  <c r="L64" i="4" s="1"/>
  <c r="AA87" i="2"/>
  <c r="AA139" i="2" s="1"/>
  <c r="J88" i="2"/>
  <c r="J140" i="2" s="1"/>
  <c r="L88" i="2"/>
  <c r="L140" i="2" s="1"/>
  <c r="AA88" i="2"/>
  <c r="AA140" i="2" s="1"/>
  <c r="J89" i="2"/>
  <c r="J141" i="2" s="1"/>
  <c r="K24" i="6" s="1"/>
  <c r="L89" i="2"/>
  <c r="L141" i="2" s="1"/>
  <c r="AA89" i="2"/>
  <c r="AA141" i="2" s="1"/>
  <c r="AA66" i="4" s="1"/>
  <c r="J90" i="2"/>
  <c r="J142" i="2" s="1"/>
  <c r="J67" i="4" s="1"/>
  <c r="L90" i="2"/>
  <c r="L142" i="2" s="1"/>
  <c r="M28" i="6" s="1"/>
  <c r="AA90" i="2"/>
  <c r="J91" i="2"/>
  <c r="J143" i="2" s="1"/>
  <c r="L91" i="2"/>
  <c r="L143" i="2" s="1"/>
  <c r="L68" i="4" s="1"/>
  <c r="AA91" i="2"/>
  <c r="AA143" i="2" s="1"/>
  <c r="J92" i="2"/>
  <c r="J144" i="2" s="1"/>
  <c r="K33" i="6" s="1"/>
  <c r="L92" i="2"/>
  <c r="L144" i="2" s="1"/>
  <c r="M33" i="6" s="1"/>
  <c r="AA92" i="2"/>
  <c r="AA144" i="2" s="1"/>
  <c r="J93" i="2"/>
  <c r="J145" i="2" s="1"/>
  <c r="L93" i="2"/>
  <c r="AA93" i="2"/>
  <c r="J94" i="2"/>
  <c r="J146" i="2" s="1"/>
  <c r="K38" i="6" s="1"/>
  <c r="L94" i="2"/>
  <c r="L146" i="2" s="1"/>
  <c r="M38" i="6" s="1"/>
  <c r="AA94" i="2"/>
  <c r="AA146" i="2" s="1"/>
  <c r="AA71" i="4" s="1"/>
  <c r="J95" i="2"/>
  <c r="J147" i="2" s="1"/>
  <c r="J72" i="4" s="1"/>
  <c r="L95" i="2"/>
  <c r="L147" i="2" s="1"/>
  <c r="M39" i="6" s="1"/>
  <c r="AA95" i="2"/>
  <c r="AA147" i="2" s="1"/>
  <c r="J96" i="2"/>
  <c r="J148" i="2" s="1"/>
  <c r="L96" i="2"/>
  <c r="L148" i="2" s="1"/>
  <c r="AA96" i="2"/>
  <c r="AA148" i="2" s="1"/>
  <c r="AB42" i="6" s="1"/>
  <c r="Z100" i="6" s="1"/>
  <c r="J97" i="2"/>
  <c r="J149" i="2" s="1"/>
  <c r="J74" i="4" s="1"/>
  <c r="L97" i="2"/>
  <c r="L149" i="2" s="1"/>
  <c r="AA97" i="2"/>
  <c r="AA149" i="2" s="1"/>
  <c r="J98" i="2"/>
  <c r="J150" i="2" s="1"/>
  <c r="L98" i="2"/>
  <c r="L150" i="2" s="1"/>
  <c r="AA98" i="2"/>
  <c r="AA150" i="2" s="1"/>
  <c r="J99" i="2"/>
  <c r="J151" i="2" s="1"/>
  <c r="L99" i="2"/>
  <c r="L151" i="2" s="1"/>
  <c r="M45" i="6" s="1"/>
  <c r="AA99" i="2"/>
  <c r="AA151" i="2" s="1"/>
  <c r="AA76" i="4" s="1"/>
  <c r="J100" i="2"/>
  <c r="J152" i="2" s="1"/>
  <c r="L100" i="2"/>
  <c r="L152" i="2" s="1"/>
  <c r="M46" i="6" s="1"/>
  <c r="AA100" i="2"/>
  <c r="AA152" i="2" s="1"/>
  <c r="AA77" i="4" s="1"/>
  <c r="J101" i="2"/>
  <c r="J153" i="2" s="1"/>
  <c r="J78" i="4" s="1"/>
  <c r="L101" i="2"/>
  <c r="L153" i="2" s="1"/>
  <c r="AA101" i="2"/>
  <c r="AA153" i="2" s="1"/>
  <c r="J102" i="2"/>
  <c r="J154" i="2" s="1"/>
  <c r="J79" i="4" s="1"/>
  <c r="L102" i="2"/>
  <c r="L154" i="2" s="1"/>
  <c r="L79" i="4" s="1"/>
  <c r="AA102" i="2"/>
  <c r="AA154" i="2" s="1"/>
  <c r="C192" i="3"/>
  <c r="E202" i="3"/>
  <c r="X103" i="1"/>
  <c r="X120" i="1"/>
  <c r="C185" i="3"/>
  <c r="O146" i="6"/>
  <c r="O147" i="6"/>
  <c r="O148" i="6"/>
  <c r="O149" i="6"/>
  <c r="O150" i="6"/>
  <c r="O151" i="6"/>
  <c r="O153" i="6"/>
  <c r="O154" i="6"/>
  <c r="C194" i="3"/>
  <c r="C183" i="3"/>
  <c r="E183" i="3" s="1"/>
  <c r="C195" i="3"/>
  <c r="E195" i="3" s="1"/>
  <c r="E204" i="3"/>
  <c r="C160" i="3"/>
  <c r="C170" i="3"/>
  <c r="E170" i="3" s="1"/>
  <c r="D170" i="3"/>
  <c r="C127" i="3"/>
  <c r="E127" i="3" s="1"/>
  <c r="D127" i="3"/>
  <c r="F127" i="3"/>
  <c r="E83" i="3"/>
  <c r="C168" i="3"/>
  <c r="E168" i="3" s="1"/>
  <c r="D168" i="3"/>
  <c r="C169" i="3"/>
  <c r="D169" i="3"/>
  <c r="D125" i="3"/>
  <c r="F125" i="3"/>
  <c r="C126" i="3"/>
  <c r="E126" i="3" s="1"/>
  <c r="D126" i="3"/>
  <c r="F126" i="3"/>
  <c r="E82" i="3"/>
  <c r="E81" i="3"/>
  <c r="P41" i="1" s="1"/>
  <c r="P72" i="1" s="1"/>
  <c r="N104" i="1" s="1"/>
  <c r="C353" i="3"/>
  <c r="C124" i="3"/>
  <c r="E124" i="3" s="1"/>
  <c r="D124" i="3"/>
  <c r="F124" i="3"/>
  <c r="E201" i="3"/>
  <c r="E80" i="3"/>
  <c r="C103" i="1"/>
  <c r="C120" i="1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D57" i="6"/>
  <c r="O152" i="6"/>
  <c r="C110" i="3"/>
  <c r="E110" i="3" s="1"/>
  <c r="D107" i="3"/>
  <c r="D108" i="3"/>
  <c r="D109" i="3"/>
  <c r="D110" i="3"/>
  <c r="K89" i="1"/>
  <c r="K28" i="4" s="1"/>
  <c r="F159" i="3"/>
  <c r="F160" i="3"/>
  <c r="B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E188" i="3"/>
  <c r="C165" i="3"/>
  <c r="E165" i="3" s="1"/>
  <c r="D165" i="3"/>
  <c r="C166" i="3"/>
  <c r="E166" i="3" s="1"/>
  <c r="D166" i="3"/>
  <c r="C167" i="3"/>
  <c r="E167" i="3" s="1"/>
  <c r="D167" i="3"/>
  <c r="D160" i="3"/>
  <c r="D161" i="3"/>
  <c r="D162" i="3"/>
  <c r="D163" i="3"/>
  <c r="D164" i="3"/>
  <c r="C98" i="3"/>
  <c r="C99" i="3"/>
  <c r="C100" i="3"/>
  <c r="E100" i="3" s="1"/>
  <c r="C102" i="3"/>
  <c r="C103" i="3"/>
  <c r="C104" i="3"/>
  <c r="C105" i="3"/>
  <c r="E105" i="3" s="1"/>
  <c r="C106" i="3"/>
  <c r="C107" i="3"/>
  <c r="C108" i="3"/>
  <c r="E108" i="3" s="1"/>
  <c r="C111" i="3"/>
  <c r="E111" i="3" s="1"/>
  <c r="C112" i="3"/>
  <c r="C114" i="3"/>
  <c r="C115" i="3"/>
  <c r="E115" i="3" s="1"/>
  <c r="C116" i="3"/>
  <c r="E116" i="3" s="1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D97" i="3"/>
  <c r="D98" i="3"/>
  <c r="D99" i="3"/>
  <c r="D100" i="3"/>
  <c r="D101" i="3"/>
  <c r="D102" i="3"/>
  <c r="D103" i="3"/>
  <c r="D104" i="3"/>
  <c r="D105" i="3"/>
  <c r="D106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C122" i="3"/>
  <c r="E122" i="3"/>
  <c r="C123" i="3"/>
  <c r="E123" i="3" s="1"/>
  <c r="E79" i="3"/>
  <c r="E78" i="3"/>
  <c r="U36" i="1" s="1"/>
  <c r="B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AB48" i="6"/>
  <c r="Z106" i="6" s="1"/>
  <c r="AA48" i="6"/>
  <c r="Y106" i="6" s="1"/>
  <c r="Z48" i="6"/>
  <c r="X106" i="6" s="1"/>
  <c r="Y48" i="6"/>
  <c r="W106" i="6" s="1"/>
  <c r="X48" i="6"/>
  <c r="V106" i="6" s="1"/>
  <c r="W48" i="6"/>
  <c r="U106" i="6" s="1"/>
  <c r="V48" i="6"/>
  <c r="T106" i="6" s="1"/>
  <c r="U48" i="6"/>
  <c r="S106" i="6" s="1"/>
  <c r="T48" i="6"/>
  <c r="R106" i="6" s="1"/>
  <c r="S48" i="6"/>
  <c r="Q106" i="6" s="1"/>
  <c r="R48" i="6"/>
  <c r="P106" i="6" s="1"/>
  <c r="Q48" i="6"/>
  <c r="O106" i="6" s="1"/>
  <c r="P48" i="6"/>
  <c r="N106" i="6" s="1"/>
  <c r="O48" i="6"/>
  <c r="M106" i="6" s="1"/>
  <c r="N48" i="6"/>
  <c r="L106" i="6" s="1"/>
  <c r="M48" i="6"/>
  <c r="L48" i="6"/>
  <c r="K48" i="6"/>
  <c r="J48" i="6"/>
  <c r="J106" i="6" s="1"/>
  <c r="I48" i="6"/>
  <c r="I106" i="6" s="1"/>
  <c r="H48" i="6"/>
  <c r="H106" i="6" s="1"/>
  <c r="G48" i="6"/>
  <c r="G106" i="6" s="1"/>
  <c r="F48" i="6"/>
  <c r="F106" i="6" s="1"/>
  <c r="D48" i="6"/>
  <c r="D106" i="6" s="1"/>
  <c r="Y9" i="6"/>
  <c r="W67" i="6" s="1"/>
  <c r="Z9" i="6"/>
  <c r="X67" i="6" s="1"/>
  <c r="AA9" i="6"/>
  <c r="Y67" i="6" s="1"/>
  <c r="AB9" i="6"/>
  <c r="Z67" i="6"/>
  <c r="Q9" i="6"/>
  <c r="O67" i="6" s="1"/>
  <c r="R9" i="6"/>
  <c r="P67" i="6" s="1"/>
  <c r="S9" i="6"/>
  <c r="Q67" i="6" s="1"/>
  <c r="T9" i="6"/>
  <c r="R67" i="6" s="1"/>
  <c r="U9" i="6"/>
  <c r="S67" i="6"/>
  <c r="V9" i="6"/>
  <c r="T67" i="6" s="1"/>
  <c r="W9" i="6"/>
  <c r="U67" i="6" s="1"/>
  <c r="X9" i="6"/>
  <c r="V67" i="6"/>
  <c r="O9" i="6"/>
  <c r="M67" i="6" s="1"/>
  <c r="P9" i="6"/>
  <c r="N67" i="6" s="1"/>
  <c r="N9" i="6"/>
  <c r="L67" i="6"/>
  <c r="L9" i="6"/>
  <c r="K67" i="6" s="1"/>
  <c r="J9" i="6"/>
  <c r="J67" i="6"/>
  <c r="E9" i="6"/>
  <c r="F9" i="6"/>
  <c r="F67" i="6"/>
  <c r="G9" i="6"/>
  <c r="H9" i="6"/>
  <c r="H67" i="6" s="1"/>
  <c r="I9" i="6"/>
  <c r="I67" i="6" s="1"/>
  <c r="D9" i="6"/>
  <c r="D67" i="6"/>
  <c r="E67" i="6"/>
  <c r="C42" i="1"/>
  <c r="D35" i="1"/>
  <c r="D66" i="1" s="1"/>
  <c r="D36" i="1"/>
  <c r="D37" i="1"/>
  <c r="D68" i="1" s="1"/>
  <c r="D41" i="1"/>
  <c r="D42" i="1"/>
  <c r="D43" i="1"/>
  <c r="E35" i="1"/>
  <c r="E66" i="1" s="1"/>
  <c r="E38" i="1"/>
  <c r="E69" i="1" s="1"/>
  <c r="E42" i="1"/>
  <c r="E43" i="1"/>
  <c r="F35" i="1"/>
  <c r="F36" i="1"/>
  <c r="F37" i="1"/>
  <c r="F68" i="1" s="1"/>
  <c r="F38" i="1"/>
  <c r="F42" i="1"/>
  <c r="F73" i="1" s="1"/>
  <c r="F43" i="1"/>
  <c r="F74" i="1" s="1"/>
  <c r="H35" i="1"/>
  <c r="H66" i="1" s="1"/>
  <c r="I35" i="1"/>
  <c r="J35" i="1"/>
  <c r="J66" i="1" s="1"/>
  <c r="J5" i="4" s="1"/>
  <c r="L35" i="1"/>
  <c r="L66" i="1" s="1"/>
  <c r="M35" i="1"/>
  <c r="N35" i="1"/>
  <c r="O35" i="1"/>
  <c r="O66" i="1" s="1"/>
  <c r="H36" i="1"/>
  <c r="H67" i="1" s="1"/>
  <c r="I36" i="1"/>
  <c r="J36" i="1"/>
  <c r="J67" i="1" s="1"/>
  <c r="J6" i="4" s="1"/>
  <c r="L36" i="1"/>
  <c r="L67" i="1" s="1"/>
  <c r="M36" i="1"/>
  <c r="L99" i="1"/>
  <c r="O36" i="1"/>
  <c r="O67" i="1" s="1"/>
  <c r="M99" i="1" s="1"/>
  <c r="H37" i="1"/>
  <c r="H68" i="1" s="1"/>
  <c r="I37" i="1"/>
  <c r="J37" i="1"/>
  <c r="J68" i="1" s="1"/>
  <c r="L37" i="1"/>
  <c r="M37" i="1"/>
  <c r="M68" i="1" s="1"/>
  <c r="K100" i="1" s="1"/>
  <c r="N37" i="1"/>
  <c r="N68" i="1" s="1"/>
  <c r="L100" i="1" s="1"/>
  <c r="O37" i="1"/>
  <c r="I38" i="1"/>
  <c r="J38" i="1"/>
  <c r="L38" i="1"/>
  <c r="L69" i="1" s="1"/>
  <c r="M38" i="1"/>
  <c r="M69" i="1" s="1"/>
  <c r="K101" i="1" s="1"/>
  <c r="N38" i="1"/>
  <c r="N69" i="1" s="1"/>
  <c r="L101" i="1" s="1"/>
  <c r="O38" i="1"/>
  <c r="O69" i="1" s="1"/>
  <c r="M101" i="1" s="1"/>
  <c r="I39" i="1"/>
  <c r="J39" i="1"/>
  <c r="J70" i="1" s="1"/>
  <c r="J9" i="4" s="1"/>
  <c r="L39" i="1"/>
  <c r="L70" i="1" s="1"/>
  <c r="M39" i="1"/>
  <c r="M70" i="1" s="1"/>
  <c r="K102" i="1" s="1"/>
  <c r="N39" i="1"/>
  <c r="N70" i="1" s="1"/>
  <c r="L102" i="1" s="1"/>
  <c r="I41" i="1"/>
  <c r="M41" i="1"/>
  <c r="M72" i="1" s="1"/>
  <c r="N41" i="1"/>
  <c r="N72" i="1" s="1"/>
  <c r="H42" i="1"/>
  <c r="H73" i="1" s="1"/>
  <c r="I42" i="1"/>
  <c r="J42" i="1"/>
  <c r="J73" i="1" s="1"/>
  <c r="J12" i="4" s="1"/>
  <c r="L42" i="1"/>
  <c r="L73" i="1" s="1"/>
  <c r="L12" i="4" s="1"/>
  <c r="M42" i="1"/>
  <c r="M73" i="1" s="1"/>
  <c r="K105" i="1" s="1"/>
  <c r="N42" i="1"/>
  <c r="N73" i="1" s="1"/>
  <c r="L105" i="1" s="1"/>
  <c r="O42" i="1"/>
  <c r="O73" i="1" s="1"/>
  <c r="H43" i="1"/>
  <c r="H74" i="1" s="1"/>
  <c r="I43" i="1"/>
  <c r="J43" i="1"/>
  <c r="J74" i="1" s="1"/>
  <c r="J13" i="4" s="1"/>
  <c r="L43" i="1"/>
  <c r="L74" i="1" s="1"/>
  <c r="M43" i="1"/>
  <c r="M74" i="1" s="1"/>
  <c r="K106" i="1" s="1"/>
  <c r="N43" i="1"/>
  <c r="N74" i="1" s="1"/>
  <c r="O43" i="1"/>
  <c r="O74" i="1" s="1"/>
  <c r="M106" i="1" s="1"/>
  <c r="P35" i="1"/>
  <c r="P37" i="1"/>
  <c r="P68" i="1" s="1"/>
  <c r="N100" i="1" s="1"/>
  <c r="P38" i="1"/>
  <c r="P69" i="1" s="1"/>
  <c r="P39" i="1"/>
  <c r="P70" i="1" s="1"/>
  <c r="P42" i="1"/>
  <c r="P73" i="1" s="1"/>
  <c r="N105" i="1" s="1"/>
  <c r="P43" i="1"/>
  <c r="P74" i="1" s="1"/>
  <c r="R35" i="1"/>
  <c r="R66" i="1" s="1"/>
  <c r="R36" i="1"/>
  <c r="R67" i="1" s="1"/>
  <c r="P99" i="1" s="1"/>
  <c r="R37" i="1"/>
  <c r="R68" i="1" s="1"/>
  <c r="P100" i="1" s="1"/>
  <c r="S35" i="1"/>
  <c r="S66" i="1" s="1"/>
  <c r="Q98" i="1" s="1"/>
  <c r="S36" i="1"/>
  <c r="S67" i="1" s="1"/>
  <c r="Q99" i="1" s="1"/>
  <c r="S37" i="1"/>
  <c r="S68" i="1" s="1"/>
  <c r="Q100" i="1" s="1"/>
  <c r="T35" i="1"/>
  <c r="E60" i="3"/>
  <c r="T37" i="1"/>
  <c r="T68" i="1" s="1"/>
  <c r="U35" i="1"/>
  <c r="U66" i="1" s="1"/>
  <c r="S98" i="1" s="1"/>
  <c r="U37" i="1"/>
  <c r="U68" i="1" s="1"/>
  <c r="S100" i="1" s="1"/>
  <c r="R38" i="1"/>
  <c r="R69" i="1" s="1"/>
  <c r="S38" i="1"/>
  <c r="T38" i="1"/>
  <c r="T69" i="1" s="1"/>
  <c r="R101" i="1" s="1"/>
  <c r="U38" i="1"/>
  <c r="U69" i="1" s="1"/>
  <c r="S101" i="1" s="1"/>
  <c r="R39" i="1"/>
  <c r="S39" i="1"/>
  <c r="S70" i="1" s="1"/>
  <c r="Q102" i="1" s="1"/>
  <c r="T39" i="1"/>
  <c r="T70" i="1" s="1"/>
  <c r="R102" i="1" s="1"/>
  <c r="U39" i="1"/>
  <c r="U70" i="1" s="1"/>
  <c r="S102" i="1" s="1"/>
  <c r="R41" i="1"/>
  <c r="R72" i="1" s="1"/>
  <c r="S41" i="1"/>
  <c r="S72" i="1" s="1"/>
  <c r="Q104" i="1" s="1"/>
  <c r="T41" i="1"/>
  <c r="T72" i="1" s="1"/>
  <c r="U41" i="1"/>
  <c r="U72" i="1" s="1"/>
  <c r="S104" i="1" s="1"/>
  <c r="R42" i="1"/>
  <c r="S42" i="1"/>
  <c r="S73" i="1" s="1"/>
  <c r="T42" i="1"/>
  <c r="T73" i="1" s="1"/>
  <c r="U42" i="1"/>
  <c r="U73" i="1" s="1"/>
  <c r="R43" i="1"/>
  <c r="S43" i="1"/>
  <c r="S74" i="1" s="1"/>
  <c r="Q106" i="1" s="1"/>
  <c r="T43" i="1"/>
  <c r="T74" i="1" s="1"/>
  <c r="U43" i="1"/>
  <c r="U74" i="1" s="1"/>
  <c r="S106" i="1" s="1"/>
  <c r="W35" i="1"/>
  <c r="W66" i="1" s="1"/>
  <c r="W36" i="1"/>
  <c r="W67" i="1" s="1"/>
  <c r="W37" i="1"/>
  <c r="W68" i="1" s="1"/>
  <c r="U100" i="1" s="1"/>
  <c r="X35" i="1"/>
  <c r="E61" i="3"/>
  <c r="X37" i="1"/>
  <c r="W38" i="1"/>
  <c r="W69" i="1" s="1"/>
  <c r="X38" i="1"/>
  <c r="W39" i="1"/>
  <c r="W70" i="1" s="1"/>
  <c r="X39" i="1"/>
  <c r="X70" i="1" s="1"/>
  <c r="V102" i="1" s="1"/>
  <c r="W41" i="1"/>
  <c r="X41" i="1"/>
  <c r="X72" i="1" s="1"/>
  <c r="W42" i="1"/>
  <c r="W73" i="1" s="1"/>
  <c r="U105" i="1" s="1"/>
  <c r="X42" i="1"/>
  <c r="X73" i="1" s="1"/>
  <c r="W43" i="1"/>
  <c r="W74" i="1" s="1"/>
  <c r="U106" i="1" s="1"/>
  <c r="X43" i="1"/>
  <c r="Y35" i="1"/>
  <c r="Y66" i="1" s="1"/>
  <c r="W98" i="1" s="1"/>
  <c r="Y36" i="1"/>
  <c r="Y67" i="1" s="1"/>
  <c r="W99" i="1" s="1"/>
  <c r="Y37" i="1"/>
  <c r="Y68" i="1" s="1"/>
  <c r="W100" i="1" s="1"/>
  <c r="Y38" i="1"/>
  <c r="Y69" i="1" s="1"/>
  <c r="W101" i="1" s="1"/>
  <c r="Y39" i="1"/>
  <c r="Y70" i="1" s="1"/>
  <c r="W102" i="1" s="1"/>
  <c r="Y41" i="1"/>
  <c r="Y72" i="1" s="1"/>
  <c r="Y42" i="1"/>
  <c r="Y73" i="1" s="1"/>
  <c r="Y43" i="1"/>
  <c r="Y74" i="1" s="1"/>
  <c r="W106" i="1" s="1"/>
  <c r="Z35" i="1"/>
  <c r="Z36" i="1"/>
  <c r="Z67" i="1" s="1"/>
  <c r="Z6" i="4" s="1"/>
  <c r="Z37" i="1"/>
  <c r="Z68" i="1" s="1"/>
  <c r="Z38" i="1"/>
  <c r="Z69" i="1" s="1"/>
  <c r="Z8" i="4" s="1"/>
  <c r="Z39" i="1"/>
  <c r="Z70" i="1" s="1"/>
  <c r="Z9" i="4" s="1"/>
  <c r="Z41" i="1"/>
  <c r="Z72" i="1" s="1"/>
  <c r="Z11" i="4" s="1"/>
  <c r="Z42" i="1"/>
  <c r="Z73" i="1" s="1"/>
  <c r="Z43" i="1"/>
  <c r="Z74" i="1" s="1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C47" i="1"/>
  <c r="C48" i="1"/>
  <c r="C79" i="1" s="1"/>
  <c r="D47" i="1"/>
  <c r="D48" i="1"/>
  <c r="D79" i="1" s="1"/>
  <c r="E47" i="1"/>
  <c r="E48" i="1"/>
  <c r="F47" i="1"/>
  <c r="F78" i="1" s="1"/>
  <c r="F48" i="1"/>
  <c r="F79" i="1" s="1"/>
  <c r="H47" i="1"/>
  <c r="I47" i="1"/>
  <c r="J47" i="1"/>
  <c r="L47" i="1"/>
  <c r="L78" i="1" s="1"/>
  <c r="J110" i="1" s="1"/>
  <c r="M47" i="1"/>
  <c r="M78" i="1" s="1"/>
  <c r="K110" i="1" s="1"/>
  <c r="N47" i="1"/>
  <c r="N78" i="1" s="1"/>
  <c r="L110" i="1" s="1"/>
  <c r="O47" i="1"/>
  <c r="O78" i="1" s="1"/>
  <c r="H48" i="1"/>
  <c r="I48" i="1"/>
  <c r="J48" i="1"/>
  <c r="J79" i="1" s="1"/>
  <c r="J18" i="4" s="1"/>
  <c r="L48" i="1"/>
  <c r="L79" i="1" s="1"/>
  <c r="J111" i="1" s="1"/>
  <c r="M48" i="1"/>
  <c r="M79" i="1" s="1"/>
  <c r="K111" i="1" s="1"/>
  <c r="N48" i="1"/>
  <c r="N79" i="1" s="1"/>
  <c r="L111" i="1" s="1"/>
  <c r="O48" i="1"/>
  <c r="E104" i="3"/>
  <c r="C147" i="3"/>
  <c r="E147" i="3" s="1"/>
  <c r="C148" i="3"/>
  <c r="E148" i="3"/>
  <c r="P47" i="1"/>
  <c r="P78" i="1" s="1"/>
  <c r="P48" i="1"/>
  <c r="P79" i="1" s="1"/>
  <c r="R47" i="1"/>
  <c r="R78" i="1" s="1"/>
  <c r="P110" i="1" s="1"/>
  <c r="S47" i="1"/>
  <c r="T47" i="1"/>
  <c r="T78" i="1" s="1"/>
  <c r="R110" i="1" s="1"/>
  <c r="U47" i="1"/>
  <c r="U78" i="1" s="1"/>
  <c r="R48" i="1"/>
  <c r="S48" i="1"/>
  <c r="S79" i="1" s="1"/>
  <c r="T48" i="1"/>
  <c r="T79" i="1" s="1"/>
  <c r="U48" i="1"/>
  <c r="U79" i="1" s="1"/>
  <c r="W47" i="1"/>
  <c r="X47" i="1"/>
  <c r="X78" i="1" s="1"/>
  <c r="V110" i="1" s="1"/>
  <c r="W48" i="1"/>
  <c r="X48" i="1"/>
  <c r="X79" i="1" s="1"/>
  <c r="V111" i="1" s="1"/>
  <c r="Y47" i="1"/>
  <c r="Y78" i="1" s="1"/>
  <c r="W110" i="1" s="1"/>
  <c r="Y48" i="1"/>
  <c r="Y79" i="1" s="1"/>
  <c r="W111" i="1" s="1"/>
  <c r="Z47" i="1"/>
  <c r="Z78" i="1" s="1"/>
  <c r="Z48" i="1"/>
  <c r="Z79" i="1" s="1"/>
  <c r="X111" i="1" s="1"/>
  <c r="C50" i="1"/>
  <c r="D50" i="1"/>
  <c r="E50" i="1"/>
  <c r="E81" i="1" s="1"/>
  <c r="F50" i="1"/>
  <c r="H50" i="1"/>
  <c r="H81" i="1" s="1"/>
  <c r="I50" i="1"/>
  <c r="J50" i="1"/>
  <c r="L50" i="1"/>
  <c r="L81" i="1" s="1"/>
  <c r="M50" i="1"/>
  <c r="M81" i="1" s="1"/>
  <c r="N50" i="1"/>
  <c r="N81" i="1" s="1"/>
  <c r="O50" i="1"/>
  <c r="O81" i="1" s="1"/>
  <c r="P50" i="1"/>
  <c r="P81" i="1" s="1"/>
  <c r="R50" i="1"/>
  <c r="R81" i="1" s="1"/>
  <c r="S50" i="1"/>
  <c r="S81" i="1" s="1"/>
  <c r="Q113" i="1" s="1"/>
  <c r="T50" i="1"/>
  <c r="U50" i="1"/>
  <c r="U81" i="1" s="1"/>
  <c r="S113" i="1" s="1"/>
  <c r="W50" i="1"/>
  <c r="W81" i="1" s="1"/>
  <c r="X50" i="1"/>
  <c r="X81" i="1" s="1"/>
  <c r="Y50" i="1"/>
  <c r="Y81" i="1" s="1"/>
  <c r="Y20" i="4" s="1"/>
  <c r="Z50" i="1"/>
  <c r="Z81" i="1" s="1"/>
  <c r="X113" i="1" s="1"/>
  <c r="C51" i="1"/>
  <c r="C82" i="1" s="1"/>
  <c r="D51" i="1"/>
  <c r="E51" i="1"/>
  <c r="F51" i="1"/>
  <c r="F82" i="1" s="1"/>
  <c r="H51" i="1"/>
  <c r="H82" i="1" s="1"/>
  <c r="I51" i="1"/>
  <c r="J51" i="1"/>
  <c r="J82" i="1" s="1"/>
  <c r="J21" i="4" s="1"/>
  <c r="L51" i="1"/>
  <c r="L82" i="1" s="1"/>
  <c r="M51" i="1"/>
  <c r="M82" i="1" s="1"/>
  <c r="K114" i="1" s="1"/>
  <c r="N51" i="1"/>
  <c r="N82" i="1" s="1"/>
  <c r="L114" i="1" s="1"/>
  <c r="O51" i="1"/>
  <c r="O82" i="1" s="1"/>
  <c r="P51" i="1"/>
  <c r="P82" i="1" s="1"/>
  <c r="N114" i="1" s="1"/>
  <c r="R51" i="1"/>
  <c r="R82" i="1" s="1"/>
  <c r="P114" i="1" s="1"/>
  <c r="S51" i="1"/>
  <c r="S82" i="1" s="1"/>
  <c r="T51" i="1"/>
  <c r="T82" i="1" s="1"/>
  <c r="R114" i="1" s="1"/>
  <c r="U51" i="1"/>
  <c r="U82" i="1" s="1"/>
  <c r="W51" i="1"/>
  <c r="W82" i="1" s="1"/>
  <c r="W21" i="4" s="1"/>
  <c r="X51" i="1"/>
  <c r="X82" i="1" s="1"/>
  <c r="V114" i="1" s="1"/>
  <c r="Y51" i="1"/>
  <c r="Y82" i="1" s="1"/>
  <c r="Z51" i="1"/>
  <c r="Z82" i="1" s="1"/>
  <c r="X114" i="1" s="1"/>
  <c r="D53" i="1"/>
  <c r="E53" i="1"/>
  <c r="E84" i="1" s="1"/>
  <c r="F53" i="1"/>
  <c r="F84" i="1" s="1"/>
  <c r="H53" i="1"/>
  <c r="H84" i="1" s="1"/>
  <c r="I53" i="1"/>
  <c r="J53" i="1"/>
  <c r="J84" i="1" s="1"/>
  <c r="J23" i="4" s="1"/>
  <c r="L53" i="1"/>
  <c r="L84" i="1" s="1"/>
  <c r="L23" i="4" s="1"/>
  <c r="M53" i="1"/>
  <c r="M84" i="1" s="1"/>
  <c r="K116" i="1" s="1"/>
  <c r="N53" i="1"/>
  <c r="N84" i="1" s="1"/>
  <c r="O53" i="1"/>
  <c r="O84" i="1" s="1"/>
  <c r="M116" i="1" s="1"/>
  <c r="P53" i="1"/>
  <c r="P84" i="1" s="1"/>
  <c r="R53" i="1"/>
  <c r="R84" i="1" s="1"/>
  <c r="P116" i="1" s="1"/>
  <c r="S53" i="1"/>
  <c r="S84" i="1" s="1"/>
  <c r="Q116" i="1" s="1"/>
  <c r="T53" i="1"/>
  <c r="T84" i="1" s="1"/>
  <c r="R116" i="1" s="1"/>
  <c r="U53" i="1"/>
  <c r="W53" i="1"/>
  <c r="X53" i="1"/>
  <c r="X84" i="1" s="1"/>
  <c r="Y53" i="1"/>
  <c r="Y84" i="1" s="1"/>
  <c r="W116" i="1" s="1"/>
  <c r="Z53" i="1"/>
  <c r="Z84" i="1" s="1"/>
  <c r="Z23" i="4" s="1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C59" i="1"/>
  <c r="D59" i="1"/>
  <c r="E59" i="1"/>
  <c r="E89" i="1" s="1"/>
  <c r="F59" i="1"/>
  <c r="H59" i="1"/>
  <c r="H89" i="1" s="1"/>
  <c r="J59" i="1"/>
  <c r="J89" i="1" s="1"/>
  <c r="J28" i="4" s="1"/>
  <c r="L59" i="1"/>
  <c r="L89" i="1" s="1"/>
  <c r="M59" i="1"/>
  <c r="M89" i="1" s="1"/>
  <c r="N59" i="1"/>
  <c r="N89" i="1" s="1"/>
  <c r="L121" i="1" s="1"/>
  <c r="O59" i="1"/>
  <c r="O89" i="1" s="1"/>
  <c r="I28" i="4"/>
  <c r="P59" i="1"/>
  <c r="P89" i="1" s="1"/>
  <c r="R59" i="1"/>
  <c r="R89" i="1" s="1"/>
  <c r="P121" i="1" s="1"/>
  <c r="S59" i="1"/>
  <c r="T59" i="1"/>
  <c r="T89" i="1" s="1"/>
  <c r="R121" i="1" s="1"/>
  <c r="U59" i="1"/>
  <c r="U89" i="1" s="1"/>
  <c r="S121" i="1" s="1"/>
  <c r="W59" i="1"/>
  <c r="W89" i="1" s="1"/>
  <c r="X59" i="1"/>
  <c r="Y59" i="1"/>
  <c r="Y89" i="1" s="1"/>
  <c r="W121" i="1" s="1"/>
  <c r="I29" i="4"/>
  <c r="E160" i="3"/>
  <c r="E161" i="3"/>
  <c r="E162" i="3"/>
  <c r="C163" i="3"/>
  <c r="E163" i="3" s="1"/>
  <c r="C164" i="3"/>
  <c r="E119" i="3"/>
  <c r="C121" i="3"/>
  <c r="E121" i="3" s="1"/>
  <c r="C120" i="3"/>
  <c r="E120" i="3" s="1"/>
  <c r="E117" i="3"/>
  <c r="E118" i="3"/>
  <c r="E76" i="3"/>
  <c r="E37" i="1" s="1"/>
  <c r="E68" i="1" s="1"/>
  <c r="E77" i="3"/>
  <c r="C37" i="1" s="1"/>
  <c r="K66" i="1"/>
  <c r="K5" i="4" s="1"/>
  <c r="K74" i="1"/>
  <c r="K79" i="1"/>
  <c r="K18" i="4" s="1"/>
  <c r="K63" i="1"/>
  <c r="K32" i="1"/>
  <c r="I40" i="1"/>
  <c r="B29" i="1"/>
  <c r="W3" i="2"/>
  <c r="Z40" i="1"/>
  <c r="Z55" i="1"/>
  <c r="Z86" i="1" s="1"/>
  <c r="J112" i="2"/>
  <c r="K5" i="6" s="1"/>
  <c r="L145" i="2"/>
  <c r="M36" i="6" s="1"/>
  <c r="L107" i="2"/>
  <c r="J107" i="2"/>
  <c r="K3" i="2"/>
  <c r="K61" i="2" s="1"/>
  <c r="K113" i="2" s="1"/>
  <c r="K38" i="4" s="1"/>
  <c r="M3" i="2"/>
  <c r="N3" i="2"/>
  <c r="O3" i="2"/>
  <c r="O97" i="2" s="1"/>
  <c r="O149" i="2" s="1"/>
  <c r="P3" i="2"/>
  <c r="Q3" i="2"/>
  <c r="R3" i="2"/>
  <c r="R65" i="2" s="1"/>
  <c r="S3" i="2"/>
  <c r="T3" i="2"/>
  <c r="T57" i="2" s="1"/>
  <c r="T109" i="2" s="1"/>
  <c r="U3" i="2"/>
  <c r="V3" i="2"/>
  <c r="X3" i="2"/>
  <c r="Y3" i="2"/>
  <c r="Z3" i="2"/>
  <c r="I63" i="1"/>
  <c r="I55" i="1"/>
  <c r="I32" i="1"/>
  <c r="I29" i="1"/>
  <c r="AA142" i="2"/>
  <c r="AB28" i="6" s="1"/>
  <c r="Z86" i="6" s="1"/>
  <c r="AA107" i="2"/>
  <c r="Z32" i="1"/>
  <c r="Z58" i="1"/>
  <c r="Z63" i="1"/>
  <c r="Z89" i="1"/>
  <c r="X121" i="1" s="1"/>
  <c r="DN86" i="5"/>
  <c r="DM86" i="5"/>
  <c r="DL86" i="5"/>
  <c r="DK86" i="5"/>
  <c r="DJ86" i="5"/>
  <c r="DI86" i="5"/>
  <c r="DH86" i="5"/>
  <c r="DG86" i="5"/>
  <c r="DF86" i="5"/>
  <c r="DE86" i="5"/>
  <c r="DD86" i="5"/>
  <c r="DL72" i="5"/>
  <c r="DK72" i="5"/>
  <c r="DJ72" i="5"/>
  <c r="DI72" i="5"/>
  <c r="DH72" i="5"/>
  <c r="DG72" i="5"/>
  <c r="DF72" i="5"/>
  <c r="DE72" i="5"/>
  <c r="DD72" i="5"/>
  <c r="DP66" i="5"/>
  <c r="DO66" i="5"/>
  <c r="DN66" i="5"/>
  <c r="DM66" i="5"/>
  <c r="DL66" i="5"/>
  <c r="DK66" i="5"/>
  <c r="DJ66" i="5"/>
  <c r="DI66" i="5"/>
  <c r="DH66" i="5"/>
  <c r="DG66" i="5"/>
  <c r="DF66" i="5"/>
  <c r="DE66" i="5"/>
  <c r="DD66" i="5"/>
  <c r="C154" i="3"/>
  <c r="E154" i="3"/>
  <c r="C155" i="3"/>
  <c r="E155" i="3" s="1"/>
  <c r="C156" i="3"/>
  <c r="E156" i="3" s="1"/>
  <c r="C157" i="3"/>
  <c r="E157" i="3" s="1"/>
  <c r="C158" i="3"/>
  <c r="E158" i="3" s="1"/>
  <c r="C159" i="3"/>
  <c r="E159" i="3" s="1"/>
  <c r="C153" i="3"/>
  <c r="E153" i="3"/>
  <c r="C141" i="3"/>
  <c r="E141" i="3" s="1"/>
  <c r="C142" i="3"/>
  <c r="E142" i="3"/>
  <c r="C144" i="3"/>
  <c r="E144" i="3" s="1"/>
  <c r="C145" i="3"/>
  <c r="E145" i="3" s="1"/>
  <c r="C146" i="3"/>
  <c r="E146" i="3" s="1"/>
  <c r="C149" i="3"/>
  <c r="E149" i="3" s="1"/>
  <c r="C150" i="3"/>
  <c r="E150" i="3" s="1"/>
  <c r="C151" i="3"/>
  <c r="E151" i="3" s="1"/>
  <c r="C139" i="3"/>
  <c r="E139" i="3" s="1"/>
  <c r="C338" i="3"/>
  <c r="E338" i="3" s="1"/>
  <c r="C339" i="3"/>
  <c r="E339" i="3" s="1"/>
  <c r="C340" i="3"/>
  <c r="C341" i="3"/>
  <c r="C318" i="3" s="1"/>
  <c r="E318" i="3" s="1"/>
  <c r="C342" i="3"/>
  <c r="E342" i="3" s="1"/>
  <c r="C322" i="3"/>
  <c r="C323" i="3"/>
  <c r="C299" i="3" s="1"/>
  <c r="E299" i="3" s="1"/>
  <c r="C324" i="3"/>
  <c r="C300" i="3"/>
  <c r="E300" i="3" s="1"/>
  <c r="C325" i="3"/>
  <c r="C301" i="3" s="1"/>
  <c r="E301" i="3" s="1"/>
  <c r="C326" i="3"/>
  <c r="C302" i="3" s="1"/>
  <c r="E302" i="3" s="1"/>
  <c r="E326" i="3"/>
  <c r="C327" i="3"/>
  <c r="E327" i="3" s="1"/>
  <c r="C328" i="3"/>
  <c r="C304" i="3" s="1"/>
  <c r="E304" i="3" s="1"/>
  <c r="C329" i="3"/>
  <c r="E329" i="3" s="1"/>
  <c r="C330" i="3"/>
  <c r="E330" i="3" s="1"/>
  <c r="C331" i="3"/>
  <c r="C307" i="3" s="1"/>
  <c r="E307" i="3" s="1"/>
  <c r="C332" i="3"/>
  <c r="C308" i="3" s="1"/>
  <c r="E308" i="3" s="1"/>
  <c r="C333" i="3"/>
  <c r="C334" i="3"/>
  <c r="E334" i="3" s="1"/>
  <c r="C335" i="3"/>
  <c r="C311" i="3" s="1"/>
  <c r="E311" i="3" s="1"/>
  <c r="C336" i="3"/>
  <c r="C312" i="3" s="1"/>
  <c r="E312" i="3" s="1"/>
  <c r="C337" i="3"/>
  <c r="C313" i="3" s="1"/>
  <c r="E313" i="3" s="1"/>
  <c r="C321" i="3"/>
  <c r="C297" i="3"/>
  <c r="E297" i="3" s="1"/>
  <c r="Y44" i="3"/>
  <c r="U44" i="3"/>
  <c r="Y43" i="3"/>
  <c r="Y42" i="3"/>
  <c r="Y41" i="3"/>
  <c r="Y40" i="3"/>
  <c r="Y39" i="3"/>
  <c r="Y38" i="3"/>
  <c r="Y37" i="3"/>
  <c r="U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U11" i="3"/>
  <c r="Y10" i="3"/>
  <c r="Y9" i="3"/>
  <c r="Y8" i="3"/>
  <c r="U8" i="3"/>
  <c r="Y7" i="3"/>
  <c r="Y6" i="3"/>
  <c r="Y5" i="3"/>
  <c r="Y4" i="3"/>
  <c r="Y3" i="3"/>
  <c r="Y2" i="3"/>
  <c r="Y1" i="3"/>
  <c r="U1" i="3"/>
  <c r="U2" i="3"/>
  <c r="U3" i="3"/>
  <c r="U20" i="3"/>
  <c r="U4" i="3"/>
  <c r="U5" i="3"/>
  <c r="U6" i="3"/>
  <c r="U7" i="3"/>
  <c r="U9" i="3"/>
  <c r="U10" i="3"/>
  <c r="U12" i="3"/>
  <c r="U34" i="3"/>
  <c r="U13" i="3"/>
  <c r="U14" i="3"/>
  <c r="U15" i="3"/>
  <c r="U18" i="3"/>
  <c r="U19" i="3"/>
  <c r="U22" i="3"/>
  <c r="U24" i="3"/>
  <c r="U26" i="3"/>
  <c r="U27" i="3"/>
  <c r="U31" i="3"/>
  <c r="U32" i="3"/>
  <c r="U28" i="3"/>
  <c r="U23" i="3"/>
  <c r="U16" i="3"/>
  <c r="U17" i="3"/>
  <c r="U21" i="3"/>
  <c r="U25" i="3"/>
  <c r="U29" i="3"/>
  <c r="U30" i="3"/>
  <c r="U33" i="3"/>
  <c r="U35" i="3"/>
  <c r="U36" i="3"/>
  <c r="U38" i="3"/>
  <c r="U39" i="3"/>
  <c r="U40" i="3"/>
  <c r="U41" i="3"/>
  <c r="U42" i="3"/>
  <c r="U43" i="3"/>
  <c r="E75" i="3"/>
  <c r="C143" i="3"/>
  <c r="E143" i="3" s="1"/>
  <c r="C140" i="3"/>
  <c r="E140" i="3" s="1"/>
  <c r="D341" i="3"/>
  <c r="D342" i="3"/>
  <c r="D343" i="3"/>
  <c r="C317" i="3"/>
  <c r="E317" i="3" s="1"/>
  <c r="E73" i="3"/>
  <c r="D139" i="3"/>
  <c r="D140" i="3"/>
  <c r="D141" i="3"/>
  <c r="D142" i="3"/>
  <c r="E54" i="3"/>
  <c r="C96" i="3"/>
  <c r="E97" i="3"/>
  <c r="E98" i="3"/>
  <c r="E99" i="3"/>
  <c r="E101" i="3"/>
  <c r="E102" i="3"/>
  <c r="E103" i="3"/>
  <c r="E106" i="3"/>
  <c r="E107" i="3"/>
  <c r="E112" i="3"/>
  <c r="E114" i="3"/>
  <c r="C375" i="3"/>
  <c r="E375" i="3" s="1"/>
  <c r="J41" i="1" s="1"/>
  <c r="C377" i="3"/>
  <c r="E377" i="3" s="1"/>
  <c r="C378" i="3"/>
  <c r="E378" i="3"/>
  <c r="C272" i="3"/>
  <c r="E353" i="3"/>
  <c r="D96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247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70" i="3"/>
  <c r="E52" i="3"/>
  <c r="E55" i="3"/>
  <c r="E277" i="3"/>
  <c r="E57" i="3"/>
  <c r="E58" i="3"/>
  <c r="E59" i="3"/>
  <c r="D39" i="1" s="1"/>
  <c r="D70" i="1" s="1"/>
  <c r="E62" i="3"/>
  <c r="E63" i="3"/>
  <c r="E64" i="3"/>
  <c r="E65" i="3"/>
  <c r="C43" i="1" s="1"/>
  <c r="C74" i="1" s="1"/>
  <c r="E66" i="3"/>
  <c r="E67" i="3"/>
  <c r="E68" i="3"/>
  <c r="E70" i="3"/>
  <c r="E71" i="3"/>
  <c r="O39" i="1" s="1"/>
  <c r="O70" i="1" s="1"/>
  <c r="M102" i="1" s="1"/>
  <c r="E72" i="3"/>
  <c r="E74" i="3"/>
  <c r="E109" i="3"/>
  <c r="E152" i="3"/>
  <c r="E185" i="3"/>
  <c r="E191" i="3"/>
  <c r="E192" i="3"/>
  <c r="E193" i="3"/>
  <c r="E194" i="3"/>
  <c r="E196" i="3"/>
  <c r="E198" i="3"/>
  <c r="E199" i="3"/>
  <c r="E200" i="3"/>
  <c r="E203" i="3"/>
  <c r="E252" i="3"/>
  <c r="E253" i="3"/>
  <c r="E254" i="3"/>
  <c r="E255" i="3"/>
  <c r="E256" i="3"/>
  <c r="E257" i="3"/>
  <c r="E273" i="3"/>
  <c r="E274" i="3"/>
  <c r="E275" i="3"/>
  <c r="E276" i="3"/>
  <c r="E278" i="3"/>
  <c r="H39" i="1" s="1"/>
  <c r="H70" i="1" s="1"/>
  <c r="E279" i="3"/>
  <c r="E280" i="3"/>
  <c r="E281" i="3"/>
  <c r="E282" i="3"/>
  <c r="P36" i="1" s="1"/>
  <c r="P67" i="1" s="1"/>
  <c r="N99" i="1" s="1"/>
  <c r="E283" i="3"/>
  <c r="E284" i="3"/>
  <c r="E285" i="3"/>
  <c r="E286" i="3"/>
  <c r="C35" i="1" s="1"/>
  <c r="C66" i="1" s="1"/>
  <c r="E287" i="3"/>
  <c r="C38" i="1" s="1"/>
  <c r="E288" i="3"/>
  <c r="E289" i="3"/>
  <c r="E291" i="3"/>
  <c r="E292" i="3"/>
  <c r="E293" i="3"/>
  <c r="E294" i="3"/>
  <c r="E36" i="1" s="1"/>
  <c r="E67" i="1" s="1"/>
  <c r="E295" i="3"/>
  <c r="E314" i="3"/>
  <c r="E345" i="3"/>
  <c r="E346" i="3"/>
  <c r="E347" i="3"/>
  <c r="E348" i="3"/>
  <c r="E349" i="3"/>
  <c r="E350" i="3"/>
  <c r="F74" i="2" s="1"/>
  <c r="F126" i="2" s="1"/>
  <c r="F51" i="4" s="1"/>
  <c r="E351" i="3"/>
  <c r="E352" i="3"/>
  <c r="E354" i="3"/>
  <c r="E355" i="3"/>
  <c r="E356" i="3"/>
  <c r="E357" i="3"/>
  <c r="E358" i="3"/>
  <c r="E359" i="3"/>
  <c r="E362" i="3"/>
  <c r="E363" i="3"/>
  <c r="E364" i="3"/>
  <c r="E376" i="3"/>
  <c r="E379" i="3"/>
  <c r="E380" i="3"/>
  <c r="E382" i="3"/>
  <c r="F96" i="3"/>
  <c r="F140" i="3"/>
  <c r="F141" i="3"/>
  <c r="F142" i="3"/>
  <c r="F143" i="3"/>
  <c r="F144" i="3"/>
  <c r="F145" i="3"/>
  <c r="F146" i="3"/>
  <c r="F148" i="3"/>
  <c r="F149" i="3"/>
  <c r="F150" i="3"/>
  <c r="F151" i="3"/>
  <c r="F152" i="3"/>
  <c r="F153" i="3"/>
  <c r="F154" i="3"/>
  <c r="F155" i="3"/>
  <c r="F156" i="3"/>
  <c r="F157" i="3"/>
  <c r="F158" i="3"/>
  <c r="F247" i="3"/>
  <c r="F297" i="3"/>
  <c r="F299" i="3"/>
  <c r="F300" i="3"/>
  <c r="F301" i="3"/>
  <c r="F302" i="3"/>
  <c r="F303" i="3"/>
  <c r="F305" i="3"/>
  <c r="F306" i="3"/>
  <c r="F307" i="3"/>
  <c r="F309" i="3"/>
  <c r="F310" i="3"/>
  <c r="F313" i="3"/>
  <c r="F314" i="3"/>
  <c r="F315" i="3"/>
  <c r="F316" i="3"/>
  <c r="F321" i="3"/>
  <c r="F322" i="3"/>
  <c r="F323" i="3"/>
  <c r="F324" i="3"/>
  <c r="F325" i="3"/>
  <c r="F326" i="3"/>
  <c r="F327" i="3"/>
  <c r="F328" i="3"/>
  <c r="F330" i="3"/>
  <c r="F331" i="3"/>
  <c r="F332" i="3"/>
  <c r="F333" i="3"/>
  <c r="F334" i="3"/>
  <c r="F335" i="3"/>
  <c r="F336" i="3"/>
  <c r="F337" i="3"/>
  <c r="F338" i="3"/>
  <c r="F339" i="3"/>
  <c r="F340" i="3"/>
  <c r="F370" i="3"/>
  <c r="G29" i="1"/>
  <c r="H29" i="1"/>
  <c r="B58" i="1"/>
  <c r="C361" i="3" s="1"/>
  <c r="C53" i="1" s="1"/>
  <c r="C84" i="1" s="1"/>
  <c r="T32" i="1"/>
  <c r="F55" i="1"/>
  <c r="F86" i="1" s="1"/>
  <c r="F58" i="1"/>
  <c r="O55" i="1"/>
  <c r="O86" i="1" s="1"/>
  <c r="M118" i="1" s="1"/>
  <c r="AA10" i="4"/>
  <c r="AA27" i="4"/>
  <c r="B10" i="4"/>
  <c r="B27" i="4"/>
  <c r="C55" i="1"/>
  <c r="C86" i="1" s="1"/>
  <c r="D55" i="1"/>
  <c r="D86" i="1" s="1"/>
  <c r="D118" i="1" s="1"/>
  <c r="E55" i="1"/>
  <c r="E86" i="1" s="1"/>
  <c r="G55" i="1"/>
  <c r="G86" i="1" s="1"/>
  <c r="H55" i="1"/>
  <c r="H86" i="1" s="1"/>
  <c r="J55" i="1"/>
  <c r="J86" i="1" s="1"/>
  <c r="L55" i="1"/>
  <c r="L86" i="1" s="1"/>
  <c r="J118" i="1" s="1"/>
  <c r="M55" i="1"/>
  <c r="M86" i="1" s="1"/>
  <c r="K118" i="1" s="1"/>
  <c r="N55" i="1"/>
  <c r="N86" i="1" s="1"/>
  <c r="L118" i="1" s="1"/>
  <c r="P55" i="1"/>
  <c r="P86" i="1" s="1"/>
  <c r="Q55" i="1"/>
  <c r="Q86" i="1" s="1"/>
  <c r="O118" i="1" s="1"/>
  <c r="R55" i="1"/>
  <c r="R86" i="1" s="1"/>
  <c r="P118" i="1" s="1"/>
  <c r="S55" i="1"/>
  <c r="S86" i="1" s="1"/>
  <c r="T55" i="1"/>
  <c r="T86" i="1" s="1"/>
  <c r="U55" i="1"/>
  <c r="U86" i="1" s="1"/>
  <c r="S118" i="1" s="1"/>
  <c r="W55" i="1"/>
  <c r="W86" i="1" s="1"/>
  <c r="U118" i="1" s="1"/>
  <c r="X55" i="1"/>
  <c r="X86" i="1"/>
  <c r="V118" i="1" s="1"/>
  <c r="Y55" i="1"/>
  <c r="Y86" i="1" s="1"/>
  <c r="W118" i="1" s="1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K107" i="2"/>
  <c r="I107" i="2"/>
  <c r="H107" i="2"/>
  <c r="G107" i="2"/>
  <c r="F107" i="2"/>
  <c r="E107" i="2"/>
  <c r="D107" i="2"/>
  <c r="C107" i="2"/>
  <c r="I3" i="2"/>
  <c r="I59" i="2" s="1"/>
  <c r="I111" i="2" s="1"/>
  <c r="J23" i="6" s="1"/>
  <c r="J81" i="6" s="1"/>
  <c r="H3" i="2"/>
  <c r="G3" i="2"/>
  <c r="F3" i="2"/>
  <c r="E3" i="2"/>
  <c r="E64" i="2" s="1"/>
  <c r="E116" i="2" s="1"/>
  <c r="E41" i="4" s="1"/>
  <c r="D3" i="2"/>
  <c r="C3" i="2"/>
  <c r="AA28" i="4"/>
  <c r="AA25" i="4"/>
  <c r="AA23" i="4"/>
  <c r="AA21" i="4"/>
  <c r="AA20" i="4"/>
  <c r="AA18" i="4"/>
  <c r="AA17" i="4"/>
  <c r="AA16" i="4"/>
  <c r="AA15" i="4"/>
  <c r="AA13" i="4"/>
  <c r="AA12" i="4"/>
  <c r="AA11" i="4"/>
  <c r="AA9" i="4"/>
  <c r="AA8" i="4"/>
  <c r="AA7" i="4"/>
  <c r="AA6" i="4"/>
  <c r="AA5" i="4"/>
  <c r="AA4" i="4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J63" i="1"/>
  <c r="H63" i="1"/>
  <c r="G63" i="1"/>
  <c r="F63" i="1"/>
  <c r="E63" i="1"/>
  <c r="D63" i="1"/>
  <c r="C63" i="1"/>
  <c r="B63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J58" i="1"/>
  <c r="H58" i="1"/>
  <c r="E58" i="1"/>
  <c r="C259" i="3" s="1"/>
  <c r="C251" i="3" s="1"/>
  <c r="D58" i="1"/>
  <c r="C58" i="1"/>
  <c r="Y40" i="1"/>
  <c r="X40" i="1"/>
  <c r="W40" i="1"/>
  <c r="U40" i="1"/>
  <c r="T40" i="1"/>
  <c r="S40" i="1"/>
  <c r="R40" i="1"/>
  <c r="P40" i="1"/>
  <c r="O40" i="1"/>
  <c r="N40" i="1"/>
  <c r="M40" i="1"/>
  <c r="L40" i="1"/>
  <c r="J40" i="1"/>
  <c r="H40" i="1"/>
  <c r="F40" i="1"/>
  <c r="E40" i="1"/>
  <c r="D40" i="1"/>
  <c r="C40" i="1"/>
  <c r="AA3" i="4"/>
  <c r="Y32" i="1"/>
  <c r="X32" i="1"/>
  <c r="W32" i="1"/>
  <c r="V32" i="1"/>
  <c r="U32" i="1"/>
  <c r="S32" i="1"/>
  <c r="R32" i="1"/>
  <c r="Q32" i="1"/>
  <c r="P32" i="1"/>
  <c r="O32" i="1"/>
  <c r="N32" i="1"/>
  <c r="M32" i="1"/>
  <c r="L32" i="1"/>
  <c r="J32" i="1"/>
  <c r="H32" i="1"/>
  <c r="G32" i="1"/>
  <c r="F32" i="1"/>
  <c r="E32" i="1"/>
  <c r="D32" i="1"/>
  <c r="C32" i="1"/>
  <c r="B32" i="1"/>
  <c r="O29" i="1"/>
  <c r="N29" i="1"/>
  <c r="M29" i="1"/>
  <c r="L29" i="1"/>
  <c r="J29" i="1"/>
  <c r="G58" i="1"/>
  <c r="AA14" i="4"/>
  <c r="E56" i="3"/>
  <c r="C51" i="3"/>
  <c r="AA22" i="4"/>
  <c r="AA24" i="4"/>
  <c r="AA19" i="4"/>
  <c r="AA29" i="4"/>
  <c r="AA26" i="4"/>
  <c r="Z28" i="4"/>
  <c r="C306" i="3"/>
  <c r="E306" i="3" s="1"/>
  <c r="Z59" i="2"/>
  <c r="Z111" i="2" s="1"/>
  <c r="Z77" i="2"/>
  <c r="Z129" i="2" s="1"/>
  <c r="Z54" i="4" s="1"/>
  <c r="Z79" i="2"/>
  <c r="Z131" i="2" s="1"/>
  <c r="AA29" i="6" s="1"/>
  <c r="Y87" i="6" s="1"/>
  <c r="Z82" i="2"/>
  <c r="Z134" i="2" s="1"/>
  <c r="Z59" i="4" s="1"/>
  <c r="Z71" i="2"/>
  <c r="Z123" i="2" s="1"/>
  <c r="Z93" i="2"/>
  <c r="Z145" i="2" s="1"/>
  <c r="Z83" i="2"/>
  <c r="Z135" i="2" s="1"/>
  <c r="M59" i="2"/>
  <c r="M111" i="2" s="1"/>
  <c r="M64" i="2"/>
  <c r="M116" i="2" s="1"/>
  <c r="M41" i="4" s="1"/>
  <c r="M73" i="2"/>
  <c r="M125" i="2" s="1"/>
  <c r="M56" i="2"/>
  <c r="M108" i="2" s="1"/>
  <c r="M60" i="2"/>
  <c r="M112" i="2" s="1"/>
  <c r="M63" i="2"/>
  <c r="M115" i="2" s="1"/>
  <c r="M40" i="4" s="1"/>
  <c r="M67" i="2"/>
  <c r="M119" i="2" s="1"/>
  <c r="M58" i="2"/>
  <c r="M62" i="2"/>
  <c r="M114" i="2" s="1"/>
  <c r="M39" i="4" s="1"/>
  <c r="M65" i="2"/>
  <c r="M117" i="2" s="1"/>
  <c r="M42" i="4" s="1"/>
  <c r="M68" i="2"/>
  <c r="M120" i="2" s="1"/>
  <c r="M45" i="4" s="1"/>
  <c r="M71" i="2"/>
  <c r="M123" i="2" s="1"/>
  <c r="M48" i="4" s="1"/>
  <c r="M57" i="2"/>
  <c r="M109" i="2" s="1"/>
  <c r="M76" i="2"/>
  <c r="M128" i="2" s="1"/>
  <c r="M53" i="4" s="1"/>
  <c r="M78" i="2"/>
  <c r="M130" i="2" s="1"/>
  <c r="M55" i="4" s="1"/>
  <c r="M79" i="2"/>
  <c r="M131" i="2" s="1"/>
  <c r="M56" i="4" s="1"/>
  <c r="M83" i="2"/>
  <c r="M135" i="2" s="1"/>
  <c r="M60" i="4" s="1"/>
  <c r="M88" i="2"/>
  <c r="M140" i="2" s="1"/>
  <c r="M61" i="2"/>
  <c r="M113" i="2" s="1"/>
  <c r="N6" i="6" s="1"/>
  <c r="L64" i="6" s="1"/>
  <c r="M70" i="2"/>
  <c r="M122" i="2" s="1"/>
  <c r="M47" i="4" s="1"/>
  <c r="M80" i="2"/>
  <c r="M132" i="2" s="1"/>
  <c r="M57" i="4" s="1"/>
  <c r="M75" i="2"/>
  <c r="M127" i="2" s="1"/>
  <c r="M84" i="2"/>
  <c r="M136" i="2" s="1"/>
  <c r="M85" i="2"/>
  <c r="M137" i="2" s="1"/>
  <c r="N40" i="6" s="1"/>
  <c r="L98" i="6" s="1"/>
  <c r="M74" i="2"/>
  <c r="M126" i="2" s="1"/>
  <c r="N18" i="6" s="1"/>
  <c r="L76" i="6" s="1"/>
  <c r="M87" i="2"/>
  <c r="M139" i="2" s="1"/>
  <c r="M93" i="2"/>
  <c r="M145" i="2" s="1"/>
  <c r="M97" i="2"/>
  <c r="M149" i="2" s="1"/>
  <c r="N43" i="6" s="1"/>
  <c r="L101" i="6" s="1"/>
  <c r="M101" i="2"/>
  <c r="M153" i="2" s="1"/>
  <c r="M77" i="2"/>
  <c r="M129" i="2" s="1"/>
  <c r="M81" i="2"/>
  <c r="M133" i="2" s="1"/>
  <c r="M58" i="4" s="1"/>
  <c r="M89" i="2"/>
  <c r="M141" i="2" s="1"/>
  <c r="M66" i="4" s="1"/>
  <c r="M90" i="2"/>
  <c r="M94" i="2"/>
  <c r="M146" i="2" s="1"/>
  <c r="M71" i="4" s="1"/>
  <c r="M98" i="2"/>
  <c r="M150" i="2" s="1"/>
  <c r="M91" i="2"/>
  <c r="M143" i="2" s="1"/>
  <c r="M92" i="2"/>
  <c r="M144" i="2" s="1"/>
  <c r="M69" i="4" s="1"/>
  <c r="M95" i="2"/>
  <c r="M147" i="2" s="1"/>
  <c r="M96" i="2"/>
  <c r="M148" i="2" s="1"/>
  <c r="M99" i="2"/>
  <c r="M151" i="2" s="1"/>
  <c r="M100" i="2"/>
  <c r="M152" i="2" s="1"/>
  <c r="M82" i="2"/>
  <c r="M134" i="2" s="1"/>
  <c r="M59" i="4" s="1"/>
  <c r="M102" i="2"/>
  <c r="M154" i="2" s="1"/>
  <c r="M79" i="4" s="1"/>
  <c r="D59" i="2"/>
  <c r="D111" i="2" s="1"/>
  <c r="D63" i="2"/>
  <c r="D115" i="2" s="1"/>
  <c r="D73" i="2"/>
  <c r="D125" i="2" s="1"/>
  <c r="D56" i="2"/>
  <c r="D108" i="2" s="1"/>
  <c r="D60" i="2"/>
  <c r="D112" i="2" s="1"/>
  <c r="D37" i="4" s="1"/>
  <c r="D67" i="2"/>
  <c r="D119" i="2" s="1"/>
  <c r="D70" i="2"/>
  <c r="D122" i="2" s="1"/>
  <c r="D58" i="2"/>
  <c r="D110" i="2" s="1"/>
  <c r="D35" i="4" s="1"/>
  <c r="D62" i="2"/>
  <c r="D114" i="2" s="1"/>
  <c r="D64" i="2"/>
  <c r="D116" i="2" s="1"/>
  <c r="D68" i="2"/>
  <c r="D120" i="2" s="1"/>
  <c r="D71" i="2"/>
  <c r="D123" i="2" s="1"/>
  <c r="D57" i="2"/>
  <c r="D65" i="2"/>
  <c r="D117" i="2" s="1"/>
  <c r="D74" i="2"/>
  <c r="D126" i="2" s="1"/>
  <c r="E18" i="6" s="1"/>
  <c r="D78" i="2"/>
  <c r="D130" i="2" s="1"/>
  <c r="D75" i="2"/>
  <c r="D127" i="2" s="1"/>
  <c r="E21" i="6" s="1"/>
  <c r="D76" i="2"/>
  <c r="D128" i="2" s="1"/>
  <c r="D79" i="2"/>
  <c r="D131" i="2" s="1"/>
  <c r="D88" i="2"/>
  <c r="D140" i="2" s="1"/>
  <c r="D61" i="2"/>
  <c r="D113" i="2" s="1"/>
  <c r="D38" i="4" s="1"/>
  <c r="D80" i="2"/>
  <c r="D132" i="2" s="1"/>
  <c r="E30" i="6" s="1"/>
  <c r="D81" i="2"/>
  <c r="D133" i="2" s="1"/>
  <c r="E34" i="6" s="1"/>
  <c r="D82" i="2"/>
  <c r="D134" i="2" s="1"/>
  <c r="D90" i="2"/>
  <c r="D142" i="2" s="1"/>
  <c r="D84" i="2"/>
  <c r="D136" i="2" s="1"/>
  <c r="E26" i="6" s="1"/>
  <c r="D93" i="2"/>
  <c r="D145" i="2" s="1"/>
  <c r="E36" i="6" s="1"/>
  <c r="D97" i="2"/>
  <c r="D149" i="2" s="1"/>
  <c r="E43" i="6" s="1"/>
  <c r="D85" i="2"/>
  <c r="D137" i="2" s="1"/>
  <c r="D87" i="2"/>
  <c r="D139" i="2" s="1"/>
  <c r="D94" i="2"/>
  <c r="D146" i="2" s="1"/>
  <c r="D98" i="2"/>
  <c r="D150" i="2" s="1"/>
  <c r="D91" i="2"/>
  <c r="D143" i="2" s="1"/>
  <c r="E32" i="6" s="1"/>
  <c r="D89" i="2"/>
  <c r="D141" i="2" s="1"/>
  <c r="E24" i="6" s="1"/>
  <c r="D92" i="2"/>
  <c r="D144" i="2" s="1"/>
  <c r="D95" i="2"/>
  <c r="D147" i="2" s="1"/>
  <c r="E39" i="6" s="1"/>
  <c r="D96" i="2"/>
  <c r="D148" i="2" s="1"/>
  <c r="D102" i="2"/>
  <c r="D154" i="2" s="1"/>
  <c r="D79" i="4" s="1"/>
  <c r="H63" i="2"/>
  <c r="H115" i="2" s="1"/>
  <c r="H40" i="4" s="1"/>
  <c r="H70" i="2"/>
  <c r="H122" i="2" s="1"/>
  <c r="H64" i="2"/>
  <c r="H116" i="2" s="1"/>
  <c r="H65" i="2"/>
  <c r="H117" i="2" s="1"/>
  <c r="H42" i="4" s="1"/>
  <c r="T70" i="2"/>
  <c r="T122" i="2" s="1"/>
  <c r="U37" i="6" s="1"/>
  <c r="S95" i="6" s="1"/>
  <c r="T68" i="2"/>
  <c r="T120" i="2" s="1"/>
  <c r="T45" i="4" s="1"/>
  <c r="T64" i="2"/>
  <c r="T116" i="2" s="1"/>
  <c r="T41" i="4" s="1"/>
  <c r="T76" i="2"/>
  <c r="T85" i="2"/>
  <c r="T137" i="2" s="1"/>
  <c r="U40" i="6" s="1"/>
  <c r="S98" i="6" s="1"/>
  <c r="T90" i="2"/>
  <c r="T142" i="2" s="1"/>
  <c r="T91" i="2"/>
  <c r="T143" i="2" s="1"/>
  <c r="T68" i="4" s="1"/>
  <c r="T96" i="2"/>
  <c r="T148" i="2" s="1"/>
  <c r="T73" i="4" s="1"/>
  <c r="T79" i="2"/>
  <c r="T131" i="2" s="1"/>
  <c r="T56" i="4" s="1"/>
  <c r="T82" i="2"/>
  <c r="T134" i="2" s="1"/>
  <c r="U35" i="6" s="1"/>
  <c r="S93" i="6" s="1"/>
  <c r="K57" i="2"/>
  <c r="K58" i="2"/>
  <c r="K110" i="2" s="1"/>
  <c r="L4" i="6" s="1"/>
  <c r="K71" i="2"/>
  <c r="K123" i="2" s="1"/>
  <c r="L15" i="6" s="1"/>
  <c r="K67" i="2"/>
  <c r="K119" i="2" s="1"/>
  <c r="K77" i="2"/>
  <c r="K129" i="2" s="1"/>
  <c r="L25" i="6" s="1"/>
  <c r="K64" i="2"/>
  <c r="K116" i="2" s="1"/>
  <c r="K41" i="4" s="1"/>
  <c r="K82" i="2"/>
  <c r="K134" i="2" s="1"/>
  <c r="K59" i="4" s="1"/>
  <c r="K99" i="2"/>
  <c r="K151" i="2" s="1"/>
  <c r="K76" i="4" s="1"/>
  <c r="K79" i="2"/>
  <c r="K93" i="2"/>
  <c r="K87" i="2"/>
  <c r="K139" i="2" s="1"/>
  <c r="G56" i="2"/>
  <c r="G108" i="2" s="1"/>
  <c r="G60" i="2"/>
  <c r="G112" i="2" s="1"/>
  <c r="G37" i="4" s="1"/>
  <c r="G67" i="2"/>
  <c r="G119" i="2" s="1"/>
  <c r="G70" i="2"/>
  <c r="G122" i="2" s="1"/>
  <c r="H37" i="6" s="1"/>
  <c r="H95" i="6" s="1"/>
  <c r="G74" i="2"/>
  <c r="G126" i="2" s="1"/>
  <c r="G57" i="2"/>
  <c r="G109" i="2" s="1"/>
  <c r="G34" i="4" s="1"/>
  <c r="G61" i="2"/>
  <c r="G113" i="2" s="1"/>
  <c r="G38" i="4" s="1"/>
  <c r="G65" i="2"/>
  <c r="G117" i="2" s="1"/>
  <c r="G59" i="2"/>
  <c r="G111" i="2" s="1"/>
  <c r="G63" i="2"/>
  <c r="G115" i="2" s="1"/>
  <c r="G40" i="4" s="1"/>
  <c r="G58" i="2"/>
  <c r="G110" i="2" s="1"/>
  <c r="H4" i="6" s="1"/>
  <c r="H62" i="6" s="1"/>
  <c r="G64" i="2"/>
  <c r="G116" i="2" s="1"/>
  <c r="G41" i="4" s="1"/>
  <c r="G79" i="2"/>
  <c r="G131" i="2" s="1"/>
  <c r="G56" i="4" s="1"/>
  <c r="G80" i="2"/>
  <c r="G132" i="2" s="1"/>
  <c r="G57" i="4" s="1"/>
  <c r="G84" i="2"/>
  <c r="G136" i="2" s="1"/>
  <c r="G89" i="2"/>
  <c r="G141" i="2" s="1"/>
  <c r="G62" i="2"/>
  <c r="G114" i="2" s="1"/>
  <c r="G39" i="4" s="1"/>
  <c r="G71" i="2"/>
  <c r="G123" i="2" s="1"/>
  <c r="G73" i="2"/>
  <c r="G77" i="2"/>
  <c r="G129" i="2" s="1"/>
  <c r="H25" i="6" s="1"/>
  <c r="H83" i="6" s="1"/>
  <c r="G76" i="2"/>
  <c r="G128" i="2" s="1"/>
  <c r="G85" i="2"/>
  <c r="G137" i="2" s="1"/>
  <c r="G62" i="4" s="1"/>
  <c r="G87" i="2"/>
  <c r="G139" i="2" s="1"/>
  <c r="G75" i="2"/>
  <c r="G127" i="2" s="1"/>
  <c r="G52" i="4" s="1"/>
  <c r="G88" i="2"/>
  <c r="G94" i="2"/>
  <c r="G146" i="2" s="1"/>
  <c r="G71" i="4" s="1"/>
  <c r="G98" i="2"/>
  <c r="G150" i="2" s="1"/>
  <c r="G75" i="4" s="1"/>
  <c r="G102" i="2"/>
  <c r="G154" i="2" s="1"/>
  <c r="G79" i="4" s="1"/>
  <c r="G78" i="2"/>
  <c r="G130" i="2" s="1"/>
  <c r="G55" i="4" s="1"/>
  <c r="G81" i="2"/>
  <c r="G133" i="2" s="1"/>
  <c r="G82" i="2"/>
  <c r="G134" i="2" s="1"/>
  <c r="G59" i="4" s="1"/>
  <c r="G90" i="2"/>
  <c r="G142" i="2" s="1"/>
  <c r="H28" i="6" s="1"/>
  <c r="H86" i="6" s="1"/>
  <c r="G91" i="2"/>
  <c r="G143" i="2" s="1"/>
  <c r="G95" i="2"/>
  <c r="G147" i="2" s="1"/>
  <c r="G72" i="4" s="1"/>
  <c r="G99" i="2"/>
  <c r="G151" i="2" s="1"/>
  <c r="G68" i="2"/>
  <c r="G120" i="2" s="1"/>
  <c r="G45" i="4" s="1"/>
  <c r="G92" i="2"/>
  <c r="G144" i="2" s="1"/>
  <c r="G69" i="4" s="1"/>
  <c r="G93" i="2"/>
  <c r="G145" i="2" s="1"/>
  <c r="G96" i="2"/>
  <c r="G148" i="2" s="1"/>
  <c r="G73" i="4" s="1"/>
  <c r="G97" i="2"/>
  <c r="G149" i="2" s="1"/>
  <c r="G100" i="2"/>
  <c r="G152" i="2" s="1"/>
  <c r="G77" i="4" s="1"/>
  <c r="G101" i="2"/>
  <c r="G153" i="2" s="1"/>
  <c r="G83" i="2"/>
  <c r="G135" i="2" s="1"/>
  <c r="Q64" i="2"/>
  <c r="Q116" i="2" s="1"/>
  <c r="Q41" i="4" s="1"/>
  <c r="Q63" i="2"/>
  <c r="Q115" i="2" s="1"/>
  <c r="R8" i="6" s="1"/>
  <c r="P66" i="6" s="1"/>
  <c r="Q67" i="2"/>
  <c r="Q119" i="2" s="1"/>
  <c r="Q58" i="2"/>
  <c r="Q110" i="2" s="1"/>
  <c r="Q35" i="4" s="1"/>
  <c r="Q65" i="2"/>
  <c r="Q117" i="2" s="1"/>
  <c r="Q42" i="4" s="1"/>
  <c r="Q71" i="2"/>
  <c r="Q123" i="2" s="1"/>
  <c r="Q48" i="4" s="1"/>
  <c r="Q78" i="2"/>
  <c r="Q130" i="2" s="1"/>
  <c r="Q55" i="4" s="1"/>
  <c r="Q88" i="2"/>
  <c r="Q140" i="2" s="1"/>
  <c r="Q74" i="2"/>
  <c r="Q126" i="2" s="1"/>
  <c r="Q51" i="4" s="1"/>
  <c r="Q80" i="2"/>
  <c r="Q132" i="2" s="1"/>
  <c r="R30" i="6" s="1"/>
  <c r="P88" i="6" s="1"/>
  <c r="Q87" i="2"/>
  <c r="Q139" i="2" s="1"/>
  <c r="Q64" i="4" s="1"/>
  <c r="Q81" i="2"/>
  <c r="Q133" i="2" s="1"/>
  <c r="R34" i="6" s="1"/>
  <c r="P92" i="6" s="1"/>
  <c r="Q93" i="2"/>
  <c r="Q145" i="2" s="1"/>
  <c r="Q70" i="4" s="1"/>
  <c r="Q90" i="2"/>
  <c r="Q142" i="2" s="1"/>
  <c r="R28" i="6" s="1"/>
  <c r="P86" i="6" s="1"/>
  <c r="Q76" i="2"/>
  <c r="Q128" i="2" s="1"/>
  <c r="Q100" i="2"/>
  <c r="Q152" i="2" s="1"/>
  <c r="Q77" i="4" s="1"/>
  <c r="Q70" i="2"/>
  <c r="Q122" i="2" s="1"/>
  <c r="Q77" i="2"/>
  <c r="Q129" i="2" s="1"/>
  <c r="R25" i="6" s="1"/>
  <c r="P83" i="6" s="1"/>
  <c r="Q85" i="2"/>
  <c r="Q95" i="2"/>
  <c r="Q147" i="2" s="1"/>
  <c r="R39" i="6" s="1"/>
  <c r="P97" i="6" s="1"/>
  <c r="Q102" i="2"/>
  <c r="Q154" i="2" s="1"/>
  <c r="Q79" i="4" s="1"/>
  <c r="E62" i="2"/>
  <c r="E114" i="2" s="1"/>
  <c r="F7" i="6" s="1"/>
  <c r="F65" i="6" s="1"/>
  <c r="E76" i="2"/>
  <c r="E128" i="2" s="1"/>
  <c r="E61" i="2"/>
  <c r="E113" i="2" s="1"/>
  <c r="E38" i="4" s="1"/>
  <c r="E56" i="2"/>
  <c r="E108" i="2" s="1"/>
  <c r="E87" i="2"/>
  <c r="E139" i="2" s="1"/>
  <c r="E60" i="2"/>
  <c r="E112" i="2" s="1"/>
  <c r="E37" i="4" s="1"/>
  <c r="E81" i="2"/>
  <c r="E133" i="2" s="1"/>
  <c r="E58" i="4" s="1"/>
  <c r="E96" i="2"/>
  <c r="E148" i="2" s="1"/>
  <c r="E97" i="2"/>
  <c r="E149" i="2" s="1"/>
  <c r="E102" i="2"/>
  <c r="E154" i="2" s="1"/>
  <c r="E98" i="2"/>
  <c r="E150" i="2" s="1"/>
  <c r="E75" i="4" s="1"/>
  <c r="I56" i="2"/>
  <c r="I108" i="2" s="1"/>
  <c r="I33" i="4" s="1"/>
  <c r="I58" i="2"/>
  <c r="I71" i="2"/>
  <c r="I123" i="2" s="1"/>
  <c r="I57" i="2"/>
  <c r="I109" i="2" s="1"/>
  <c r="I80" i="2"/>
  <c r="I132" i="2" s="1"/>
  <c r="J30" i="6" s="1"/>
  <c r="J88" i="6" s="1"/>
  <c r="I85" i="2"/>
  <c r="I137" i="2" s="1"/>
  <c r="I101" i="2"/>
  <c r="I153" i="2" s="1"/>
  <c r="J47" i="6" s="1"/>
  <c r="J105" i="6" s="1"/>
  <c r="I98" i="2"/>
  <c r="I150" i="2" s="1"/>
  <c r="I75" i="4" s="1"/>
  <c r="I92" i="2"/>
  <c r="I144" i="2" s="1"/>
  <c r="I69" i="4" s="1"/>
  <c r="I100" i="2"/>
  <c r="I152" i="2" s="1"/>
  <c r="X58" i="2"/>
  <c r="X110" i="2" s="1"/>
  <c r="X35" i="4" s="1"/>
  <c r="X62" i="2"/>
  <c r="X114" i="2" s="1"/>
  <c r="X68" i="2"/>
  <c r="X120" i="2" s="1"/>
  <c r="X45" i="4" s="1"/>
  <c r="X71" i="2"/>
  <c r="X123" i="2" s="1"/>
  <c r="X59" i="2"/>
  <c r="X111" i="2" s="1"/>
  <c r="X36" i="4" s="1"/>
  <c r="X65" i="2"/>
  <c r="X117" i="2" s="1"/>
  <c r="Y10" i="6" s="1"/>
  <c r="W68" i="6" s="1"/>
  <c r="X57" i="2"/>
  <c r="X109" i="2" s="1"/>
  <c r="X61" i="2"/>
  <c r="X113" i="2" s="1"/>
  <c r="Y6" i="6" s="1"/>
  <c r="W64" i="6" s="1"/>
  <c r="X63" i="2"/>
  <c r="X115" i="2" s="1"/>
  <c r="X67" i="2"/>
  <c r="X119" i="2" s="1"/>
  <c r="X70" i="2"/>
  <c r="X122" i="2" s="1"/>
  <c r="Y37" i="6" s="1"/>
  <c r="W95" i="6" s="1"/>
  <c r="X60" i="2"/>
  <c r="X112" i="2" s="1"/>
  <c r="Y5" i="6" s="1"/>
  <c r="W63" i="6" s="1"/>
  <c r="X73" i="2"/>
  <c r="X125" i="2" s="1"/>
  <c r="X50" i="4" s="1"/>
  <c r="X77" i="2"/>
  <c r="X129" i="2" s="1"/>
  <c r="X78" i="2"/>
  <c r="X130" i="2" s="1"/>
  <c r="X82" i="2"/>
  <c r="X134" i="2" s="1"/>
  <c r="X59" i="4" s="1"/>
  <c r="X87" i="2"/>
  <c r="X139" i="2" s="1"/>
  <c r="Y19" i="6" s="1"/>
  <c r="W77" i="6" s="1"/>
  <c r="X56" i="2"/>
  <c r="X108" i="2" s="1"/>
  <c r="X64" i="2"/>
  <c r="X116" i="2" s="1"/>
  <c r="X41" i="4" s="1"/>
  <c r="X74" i="2"/>
  <c r="X126" i="2" s="1"/>
  <c r="X75" i="2"/>
  <c r="X127" i="2" s="1"/>
  <c r="Y21" i="6" s="1"/>
  <c r="W79" i="6" s="1"/>
  <c r="X79" i="2"/>
  <c r="X131" i="2" s="1"/>
  <c r="Y29" i="6" s="1"/>
  <c r="W87" i="6" s="1"/>
  <c r="X76" i="2"/>
  <c r="X128" i="2" s="1"/>
  <c r="X53" i="4" s="1"/>
  <c r="X80" i="2"/>
  <c r="X132" i="2" s="1"/>
  <c r="X81" i="2"/>
  <c r="X133" i="2" s="1"/>
  <c r="Y34" i="6" s="1"/>
  <c r="W92" i="6" s="1"/>
  <c r="X83" i="2"/>
  <c r="X135" i="2" s="1"/>
  <c r="X89" i="2"/>
  <c r="X141" i="2" s="1"/>
  <c r="X66" i="4" s="1"/>
  <c r="X92" i="2"/>
  <c r="X144" i="2" s="1"/>
  <c r="Y33" i="6" s="1"/>
  <c r="W91" i="6" s="1"/>
  <c r="X96" i="2"/>
  <c r="X148" i="2" s="1"/>
  <c r="X100" i="2"/>
  <c r="X152" i="2" s="1"/>
  <c r="X93" i="2"/>
  <c r="X145" i="2" s="1"/>
  <c r="X97" i="2"/>
  <c r="X149" i="2" s="1"/>
  <c r="X94" i="2"/>
  <c r="X146" i="2" s="1"/>
  <c r="X71" i="4" s="1"/>
  <c r="X98" i="2"/>
  <c r="X150" i="2" s="1"/>
  <c r="X84" i="2"/>
  <c r="X136" i="2" s="1"/>
  <c r="X88" i="2"/>
  <c r="X91" i="2"/>
  <c r="X143" i="2" s="1"/>
  <c r="X95" i="2"/>
  <c r="X147" i="2" s="1"/>
  <c r="X99" i="2"/>
  <c r="X151" i="2" s="1"/>
  <c r="X90" i="2"/>
  <c r="X142" i="2" s="1"/>
  <c r="X67" i="4" s="1"/>
  <c r="X101" i="2"/>
  <c r="X153" i="2" s="1"/>
  <c r="Y47" i="6" s="1"/>
  <c r="W105" i="6" s="1"/>
  <c r="X85" i="2"/>
  <c r="X137" i="2" s="1"/>
  <c r="X102" i="2"/>
  <c r="X154" i="2" s="1"/>
  <c r="X79" i="4" s="1"/>
  <c r="S58" i="2"/>
  <c r="S110" i="2" s="1"/>
  <c r="S35" i="4" s="1"/>
  <c r="S62" i="2"/>
  <c r="S114" i="2" s="1"/>
  <c r="S39" i="4" s="1"/>
  <c r="S68" i="2"/>
  <c r="S120" i="2" s="1"/>
  <c r="S71" i="2"/>
  <c r="S123" i="2" s="1"/>
  <c r="T15" i="6" s="1"/>
  <c r="R73" i="6" s="1"/>
  <c r="S76" i="2"/>
  <c r="S128" i="2" s="1"/>
  <c r="T22" i="6" s="1"/>
  <c r="R80" i="6" s="1"/>
  <c r="S59" i="2"/>
  <c r="S65" i="2"/>
  <c r="S117" i="2" s="1"/>
  <c r="S57" i="2"/>
  <c r="S109" i="2" s="1"/>
  <c r="S61" i="2"/>
  <c r="S113" i="2" s="1"/>
  <c r="S38" i="4" s="1"/>
  <c r="S63" i="2"/>
  <c r="S115" i="2" s="1"/>
  <c r="S70" i="2"/>
  <c r="S122" i="2" s="1"/>
  <c r="T37" i="6" s="1"/>
  <c r="R95" i="6" s="1"/>
  <c r="S67" i="2"/>
  <c r="S119" i="2" s="1"/>
  <c r="S77" i="2"/>
  <c r="S129" i="2" s="1"/>
  <c r="S54" i="4" s="1"/>
  <c r="S56" i="2"/>
  <c r="S64" i="2"/>
  <c r="S116" i="2" s="1"/>
  <c r="S41" i="4" s="1"/>
  <c r="S73" i="2"/>
  <c r="S125" i="2" s="1"/>
  <c r="S50" i="4" s="1"/>
  <c r="S78" i="2"/>
  <c r="S130" i="2" s="1"/>
  <c r="S55" i="4" s="1"/>
  <c r="S82" i="2"/>
  <c r="S134" i="2" s="1"/>
  <c r="S59" i="4" s="1"/>
  <c r="S87" i="2"/>
  <c r="S139" i="2" s="1"/>
  <c r="S79" i="2"/>
  <c r="S131" i="2" s="1"/>
  <c r="S84" i="2"/>
  <c r="S136" i="2" s="1"/>
  <c r="S85" i="2"/>
  <c r="S137" i="2" s="1"/>
  <c r="S62" i="4" s="1"/>
  <c r="S88" i="2"/>
  <c r="S75" i="2"/>
  <c r="S127" i="2" s="1"/>
  <c r="T21" i="6" s="1"/>
  <c r="R79" i="6" s="1"/>
  <c r="S92" i="2"/>
  <c r="S144" i="2" s="1"/>
  <c r="S96" i="2"/>
  <c r="S148" i="2" s="1"/>
  <c r="S73" i="4" s="1"/>
  <c r="S100" i="2"/>
  <c r="S152" i="2" s="1"/>
  <c r="T46" i="6" s="1"/>
  <c r="R104" i="6" s="1"/>
  <c r="S74" i="2"/>
  <c r="S126" i="2" s="1"/>
  <c r="S81" i="2"/>
  <c r="S83" i="2"/>
  <c r="S89" i="2"/>
  <c r="S141" i="2" s="1"/>
  <c r="S93" i="2"/>
  <c r="S97" i="2"/>
  <c r="S149" i="2" s="1"/>
  <c r="S74" i="4" s="1"/>
  <c r="S60" i="2"/>
  <c r="S112" i="2" s="1"/>
  <c r="S101" i="2"/>
  <c r="S153" i="2" s="1"/>
  <c r="S90" i="2"/>
  <c r="S142" i="2" s="1"/>
  <c r="S94" i="2"/>
  <c r="S146" i="2" s="1"/>
  <c r="S98" i="2"/>
  <c r="S150" i="2" s="1"/>
  <c r="S80" i="2"/>
  <c r="S91" i="2"/>
  <c r="S95" i="2"/>
  <c r="S147" i="2" s="1"/>
  <c r="S72" i="4" s="1"/>
  <c r="S99" i="2"/>
  <c r="S151" i="2" s="1"/>
  <c r="S102" i="2"/>
  <c r="S154" i="2" s="1"/>
  <c r="S79" i="4" s="1"/>
  <c r="O56" i="2"/>
  <c r="O108" i="2" s="1"/>
  <c r="O33" i="4" s="1"/>
  <c r="U56" i="2"/>
  <c r="U60" i="2"/>
  <c r="U64" i="2"/>
  <c r="U116" i="2" s="1"/>
  <c r="U41" i="4" s="1"/>
  <c r="U67" i="2"/>
  <c r="U119" i="2" s="1"/>
  <c r="U44" i="4" s="1"/>
  <c r="U74" i="2"/>
  <c r="U126" i="2" s="1"/>
  <c r="U57" i="2"/>
  <c r="U109" i="2" s="1"/>
  <c r="U34" i="4" s="1"/>
  <c r="U61" i="2"/>
  <c r="U63" i="2"/>
  <c r="U115" i="2" s="1"/>
  <c r="V8" i="6" s="1"/>
  <c r="T66" i="6" s="1"/>
  <c r="U70" i="2"/>
  <c r="U122" i="2" s="1"/>
  <c r="V37" i="6" s="1"/>
  <c r="T95" i="6" s="1"/>
  <c r="U59" i="2"/>
  <c r="U111" i="2" s="1"/>
  <c r="U65" i="2"/>
  <c r="U117" i="2" s="1"/>
  <c r="U58" i="2"/>
  <c r="U110" i="2" s="1"/>
  <c r="U75" i="2"/>
  <c r="U127" i="2" s="1"/>
  <c r="U76" i="2"/>
  <c r="U128" i="2" s="1"/>
  <c r="U80" i="2"/>
  <c r="U132" i="2" s="1"/>
  <c r="V30" i="6" s="1"/>
  <c r="T88" i="6" s="1"/>
  <c r="U84" i="2"/>
  <c r="U136" i="2" s="1"/>
  <c r="V26" i="6" s="1"/>
  <c r="T84" i="6" s="1"/>
  <c r="U89" i="2"/>
  <c r="U141" i="2" s="1"/>
  <c r="U62" i="2"/>
  <c r="U114" i="2" s="1"/>
  <c r="U71" i="2"/>
  <c r="U123" i="2" s="1"/>
  <c r="V15" i="6" s="1"/>
  <c r="T73" i="6" s="1"/>
  <c r="U77" i="2"/>
  <c r="U129" i="2" s="1"/>
  <c r="U73" i="2"/>
  <c r="U79" i="2"/>
  <c r="U82" i="2"/>
  <c r="U134" i="2" s="1"/>
  <c r="U59" i="4" s="1"/>
  <c r="U83" i="2"/>
  <c r="U135" i="2" s="1"/>
  <c r="V31" i="6" s="1"/>
  <c r="T89" i="6" s="1"/>
  <c r="U85" i="2"/>
  <c r="U137" i="2" s="1"/>
  <c r="U62" i="4" s="1"/>
  <c r="U90" i="2"/>
  <c r="U142" i="2" s="1"/>
  <c r="U98" i="2"/>
  <c r="U150" i="2" s="1"/>
  <c r="U75" i="4" s="1"/>
  <c r="U68" i="2"/>
  <c r="U78" i="2"/>
  <c r="U130" i="2" s="1"/>
  <c r="U87" i="2"/>
  <c r="U139" i="2" s="1"/>
  <c r="U88" i="2"/>
  <c r="U140" i="2" s="1"/>
  <c r="V20" i="6" s="1"/>
  <c r="T78" i="6" s="1"/>
  <c r="U91" i="2"/>
  <c r="U143" i="2" s="1"/>
  <c r="V32" i="6" s="1"/>
  <c r="T90" i="6" s="1"/>
  <c r="U95" i="2"/>
  <c r="U147" i="2" s="1"/>
  <c r="U72" i="4" s="1"/>
  <c r="U99" i="2"/>
  <c r="U151" i="2" s="1"/>
  <c r="U100" i="2"/>
  <c r="U152" i="2" s="1"/>
  <c r="U96" i="2"/>
  <c r="U81" i="2"/>
  <c r="U133" i="2" s="1"/>
  <c r="U58" i="4" s="1"/>
  <c r="U102" i="2"/>
  <c r="U154" i="2" s="1"/>
  <c r="U101" i="2"/>
  <c r="U153" i="2" s="1"/>
  <c r="V47" i="6" s="1"/>
  <c r="T105" i="6" s="1"/>
  <c r="U92" i="2"/>
  <c r="U144" i="2" s="1"/>
  <c r="U93" i="2"/>
  <c r="U145" i="2" s="1"/>
  <c r="U97" i="2"/>
  <c r="U149" i="2" s="1"/>
  <c r="F57" i="2"/>
  <c r="F109" i="2" s="1"/>
  <c r="F34" i="4" s="1"/>
  <c r="F61" i="2"/>
  <c r="F113" i="2" s="1"/>
  <c r="F65" i="2"/>
  <c r="F117" i="2" s="1"/>
  <c r="F75" i="2"/>
  <c r="F127" i="2" s="1"/>
  <c r="F52" i="4" s="1"/>
  <c r="F58" i="2"/>
  <c r="F110" i="2" s="1"/>
  <c r="F62" i="2"/>
  <c r="F114" i="2" s="1"/>
  <c r="F64" i="2"/>
  <c r="F116" i="2" s="1"/>
  <c r="F41" i="4" s="1"/>
  <c r="F68" i="2"/>
  <c r="F120" i="2" s="1"/>
  <c r="G13" i="6" s="1"/>
  <c r="G71" i="6" s="1"/>
  <c r="F71" i="2"/>
  <c r="F123" i="2" s="1"/>
  <c r="F56" i="2"/>
  <c r="F108" i="2" s="1"/>
  <c r="F60" i="2"/>
  <c r="F112" i="2" s="1"/>
  <c r="F70" i="2"/>
  <c r="F122" i="2" s="1"/>
  <c r="F47" i="4" s="1"/>
  <c r="F63" i="2"/>
  <c r="F115" i="2" s="1"/>
  <c r="F40" i="4" s="1"/>
  <c r="F77" i="2"/>
  <c r="F129" i="2" s="1"/>
  <c r="F81" i="2"/>
  <c r="F133" i="2" s="1"/>
  <c r="F85" i="2"/>
  <c r="F137" i="2" s="1"/>
  <c r="F90" i="2"/>
  <c r="F142" i="2" s="1"/>
  <c r="F76" i="2"/>
  <c r="F128" i="2" s="1"/>
  <c r="F78" i="2"/>
  <c r="F79" i="2"/>
  <c r="F131" i="2" s="1"/>
  <c r="G29" i="6" s="1"/>
  <c r="G87" i="6" s="1"/>
  <c r="F80" i="2"/>
  <c r="F132" i="2" s="1"/>
  <c r="F57" i="4" s="1"/>
  <c r="F82" i="2"/>
  <c r="F134" i="2" s="1"/>
  <c r="F59" i="4" s="1"/>
  <c r="F89" i="2"/>
  <c r="F141" i="2" s="1"/>
  <c r="F91" i="2"/>
  <c r="F143" i="2" s="1"/>
  <c r="F95" i="2"/>
  <c r="F147" i="2" s="1"/>
  <c r="G39" i="6" s="1"/>
  <c r="G97" i="6" s="1"/>
  <c r="F99" i="2"/>
  <c r="F151" i="2" s="1"/>
  <c r="F76" i="4" s="1"/>
  <c r="F83" i="2"/>
  <c r="F135" i="2" s="1"/>
  <c r="F60" i="4" s="1"/>
  <c r="F92" i="2"/>
  <c r="F144" i="2" s="1"/>
  <c r="F69" i="4" s="1"/>
  <c r="F96" i="2"/>
  <c r="F148" i="2" s="1"/>
  <c r="F100" i="2"/>
  <c r="F152" i="2" s="1"/>
  <c r="F77" i="4" s="1"/>
  <c r="F94" i="2"/>
  <c r="F146" i="2" s="1"/>
  <c r="F98" i="2"/>
  <c r="F101" i="2"/>
  <c r="F153" i="2" s="1"/>
  <c r="G47" i="6" s="1"/>
  <c r="G105" i="6" s="1"/>
  <c r="F97" i="2"/>
  <c r="F149" i="2" s="1"/>
  <c r="F84" i="2"/>
  <c r="F136" i="2" s="1"/>
  <c r="F87" i="2"/>
  <c r="F139" i="2" s="1"/>
  <c r="F64" i="4" s="1"/>
  <c r="F102" i="2"/>
  <c r="F154" i="2" s="1"/>
  <c r="F79" i="4" s="1"/>
  <c r="F59" i="2"/>
  <c r="F111" i="2" s="1"/>
  <c r="F36" i="4" s="1"/>
  <c r="F93" i="2"/>
  <c r="F145" i="2" s="1"/>
  <c r="F70" i="4" s="1"/>
  <c r="V59" i="2"/>
  <c r="V111" i="2" s="1"/>
  <c r="V65" i="2"/>
  <c r="V117" i="2" s="1"/>
  <c r="V73" i="2"/>
  <c r="V125" i="2" s="1"/>
  <c r="V56" i="2"/>
  <c r="V108" i="2" s="1"/>
  <c r="V33" i="4" s="1"/>
  <c r="V60" i="2"/>
  <c r="V112" i="2" s="1"/>
  <c r="W5" i="6" s="1"/>
  <c r="U63" i="6" s="1"/>
  <c r="V64" i="2"/>
  <c r="V116" i="2" s="1"/>
  <c r="V67" i="2"/>
  <c r="V119" i="2" s="1"/>
  <c r="V58" i="2"/>
  <c r="V110" i="2" s="1"/>
  <c r="V35" i="4" s="1"/>
  <c r="V62" i="2"/>
  <c r="V114" i="2" s="1"/>
  <c r="V68" i="2"/>
  <c r="V120" i="2" s="1"/>
  <c r="W13" i="6" s="1"/>
  <c r="U71" i="6" s="1"/>
  <c r="V71" i="2"/>
  <c r="V123" i="2" s="1"/>
  <c r="V48" i="4" s="1"/>
  <c r="V61" i="2"/>
  <c r="V113" i="2" s="1"/>
  <c r="V70" i="2"/>
  <c r="V78" i="2"/>
  <c r="V130" i="2" s="1"/>
  <c r="V55" i="4" s="1"/>
  <c r="V74" i="2"/>
  <c r="V126" i="2" s="1"/>
  <c r="V75" i="2"/>
  <c r="V79" i="2"/>
  <c r="V131" i="2" s="1"/>
  <c r="V56" i="4" s="1"/>
  <c r="V83" i="2"/>
  <c r="V135" i="2" s="1"/>
  <c r="V60" i="4" s="1"/>
  <c r="V88" i="2"/>
  <c r="V140" i="2" s="1"/>
  <c r="V57" i="2"/>
  <c r="V109" i="2" s="1"/>
  <c r="W3" i="6" s="1"/>
  <c r="U61" i="6" s="1"/>
  <c r="V63" i="2"/>
  <c r="V115" i="2" s="1"/>
  <c r="V40" i="4" s="1"/>
  <c r="V76" i="2"/>
  <c r="V128" i="2" s="1"/>
  <c r="V80" i="2"/>
  <c r="V132" i="2" s="1"/>
  <c r="V57" i="4" s="1"/>
  <c r="V77" i="2"/>
  <c r="V129" i="2" s="1"/>
  <c r="V81" i="2"/>
  <c r="V133" i="2" s="1"/>
  <c r="W34" i="6" s="1"/>
  <c r="U92" i="6" s="1"/>
  <c r="V89" i="2"/>
  <c r="V141" i="2" s="1"/>
  <c r="V82" i="2"/>
  <c r="V134" i="2" s="1"/>
  <c r="V59" i="4" s="1"/>
  <c r="V93" i="2"/>
  <c r="V145" i="2" s="1"/>
  <c r="V97" i="2"/>
  <c r="V149" i="2" s="1"/>
  <c r="V101" i="2"/>
  <c r="V153" i="2" s="1"/>
  <c r="V84" i="2"/>
  <c r="V136" i="2" s="1"/>
  <c r="V61" i="4" s="1"/>
  <c r="V85" i="2"/>
  <c r="V137" i="2" s="1"/>
  <c r="V90" i="2"/>
  <c r="V142" i="2" s="1"/>
  <c r="V94" i="2"/>
  <c r="V146" i="2" s="1"/>
  <c r="V71" i="4" s="1"/>
  <c r="V98" i="2"/>
  <c r="V91" i="2"/>
  <c r="V143" i="2" s="1"/>
  <c r="W32" i="6" s="1"/>
  <c r="U90" i="6" s="1"/>
  <c r="V92" i="2"/>
  <c r="V144" i="2" s="1"/>
  <c r="V95" i="2"/>
  <c r="V147" i="2" s="1"/>
  <c r="W39" i="6" s="1"/>
  <c r="U97" i="6" s="1"/>
  <c r="V96" i="2"/>
  <c r="V148" i="2" s="1"/>
  <c r="V99" i="2"/>
  <c r="V87" i="2"/>
  <c r="V139" i="2" s="1"/>
  <c r="W19" i="6" s="1"/>
  <c r="U77" i="6" s="1"/>
  <c r="V102" i="2"/>
  <c r="V154" i="2" s="1"/>
  <c r="V79" i="4" s="1"/>
  <c r="V100" i="2"/>
  <c r="V152" i="2" s="1"/>
  <c r="V77" i="4" s="1"/>
  <c r="R64" i="2"/>
  <c r="R63" i="2"/>
  <c r="N58" i="2"/>
  <c r="N110" i="2" s="1"/>
  <c r="O4" i="6" s="1"/>
  <c r="M62" i="6" s="1"/>
  <c r="N62" i="2"/>
  <c r="N114" i="2" s="1"/>
  <c r="O7" i="6" s="1"/>
  <c r="M65" i="6" s="1"/>
  <c r="N65" i="2"/>
  <c r="N117" i="2" s="1"/>
  <c r="N42" i="4" s="1"/>
  <c r="N68" i="2"/>
  <c r="N120" i="2" s="1"/>
  <c r="O13" i="6" s="1"/>
  <c r="M71" i="6" s="1"/>
  <c r="N71" i="2"/>
  <c r="N123" i="2" s="1"/>
  <c r="N48" i="4" s="1"/>
  <c r="N76" i="2"/>
  <c r="N128" i="2" s="1"/>
  <c r="N59" i="2"/>
  <c r="N111" i="2" s="1"/>
  <c r="N64" i="2"/>
  <c r="N116" i="2" s="1"/>
  <c r="N41" i="4" s="1"/>
  <c r="N57" i="2"/>
  <c r="N109" i="2" s="1"/>
  <c r="O3" i="6" s="1"/>
  <c r="M61" i="6" s="1"/>
  <c r="N61" i="2"/>
  <c r="N113" i="2" s="1"/>
  <c r="N70" i="2"/>
  <c r="N122" i="2" s="1"/>
  <c r="N56" i="2"/>
  <c r="N63" i="2"/>
  <c r="N115" i="2" s="1"/>
  <c r="N74" i="2"/>
  <c r="N126" i="2" s="1"/>
  <c r="O18" i="6" s="1"/>
  <c r="M76" i="6" s="1"/>
  <c r="N75" i="2"/>
  <c r="N127" i="2" s="1"/>
  <c r="N52" i="4" s="1"/>
  <c r="N77" i="2"/>
  <c r="N129" i="2" s="1"/>
  <c r="N78" i="2"/>
  <c r="N130" i="2" s="1"/>
  <c r="N82" i="2"/>
  <c r="N134" i="2" s="1"/>
  <c r="N59" i="4" s="1"/>
  <c r="N87" i="2"/>
  <c r="N60" i="2"/>
  <c r="N112" i="2" s="1"/>
  <c r="N73" i="2"/>
  <c r="N125" i="2" s="1"/>
  <c r="N79" i="2"/>
  <c r="N67" i="2"/>
  <c r="N119" i="2" s="1"/>
  <c r="N80" i="2"/>
  <c r="N132" i="2" s="1"/>
  <c r="N84" i="2"/>
  <c r="N136" i="2" s="1"/>
  <c r="N85" i="2"/>
  <c r="N137" i="2" s="1"/>
  <c r="N88" i="2"/>
  <c r="N140" i="2" s="1"/>
  <c r="N65" i="4" s="1"/>
  <c r="N92" i="2"/>
  <c r="N144" i="2" s="1"/>
  <c r="N96" i="2"/>
  <c r="N148" i="2" s="1"/>
  <c r="N73" i="4" s="1"/>
  <c r="N100" i="2"/>
  <c r="N152" i="2" s="1"/>
  <c r="N93" i="2"/>
  <c r="N145" i="2" s="1"/>
  <c r="O36" i="6" s="1"/>
  <c r="M94" i="6" s="1"/>
  <c r="N97" i="2"/>
  <c r="N149" i="2" s="1"/>
  <c r="N74" i="4" s="1"/>
  <c r="N81" i="2"/>
  <c r="N133" i="2" s="1"/>
  <c r="N58" i="4" s="1"/>
  <c r="N90" i="2"/>
  <c r="N142" i="2" s="1"/>
  <c r="O28" i="6" s="1"/>
  <c r="M86" i="6" s="1"/>
  <c r="N94" i="2"/>
  <c r="N98" i="2"/>
  <c r="N150" i="2" s="1"/>
  <c r="N83" i="2"/>
  <c r="N135" i="2" s="1"/>
  <c r="O31" i="6" s="1"/>
  <c r="M89" i="6" s="1"/>
  <c r="N91" i="2"/>
  <c r="N143" i="2" s="1"/>
  <c r="N68" i="4" s="1"/>
  <c r="N95" i="2"/>
  <c r="N147" i="2" s="1"/>
  <c r="O39" i="6" s="1"/>
  <c r="M97" i="6" s="1"/>
  <c r="N99" i="2"/>
  <c r="N101" i="2"/>
  <c r="N153" i="2" s="1"/>
  <c r="O47" i="6" s="1"/>
  <c r="M105" i="6" s="1"/>
  <c r="N89" i="2"/>
  <c r="N141" i="2" s="1"/>
  <c r="N66" i="4" s="1"/>
  <c r="N102" i="2"/>
  <c r="N154" i="2" s="1"/>
  <c r="N79" i="4" s="1"/>
  <c r="Z7" i="4"/>
  <c r="X100" i="1"/>
  <c r="X102" i="1"/>
  <c r="X36" i="1"/>
  <c r="E164" i="3"/>
  <c r="E337" i="3"/>
  <c r="E325" i="3"/>
  <c r="H38" i="1"/>
  <c r="C303" i="3"/>
  <c r="E303" i="3" s="1"/>
  <c r="N18" i="4"/>
  <c r="E328" i="3"/>
  <c r="C310" i="3"/>
  <c r="E310" i="3" s="1"/>
  <c r="E321" i="3"/>
  <c r="E323" i="3"/>
  <c r="L18" i="4"/>
  <c r="Y8" i="4"/>
  <c r="U7" i="4"/>
  <c r="J25" i="4"/>
  <c r="D25" i="4"/>
  <c r="R17" i="4"/>
  <c r="N8" i="4"/>
  <c r="C25" i="4"/>
  <c r="O6" i="4"/>
  <c r="O25" i="4"/>
  <c r="S6" i="4"/>
  <c r="N6" i="4"/>
  <c r="E335" i="3"/>
  <c r="C315" i="3"/>
  <c r="E315" i="3"/>
  <c r="C36" i="1"/>
  <c r="C67" i="1" s="1"/>
  <c r="AB35" i="6"/>
  <c r="Z93" i="6" s="1"/>
  <c r="AB18" i="6"/>
  <c r="Z76" i="6" s="1"/>
  <c r="J34" i="4"/>
  <c r="K3" i="6"/>
  <c r="L73" i="4"/>
  <c r="M42" i="6"/>
  <c r="AA75" i="4"/>
  <c r="AB38" i="6"/>
  <c r="Z96" i="6" s="1"/>
  <c r="AA37" i="4"/>
  <c r="J44" i="4"/>
  <c r="J54" i="4"/>
  <c r="J73" i="4"/>
  <c r="K42" i="6"/>
  <c r="J65" i="4"/>
  <c r="K20" i="6"/>
  <c r="AA78" i="4"/>
  <c r="AB47" i="6"/>
  <c r="Z105" i="6" s="1"/>
  <c r="AA61" i="4"/>
  <c r="AB26" i="6"/>
  <c r="Z84" i="6" s="1"/>
  <c r="AA53" i="4"/>
  <c r="AB22" i="6"/>
  <c r="K8" i="6"/>
  <c r="J51" i="4"/>
  <c r="K18" i="6"/>
  <c r="L78" i="4"/>
  <c r="M47" i="6"/>
  <c r="M32" i="6"/>
  <c r="L53" i="4"/>
  <c r="M22" i="6"/>
  <c r="L47" i="4"/>
  <c r="AA39" i="4"/>
  <c r="AB7" i="6"/>
  <c r="Z65" i="6" s="1"/>
  <c r="J56" i="4"/>
  <c r="K29" i="6"/>
  <c r="J76" i="4"/>
  <c r="K45" i="6"/>
  <c r="K43" i="6"/>
  <c r="J68" i="4"/>
  <c r="K32" i="6"/>
  <c r="J66" i="4"/>
  <c r="J59" i="4"/>
  <c r="K35" i="6"/>
  <c r="E332" i="3"/>
  <c r="E324" i="3"/>
  <c r="C319" i="3"/>
  <c r="E319" i="3"/>
  <c r="L112" i="2"/>
  <c r="L37" i="4" s="1"/>
  <c r="T36" i="1"/>
  <c r="T67" i="1" s="1"/>
  <c r="T81" i="1"/>
  <c r="D38" i="1"/>
  <c r="D69" i="1" s="1"/>
  <c r="H41" i="1"/>
  <c r="H72" i="1" s="1"/>
  <c r="E340" i="3"/>
  <c r="C316" i="3"/>
  <c r="E316" i="3" s="1"/>
  <c r="W78" i="1"/>
  <c r="W17" i="4" s="1"/>
  <c r="L126" i="2"/>
  <c r="L117" i="2"/>
  <c r="J116" i="1"/>
  <c r="U67" i="1"/>
  <c r="S99" i="1" s="1"/>
  <c r="O74" i="4"/>
  <c r="P43" i="6"/>
  <c r="N101" i="6" s="1"/>
  <c r="E68" i="4"/>
  <c r="AA117" i="2"/>
  <c r="AA42" i="4" s="1"/>
  <c r="B122" i="1"/>
  <c r="B29" i="4"/>
  <c r="AA31" i="6" l="1"/>
  <c r="Y89" i="6" s="1"/>
  <c r="O162" i="6"/>
  <c r="O41" i="1"/>
  <c r="C298" i="3"/>
  <c r="E298" i="3" s="1"/>
  <c r="H45" i="1" s="1"/>
  <c r="H76" i="1" s="1"/>
  <c r="E336" i="3"/>
  <c r="F73" i="2"/>
  <c r="F125" i="2" s="1"/>
  <c r="E341" i="3"/>
  <c r="E322" i="3"/>
  <c r="C305" i="3"/>
  <c r="E305" i="3" s="1"/>
  <c r="D100" i="2"/>
  <c r="D101" i="2"/>
  <c r="D153" i="2" s="1"/>
  <c r="E47" i="6" s="1"/>
  <c r="Y46" i="1"/>
  <c r="Y77" i="1" s="1"/>
  <c r="W109" i="1" s="1"/>
  <c r="C374" i="3"/>
  <c r="C268" i="3" s="1"/>
  <c r="E331" i="3"/>
  <c r="I82" i="2"/>
  <c r="I134" i="2" s="1"/>
  <c r="I99" i="2"/>
  <c r="I151" i="2" s="1"/>
  <c r="I76" i="4" s="1"/>
  <c r="I91" i="2"/>
  <c r="I143" i="2" s="1"/>
  <c r="I94" i="2"/>
  <c r="I146" i="2" s="1"/>
  <c r="J38" i="6" s="1"/>
  <c r="J96" i="6" s="1"/>
  <c r="I97" i="2"/>
  <c r="I149" i="2" s="1"/>
  <c r="J43" i="6" s="1"/>
  <c r="J101" i="6" s="1"/>
  <c r="I61" i="2"/>
  <c r="I113" i="2" s="1"/>
  <c r="J6" i="6" s="1"/>
  <c r="J64" i="6" s="1"/>
  <c r="I88" i="2"/>
  <c r="I140" i="2" s="1"/>
  <c r="I78" i="2"/>
  <c r="I68" i="2"/>
  <c r="I120" i="2" s="1"/>
  <c r="I67" i="2"/>
  <c r="I119" i="2" s="1"/>
  <c r="I73" i="2"/>
  <c r="I125" i="2" s="1"/>
  <c r="I50" i="4" s="1"/>
  <c r="E94" i="2"/>
  <c r="E146" i="2" s="1"/>
  <c r="E71" i="4" s="1"/>
  <c r="E99" i="2"/>
  <c r="E151" i="2" s="1"/>
  <c r="E93" i="2"/>
  <c r="E145" i="2" s="1"/>
  <c r="E92" i="2"/>
  <c r="E144" i="2" s="1"/>
  <c r="E91" i="2"/>
  <c r="E143" i="2" s="1"/>
  <c r="F32" i="6" s="1"/>
  <c r="F90" i="6" s="1"/>
  <c r="E79" i="2"/>
  <c r="E131" i="2" s="1"/>
  <c r="E82" i="2"/>
  <c r="E134" i="2" s="1"/>
  <c r="E59" i="4" s="1"/>
  <c r="E77" i="2"/>
  <c r="E129" i="2" s="1"/>
  <c r="E57" i="2"/>
  <c r="E109" i="2" s="1"/>
  <c r="E34" i="4" s="1"/>
  <c r="E71" i="2"/>
  <c r="E123" i="2" s="1"/>
  <c r="F15" i="6" s="1"/>
  <c r="F73" i="6" s="1"/>
  <c r="E58" i="2"/>
  <c r="E110" i="2" s="1"/>
  <c r="K98" i="2"/>
  <c r="K150" i="2" s="1"/>
  <c r="K75" i="4" s="1"/>
  <c r="K88" i="2"/>
  <c r="K140" i="2" s="1"/>
  <c r="K96" i="2"/>
  <c r="K148" i="2" s="1"/>
  <c r="K73" i="4" s="1"/>
  <c r="K95" i="2"/>
  <c r="K147" i="2" s="1"/>
  <c r="K72" i="4" s="1"/>
  <c r="K89" i="2"/>
  <c r="K90" i="2"/>
  <c r="K142" i="2" s="1"/>
  <c r="K74" i="2"/>
  <c r="K126" i="2" s="1"/>
  <c r="L18" i="6" s="1"/>
  <c r="K63" i="2"/>
  <c r="K115" i="2" s="1"/>
  <c r="K68" i="2"/>
  <c r="K120" i="2" s="1"/>
  <c r="K45" i="4" s="1"/>
  <c r="K75" i="2"/>
  <c r="K127" i="2" s="1"/>
  <c r="T98" i="2"/>
  <c r="T150" i="2" s="1"/>
  <c r="T75" i="4" s="1"/>
  <c r="T97" i="2"/>
  <c r="T149" i="2" s="1"/>
  <c r="T101" i="2"/>
  <c r="T153" i="2" s="1"/>
  <c r="T92" i="2"/>
  <c r="T144" i="2" s="1"/>
  <c r="T69" i="4" s="1"/>
  <c r="T88" i="2"/>
  <c r="T140" i="2" s="1"/>
  <c r="T65" i="4" s="1"/>
  <c r="T80" i="2"/>
  <c r="T132" i="2" s="1"/>
  <c r="T81" i="2"/>
  <c r="T133" i="2" s="1"/>
  <c r="U34" i="6" s="1"/>
  <c r="S92" i="6" s="1"/>
  <c r="T74" i="2"/>
  <c r="T126" i="2" s="1"/>
  <c r="U18" i="6" s="1"/>
  <c r="S76" i="6" s="1"/>
  <c r="T60" i="2"/>
  <c r="T112" i="2" s="1"/>
  <c r="U5" i="6" s="1"/>
  <c r="S63" i="6" s="1"/>
  <c r="T62" i="2"/>
  <c r="T114" i="2" s="1"/>
  <c r="T39" i="4" s="1"/>
  <c r="T63" i="2"/>
  <c r="T115" i="2" s="1"/>
  <c r="T40" i="4" s="1"/>
  <c r="F88" i="2"/>
  <c r="F140" i="2" s="1"/>
  <c r="D77" i="2"/>
  <c r="D129" i="2" s="1"/>
  <c r="E25" i="6" s="1"/>
  <c r="I102" i="2"/>
  <c r="I154" i="2" s="1"/>
  <c r="I79" i="4" s="1"/>
  <c r="I96" i="2"/>
  <c r="I148" i="2" s="1"/>
  <c r="I90" i="2"/>
  <c r="I142" i="2" s="1"/>
  <c r="I67" i="4" s="1"/>
  <c r="I89" i="2"/>
  <c r="I93" i="2"/>
  <c r="I145" i="2" s="1"/>
  <c r="J36" i="6" s="1"/>
  <c r="J94" i="6" s="1"/>
  <c r="I84" i="2"/>
  <c r="I136" i="2" s="1"/>
  <c r="I83" i="2"/>
  <c r="I135" i="2" s="1"/>
  <c r="I76" i="2"/>
  <c r="I128" i="2" s="1"/>
  <c r="I65" i="2"/>
  <c r="I117" i="2" s="1"/>
  <c r="J10" i="6" s="1"/>
  <c r="J68" i="6" s="1"/>
  <c r="I63" i="2"/>
  <c r="I115" i="2" s="1"/>
  <c r="I64" i="2"/>
  <c r="I116" i="2" s="1"/>
  <c r="I41" i="4" s="1"/>
  <c r="E85" i="2"/>
  <c r="E137" i="2" s="1"/>
  <c r="E95" i="2"/>
  <c r="E147" i="2" s="1"/>
  <c r="F39" i="6" s="1"/>
  <c r="F97" i="6" s="1"/>
  <c r="E84" i="2"/>
  <c r="E136" i="2" s="1"/>
  <c r="E61" i="4" s="1"/>
  <c r="E90" i="2"/>
  <c r="E142" i="2" s="1"/>
  <c r="E89" i="2"/>
  <c r="E141" i="2" s="1"/>
  <c r="F24" i="6" s="1"/>
  <c r="F82" i="6" s="1"/>
  <c r="E75" i="2"/>
  <c r="E127" i="2" s="1"/>
  <c r="E52" i="4" s="1"/>
  <c r="E78" i="2"/>
  <c r="E130" i="2" s="1"/>
  <c r="E67" i="2"/>
  <c r="E119" i="2" s="1"/>
  <c r="E63" i="2"/>
  <c r="E115" i="2" s="1"/>
  <c r="F8" i="6" s="1"/>
  <c r="F66" i="6" s="1"/>
  <c r="E68" i="2"/>
  <c r="E120" i="2" s="1"/>
  <c r="F13" i="6" s="1"/>
  <c r="F71" i="6" s="1"/>
  <c r="K101" i="2"/>
  <c r="K153" i="2" s="1"/>
  <c r="K97" i="2"/>
  <c r="K149" i="2" s="1"/>
  <c r="L43" i="6" s="1"/>
  <c r="K80" i="2"/>
  <c r="K132" i="2" s="1"/>
  <c r="K57" i="4" s="1"/>
  <c r="K92" i="2"/>
  <c r="K144" i="2" s="1"/>
  <c r="K91" i="2"/>
  <c r="K143" i="2" s="1"/>
  <c r="K68" i="4" s="1"/>
  <c r="K78" i="2"/>
  <c r="K130" i="2" s="1"/>
  <c r="L27" i="6" s="1"/>
  <c r="K85" i="2"/>
  <c r="K137" i="2" s="1"/>
  <c r="L40" i="6" s="1"/>
  <c r="K98" i="6" s="1"/>
  <c r="K59" i="2"/>
  <c r="K111" i="2" s="1"/>
  <c r="K60" i="2"/>
  <c r="K112" i="2" s="1"/>
  <c r="K37" i="4" s="1"/>
  <c r="K65" i="2"/>
  <c r="K117" i="2" s="1"/>
  <c r="K70" i="2"/>
  <c r="K122" i="2" s="1"/>
  <c r="K47" i="4" s="1"/>
  <c r="T94" i="2"/>
  <c r="T146" i="2" s="1"/>
  <c r="U38" i="6" s="1"/>
  <c r="S96" i="6" s="1"/>
  <c r="T93" i="2"/>
  <c r="T145" i="2" s="1"/>
  <c r="T100" i="2"/>
  <c r="T99" i="2"/>
  <c r="T151" i="2" s="1"/>
  <c r="T87" i="2"/>
  <c r="T139" i="2" s="1"/>
  <c r="T78" i="2"/>
  <c r="T130" i="2" s="1"/>
  <c r="T55" i="4" s="1"/>
  <c r="T77" i="2"/>
  <c r="T59" i="2"/>
  <c r="T111" i="2" s="1"/>
  <c r="T36" i="4" s="1"/>
  <c r="T56" i="2"/>
  <c r="T108" i="2" s="1"/>
  <c r="T33" i="4" s="1"/>
  <c r="T58" i="2"/>
  <c r="T61" i="2"/>
  <c r="T113" i="2" s="1"/>
  <c r="I77" i="2"/>
  <c r="I129" i="2" s="1"/>
  <c r="I54" i="4" s="1"/>
  <c r="I95" i="2"/>
  <c r="I147" i="2" s="1"/>
  <c r="I81" i="2"/>
  <c r="I133" i="2" s="1"/>
  <c r="I58" i="4" s="1"/>
  <c r="I74" i="2"/>
  <c r="I87" i="2"/>
  <c r="I139" i="2" s="1"/>
  <c r="J19" i="6" s="1"/>
  <c r="J77" i="6" s="1"/>
  <c r="I70" i="2"/>
  <c r="I122" i="2" s="1"/>
  <c r="I79" i="2"/>
  <c r="I131" i="2" s="1"/>
  <c r="I75" i="2"/>
  <c r="I127" i="2" s="1"/>
  <c r="I62" i="2"/>
  <c r="I114" i="2" s="1"/>
  <c r="I60" i="2"/>
  <c r="I112" i="2" s="1"/>
  <c r="J5" i="6" s="1"/>
  <c r="J63" i="6" s="1"/>
  <c r="E101" i="2"/>
  <c r="E153" i="2" s="1"/>
  <c r="E88" i="2"/>
  <c r="E140" i="2" s="1"/>
  <c r="E100" i="2"/>
  <c r="E152" i="2" s="1"/>
  <c r="E77" i="4" s="1"/>
  <c r="E83" i="2"/>
  <c r="E135" i="2" s="1"/>
  <c r="E80" i="2"/>
  <c r="E132" i="2" s="1"/>
  <c r="E57" i="4" s="1"/>
  <c r="E70" i="2"/>
  <c r="E122" i="2" s="1"/>
  <c r="F37" i="6" s="1"/>
  <c r="F95" i="6" s="1"/>
  <c r="E74" i="2"/>
  <c r="E126" i="2" s="1"/>
  <c r="F18" i="6" s="1"/>
  <c r="F76" i="6" s="1"/>
  <c r="E65" i="2"/>
  <c r="E117" i="2" s="1"/>
  <c r="E59" i="2"/>
  <c r="E111" i="2" s="1"/>
  <c r="K100" i="2"/>
  <c r="K152" i="2" s="1"/>
  <c r="K94" i="2"/>
  <c r="K146" i="2" s="1"/>
  <c r="K71" i="4" s="1"/>
  <c r="K102" i="2"/>
  <c r="K154" i="2" s="1"/>
  <c r="K79" i="4" s="1"/>
  <c r="K84" i="2"/>
  <c r="K136" i="2" s="1"/>
  <c r="K83" i="2"/>
  <c r="K135" i="2" s="1"/>
  <c r="K60" i="4" s="1"/>
  <c r="K76" i="2"/>
  <c r="K128" i="2" s="1"/>
  <c r="K81" i="2"/>
  <c r="K133" i="2" s="1"/>
  <c r="K58" i="4" s="1"/>
  <c r="K73" i="2"/>
  <c r="K125" i="2" s="1"/>
  <c r="L17" i="6" s="1"/>
  <c r="K56" i="2"/>
  <c r="K108" i="2" s="1"/>
  <c r="K62" i="2"/>
  <c r="K114" i="2" s="1"/>
  <c r="T89" i="2"/>
  <c r="T141" i="2" s="1"/>
  <c r="T83" i="2"/>
  <c r="T135" i="2" s="1"/>
  <c r="T60" i="4" s="1"/>
  <c r="T102" i="2"/>
  <c r="T154" i="2" s="1"/>
  <c r="T79" i="4" s="1"/>
  <c r="T95" i="2"/>
  <c r="T147" i="2" s="1"/>
  <c r="T72" i="4" s="1"/>
  <c r="T84" i="2"/>
  <c r="T136" i="2" s="1"/>
  <c r="U26" i="6" s="1"/>
  <c r="S84" i="6" s="1"/>
  <c r="T73" i="2"/>
  <c r="T125" i="2" s="1"/>
  <c r="T50" i="4" s="1"/>
  <c r="T65" i="2"/>
  <c r="T117" i="2" s="1"/>
  <c r="R117" i="2" s="1"/>
  <c r="T67" i="2"/>
  <c r="T119" i="2" s="1"/>
  <c r="T71" i="2"/>
  <c r="T123" i="2" s="1"/>
  <c r="T75" i="2"/>
  <c r="T127" i="2" s="1"/>
  <c r="I25" i="4"/>
  <c r="I86" i="1"/>
  <c r="M17" i="4"/>
  <c r="I10" i="6"/>
  <c r="I68" i="6" s="1"/>
  <c r="W12" i="4"/>
  <c r="D73" i="4"/>
  <c r="E42" i="6"/>
  <c r="D67" i="4"/>
  <c r="E28" i="6"/>
  <c r="E86" i="6" s="1"/>
  <c r="D36" i="4"/>
  <c r="E23" i="6"/>
  <c r="D75" i="4"/>
  <c r="E44" i="6"/>
  <c r="D59" i="4"/>
  <c r="E35" i="6"/>
  <c r="D65" i="4"/>
  <c r="E20" i="6"/>
  <c r="D55" i="4"/>
  <c r="E27" i="6"/>
  <c r="D48" i="4"/>
  <c r="E15" i="6"/>
  <c r="D69" i="4"/>
  <c r="E33" i="6"/>
  <c r="D71" i="4"/>
  <c r="E38" i="6"/>
  <c r="E96" i="6" s="1"/>
  <c r="D56" i="4"/>
  <c r="E29" i="6"/>
  <c r="D45" i="4"/>
  <c r="E13" i="6"/>
  <c r="D47" i="4"/>
  <c r="E37" i="6"/>
  <c r="D64" i="4"/>
  <c r="E19" i="6"/>
  <c r="D53" i="4"/>
  <c r="E22" i="6"/>
  <c r="D41" i="4"/>
  <c r="E2" i="6"/>
  <c r="D44" i="4"/>
  <c r="E12" i="6"/>
  <c r="H69" i="1"/>
  <c r="H101" i="1" s="1"/>
  <c r="D89" i="1"/>
  <c r="D121" i="1" s="1"/>
  <c r="I84" i="1"/>
  <c r="I23" i="4" s="1"/>
  <c r="D84" i="1"/>
  <c r="D116" i="1" s="1"/>
  <c r="C81" i="1"/>
  <c r="C20" i="4" s="1"/>
  <c r="I79" i="1"/>
  <c r="I18" i="4" s="1"/>
  <c r="H78" i="1"/>
  <c r="H110" i="1" s="1"/>
  <c r="E78" i="1"/>
  <c r="E17" i="4" s="1"/>
  <c r="C78" i="1"/>
  <c r="C17" i="4" s="1"/>
  <c r="I74" i="1"/>
  <c r="I13" i="4" s="1"/>
  <c r="I70" i="1"/>
  <c r="I9" i="4" s="1"/>
  <c r="I68" i="1"/>
  <c r="I7" i="4" s="1"/>
  <c r="F67" i="1"/>
  <c r="F99" i="1" s="1"/>
  <c r="E70" i="1"/>
  <c r="E102" i="1" s="1"/>
  <c r="D73" i="1"/>
  <c r="D105" i="1" s="1"/>
  <c r="C69" i="1"/>
  <c r="C8" i="4" s="1"/>
  <c r="C89" i="1"/>
  <c r="C28" i="4" s="1"/>
  <c r="F81" i="1"/>
  <c r="F113" i="1" s="1"/>
  <c r="H79" i="1"/>
  <c r="H18" i="4" s="1"/>
  <c r="F66" i="1"/>
  <c r="F5" i="4" s="1"/>
  <c r="D72" i="1"/>
  <c r="D11" i="4" s="1"/>
  <c r="C73" i="1"/>
  <c r="C12" i="4" s="1"/>
  <c r="C68" i="1"/>
  <c r="C7" i="4" s="1"/>
  <c r="F89" i="1"/>
  <c r="F28" i="4" s="1"/>
  <c r="E82" i="1"/>
  <c r="E21" i="4" s="1"/>
  <c r="D78" i="1"/>
  <c r="D17" i="4" s="1"/>
  <c r="I69" i="1"/>
  <c r="I8" i="4" s="1"/>
  <c r="I66" i="1"/>
  <c r="I5" i="4" s="1"/>
  <c r="F69" i="1"/>
  <c r="F101" i="1" s="1"/>
  <c r="E74" i="1"/>
  <c r="E13" i="4" s="1"/>
  <c r="I82" i="1"/>
  <c r="I21" i="4" s="1"/>
  <c r="D82" i="1"/>
  <c r="D114" i="1" s="1"/>
  <c r="I81" i="1"/>
  <c r="I20" i="4" s="1"/>
  <c r="D81" i="1"/>
  <c r="D113" i="1" s="1"/>
  <c r="I78" i="1"/>
  <c r="I17" i="4" s="1"/>
  <c r="E79" i="1"/>
  <c r="E111" i="1" s="1"/>
  <c r="I73" i="1"/>
  <c r="I12" i="4" s="1"/>
  <c r="I72" i="1"/>
  <c r="I11" i="4" s="1"/>
  <c r="I67" i="1"/>
  <c r="I6" i="4" s="1"/>
  <c r="E73" i="1"/>
  <c r="E105" i="1" s="1"/>
  <c r="D74" i="1"/>
  <c r="D106" i="1" s="1"/>
  <c r="D67" i="1"/>
  <c r="D99" i="1" s="1"/>
  <c r="F3" i="6"/>
  <c r="F61" i="6" s="1"/>
  <c r="Q67" i="4"/>
  <c r="L39" i="4"/>
  <c r="R15" i="6"/>
  <c r="P73" i="6" s="1"/>
  <c r="M25" i="6"/>
  <c r="J69" i="4"/>
  <c r="AB45" i="6"/>
  <c r="Z103" i="6" s="1"/>
  <c r="F35" i="6"/>
  <c r="F93" i="6" s="1"/>
  <c r="N118" i="1"/>
  <c r="P25" i="4"/>
  <c r="W25" i="4"/>
  <c r="V55" i="1"/>
  <c r="V86" i="1" s="1"/>
  <c r="N25" i="4"/>
  <c r="U25" i="4"/>
  <c r="N28" i="4"/>
  <c r="X17" i="4"/>
  <c r="S13" i="4"/>
  <c r="R23" i="4"/>
  <c r="P11" i="4"/>
  <c r="V42" i="1"/>
  <c r="V73" i="1" s="1"/>
  <c r="T105" i="1" s="1"/>
  <c r="S20" i="4"/>
  <c r="H118" i="1"/>
  <c r="H25" i="4"/>
  <c r="Q118" i="1"/>
  <c r="S25" i="4"/>
  <c r="K25" i="4"/>
  <c r="I118" i="1"/>
  <c r="T23" i="4"/>
  <c r="X99" i="1"/>
  <c r="R25" i="4"/>
  <c r="X25" i="4"/>
  <c r="E259" i="3"/>
  <c r="M13" i="4"/>
  <c r="L25" i="4"/>
  <c r="M25" i="4"/>
  <c r="Q25" i="4"/>
  <c r="Y25" i="4"/>
  <c r="H35" i="6"/>
  <c r="H93" i="6" s="1"/>
  <c r="T61" i="4"/>
  <c r="K51" i="4"/>
  <c r="AA25" i="6"/>
  <c r="Y83" i="6" s="1"/>
  <c r="J47" i="4"/>
  <c r="M38" i="4"/>
  <c r="N38" i="6"/>
  <c r="L96" i="6" s="1"/>
  <c r="U8" i="6"/>
  <c r="S66" i="6" s="1"/>
  <c r="N35" i="6"/>
  <c r="L93" i="6" s="1"/>
  <c r="N24" i="6"/>
  <c r="L82" i="6" s="1"/>
  <c r="L38" i="6"/>
  <c r="K96" i="6" s="1"/>
  <c r="L76" i="4"/>
  <c r="U20" i="4"/>
  <c r="X116" i="1"/>
  <c r="K74" i="4"/>
  <c r="F72" i="4"/>
  <c r="U28" i="4"/>
  <c r="L17" i="4"/>
  <c r="V35" i="6"/>
  <c r="T93" i="6" s="1"/>
  <c r="E47" i="4"/>
  <c r="F78" i="4"/>
  <c r="AA73" i="4"/>
  <c r="J71" i="4"/>
  <c r="H39" i="6"/>
  <c r="H97" i="6" s="1"/>
  <c r="Z56" i="4"/>
  <c r="U8" i="4"/>
  <c r="Z18" i="4"/>
  <c r="G67" i="4"/>
  <c r="M40" i="6"/>
  <c r="Y13" i="4"/>
  <c r="O34" i="1"/>
  <c r="O65" i="1" s="1"/>
  <c r="M97" i="1" s="1"/>
  <c r="N30" i="6"/>
  <c r="L88" i="6" s="1"/>
  <c r="Y23" i="4"/>
  <c r="L37" i="6"/>
  <c r="K95" i="6" s="1"/>
  <c r="I78" i="4"/>
  <c r="V39" i="1"/>
  <c r="V70" i="1" s="1"/>
  <c r="T102" i="1" s="1"/>
  <c r="O15" i="6"/>
  <c r="M73" i="6" s="1"/>
  <c r="K62" i="4"/>
  <c r="P12" i="4"/>
  <c r="N37" i="6"/>
  <c r="L95" i="6" s="1"/>
  <c r="F46" i="6"/>
  <c r="F104" i="6" s="1"/>
  <c r="V40" i="1"/>
  <c r="I111" i="1"/>
  <c r="V41" i="1"/>
  <c r="V72" i="1" s="1"/>
  <c r="T104" i="1" s="1"/>
  <c r="AA36" i="4"/>
  <c r="L30" i="6"/>
  <c r="K88" i="6" s="1"/>
  <c r="U33" i="6"/>
  <c r="S91" i="6" s="1"/>
  <c r="T71" i="4"/>
  <c r="N8" i="6"/>
  <c r="L66" i="6" s="1"/>
  <c r="M2" i="6"/>
  <c r="K13" i="6"/>
  <c r="M9" i="4"/>
  <c r="S7" i="4"/>
  <c r="R7" i="4"/>
  <c r="P7" i="4"/>
  <c r="J101" i="1"/>
  <c r="L8" i="4"/>
  <c r="J20" i="6"/>
  <c r="J78" i="6" s="1"/>
  <c r="I65" i="4"/>
  <c r="N45" i="6"/>
  <c r="L103" i="6" s="1"/>
  <c r="M76" i="4"/>
  <c r="T48" i="4"/>
  <c r="U15" i="6"/>
  <c r="S73" i="6" s="1"/>
  <c r="I45" i="4"/>
  <c r="J13" i="6"/>
  <c r="J71" i="6" s="1"/>
  <c r="M44" i="6"/>
  <c r="V37" i="4"/>
  <c r="I74" i="4"/>
  <c r="J17" i="6"/>
  <c r="J75" i="6" s="1"/>
  <c r="L5" i="6"/>
  <c r="K63" i="6" s="1"/>
  <c r="R4" i="6"/>
  <c r="P62" i="6" s="1"/>
  <c r="K35" i="4"/>
  <c r="K39" i="6"/>
  <c r="U7" i="6"/>
  <c r="S65" i="6" s="1"/>
  <c r="S23" i="4"/>
  <c r="O42" i="6"/>
  <c r="M100" i="6" s="1"/>
  <c r="E66" i="4"/>
  <c r="T37" i="4"/>
  <c r="Z60" i="4"/>
  <c r="W72" i="1"/>
  <c r="U104" i="1" s="1"/>
  <c r="S34" i="1"/>
  <c r="S65" i="1" s="1"/>
  <c r="Q97" i="1" s="1"/>
  <c r="AB24" i="6"/>
  <c r="Z82" i="6" s="1"/>
  <c r="T28" i="4"/>
  <c r="I105" i="1"/>
  <c r="V39" i="6"/>
  <c r="T97" i="6" s="1"/>
  <c r="V40" i="6"/>
  <c r="T98" i="6" s="1"/>
  <c r="W46" i="6"/>
  <c r="U104" i="6" s="1"/>
  <c r="F26" i="6"/>
  <c r="F84" i="6" s="1"/>
  <c r="R61" i="2"/>
  <c r="O35" i="6"/>
  <c r="M93" i="6" s="1"/>
  <c r="Y4" i="6"/>
  <c r="W62" i="6" s="1"/>
  <c r="G21" i="6"/>
  <c r="G79" i="6" s="1"/>
  <c r="M51" i="4"/>
  <c r="O20" i="6"/>
  <c r="M78" i="6" s="1"/>
  <c r="H3" i="6"/>
  <c r="H61" i="6" s="1"/>
  <c r="U60" i="4"/>
  <c r="U61" i="4"/>
  <c r="T8" i="4"/>
  <c r="Q105" i="1"/>
  <c r="S12" i="4"/>
  <c r="E64" i="4"/>
  <c r="F19" i="6"/>
  <c r="F77" i="6" s="1"/>
  <c r="J113" i="1"/>
  <c r="L20" i="4"/>
  <c r="S37" i="4"/>
  <c r="T5" i="6"/>
  <c r="R63" i="6" s="1"/>
  <c r="E80" i="6"/>
  <c r="X58" i="4"/>
  <c r="K54" i="4"/>
  <c r="N35" i="4"/>
  <c r="D66" i="4"/>
  <c r="U23" i="6"/>
  <c r="S81" i="6" s="1"/>
  <c r="T59" i="4"/>
  <c r="H8" i="6"/>
  <c r="H66" i="6" s="1"/>
  <c r="U39" i="6"/>
  <c r="S97" i="6" s="1"/>
  <c r="U78" i="4"/>
  <c r="H40" i="6"/>
  <c r="H98" i="6" s="1"/>
  <c r="O68" i="1"/>
  <c r="M100" i="1" s="1"/>
  <c r="J37" i="4"/>
  <c r="L71" i="4"/>
  <c r="AB12" i="6"/>
  <c r="Z70" i="6" s="1"/>
  <c r="N17" i="4"/>
  <c r="T21" i="4"/>
  <c r="Y5" i="4"/>
  <c r="N2" i="6"/>
  <c r="L60" i="6" s="1"/>
  <c r="L31" i="6"/>
  <c r="L67" i="4"/>
  <c r="S9" i="4"/>
  <c r="I71" i="4"/>
  <c r="I8" i="6"/>
  <c r="I66" i="6" s="1"/>
  <c r="N72" i="4"/>
  <c r="E72" i="4"/>
  <c r="M86" i="2"/>
  <c r="P6" i="4"/>
  <c r="T9" i="4"/>
  <c r="H6" i="6"/>
  <c r="H64" i="6" s="1"/>
  <c r="E48" i="4"/>
  <c r="U34" i="1"/>
  <c r="U65" i="1" s="1"/>
  <c r="S97" i="1" s="1"/>
  <c r="F34" i="1"/>
  <c r="K2" i="6"/>
  <c r="G23" i="6"/>
  <c r="G81" i="6" s="1"/>
  <c r="N22" i="6"/>
  <c r="L80" i="6" s="1"/>
  <c r="AB34" i="6"/>
  <c r="Z92" i="6" s="1"/>
  <c r="M8" i="4"/>
  <c r="P21" i="4"/>
  <c r="X9" i="4"/>
  <c r="O9" i="4"/>
  <c r="U11" i="4"/>
  <c r="X18" i="4"/>
  <c r="U5" i="4"/>
  <c r="H13" i="6"/>
  <c r="H71" i="6" s="1"/>
  <c r="L69" i="4"/>
  <c r="J33" i="4"/>
  <c r="M12" i="4"/>
  <c r="Y17" i="4"/>
  <c r="O8" i="4"/>
  <c r="M23" i="6"/>
  <c r="AA57" i="4"/>
  <c r="L52" i="4"/>
  <c r="J34" i="1"/>
  <c r="J65" i="1" s="1"/>
  <c r="J4" i="4" s="1"/>
  <c r="X104" i="1"/>
  <c r="Q40" i="4"/>
  <c r="I38" i="4"/>
  <c r="E81" i="6"/>
  <c r="Y44" i="6"/>
  <c r="W102" i="6" s="1"/>
  <c r="L35" i="6"/>
  <c r="K93" i="6" s="1"/>
  <c r="U47" i="4"/>
  <c r="U29" i="6"/>
  <c r="S87" i="6" s="1"/>
  <c r="V3" i="6"/>
  <c r="T61" i="6" s="1"/>
  <c r="V72" i="4"/>
  <c r="H27" i="6"/>
  <c r="H85" i="6" s="1"/>
  <c r="T47" i="4"/>
  <c r="M6" i="6"/>
  <c r="H30" i="6"/>
  <c r="H88" i="6" s="1"/>
  <c r="L13" i="6"/>
  <c r="L42" i="6"/>
  <c r="K100" i="6" s="1"/>
  <c r="H2" i="6"/>
  <c r="H60" i="6" s="1"/>
  <c r="H33" i="6"/>
  <c r="H91" i="6" s="1"/>
  <c r="M62" i="4"/>
  <c r="N29" i="6"/>
  <c r="L87" i="6" s="1"/>
  <c r="AA67" i="4"/>
  <c r="L58" i="4"/>
  <c r="M23" i="4"/>
  <c r="U13" i="4"/>
  <c r="Z21" i="4"/>
  <c r="U113" i="2"/>
  <c r="U38" i="4" s="1"/>
  <c r="Y39" i="6"/>
  <c r="W97" i="6" s="1"/>
  <c r="X72" i="4"/>
  <c r="X77" i="4"/>
  <c r="Y46" i="6"/>
  <c r="W104" i="6" s="1"/>
  <c r="V44" i="4"/>
  <c r="W12" i="6"/>
  <c r="U70" i="6" s="1"/>
  <c r="F110" i="1"/>
  <c r="F17" i="4"/>
  <c r="V36" i="6"/>
  <c r="T94" i="6" s="1"/>
  <c r="U70" i="4"/>
  <c r="K65" i="4"/>
  <c r="L20" i="6"/>
  <c r="K78" i="6" s="1"/>
  <c r="S51" i="4"/>
  <c r="T18" i="6"/>
  <c r="R76" i="6" s="1"/>
  <c r="Y36" i="6"/>
  <c r="W94" i="6" s="1"/>
  <c r="X70" i="4"/>
  <c r="X55" i="4"/>
  <c r="Y27" i="6"/>
  <c r="W85" i="6" s="1"/>
  <c r="M36" i="4"/>
  <c r="N23" i="6"/>
  <c r="L81" i="6" s="1"/>
  <c r="S56" i="4"/>
  <c r="T29" i="6"/>
  <c r="R87" i="6" s="1"/>
  <c r="J31" i="6"/>
  <c r="J89" i="6" s="1"/>
  <c r="I60" i="4"/>
  <c r="F62" i="4"/>
  <c r="G40" i="6"/>
  <c r="G98" i="6" s="1"/>
  <c r="X54" i="4"/>
  <c r="Y25" i="6"/>
  <c r="W83" i="6" s="1"/>
  <c r="E116" i="1"/>
  <c r="E23" i="4"/>
  <c r="Z13" i="4"/>
  <c r="X106" i="1"/>
  <c r="N12" i="4"/>
  <c r="N7" i="4"/>
  <c r="W84" i="1"/>
  <c r="U116" i="1" s="1"/>
  <c r="V53" i="1"/>
  <c r="V84" i="1" s="1"/>
  <c r="T116" i="1" s="1"/>
  <c r="H114" i="1"/>
  <c r="H21" i="4"/>
  <c r="M110" i="1"/>
  <c r="O17" i="4"/>
  <c r="W105" i="1"/>
  <c r="Y12" i="4"/>
  <c r="R73" i="1"/>
  <c r="Q42" i="1"/>
  <c r="Q73" i="1" s="1"/>
  <c r="N34" i="4"/>
  <c r="T34" i="4"/>
  <c r="U3" i="6"/>
  <c r="S61" i="6" s="1"/>
  <c r="R36" i="6"/>
  <c r="P94" i="6" s="1"/>
  <c r="R70" i="1"/>
  <c r="P102" i="1" s="1"/>
  <c r="Q39" i="1"/>
  <c r="Q70" i="1" s="1"/>
  <c r="O102" i="1" s="1"/>
  <c r="L106" i="1"/>
  <c r="N13" i="4"/>
  <c r="AB43" i="6"/>
  <c r="Z101" i="6" s="1"/>
  <c r="AA74" i="4"/>
  <c r="J64" i="4"/>
  <c r="K19" i="6"/>
  <c r="M31" i="6"/>
  <c r="L60" i="4"/>
  <c r="AB4" i="6"/>
  <c r="Z62" i="6" s="1"/>
  <c r="AA35" i="4"/>
  <c r="Q72" i="4"/>
  <c r="E93" i="6"/>
  <c r="N45" i="4"/>
  <c r="L34" i="6"/>
  <c r="G3" i="6"/>
  <c r="G61" i="6" s="1"/>
  <c r="T51" i="4"/>
  <c r="J57" i="4"/>
  <c r="AB15" i="6"/>
  <c r="Z73" i="6" s="1"/>
  <c r="F20" i="4"/>
  <c r="M7" i="4"/>
  <c r="D33" i="4"/>
  <c r="G60" i="4"/>
  <c r="H31" i="6"/>
  <c r="H89" i="6" s="1"/>
  <c r="D61" i="4"/>
  <c r="E84" i="6"/>
  <c r="D50" i="4"/>
  <c r="E17" i="6"/>
  <c r="M54" i="4"/>
  <c r="N25" i="6"/>
  <c r="L83" i="6" s="1"/>
  <c r="Q40" i="1"/>
  <c r="L40" i="4"/>
  <c r="M8" i="6"/>
  <c r="R76" i="2"/>
  <c r="R128" i="2" s="1"/>
  <c r="S22" i="6" s="1"/>
  <c r="Q80" i="6" s="1"/>
  <c r="D40" i="4"/>
  <c r="E8" i="6"/>
  <c r="X68" i="1"/>
  <c r="V37" i="1"/>
  <c r="V68" i="1" s="1"/>
  <c r="T100" i="1" s="1"/>
  <c r="R106" i="1"/>
  <c r="T13" i="4"/>
  <c r="U55" i="4"/>
  <c r="V27" i="6"/>
  <c r="T85" i="6" s="1"/>
  <c r="S78" i="4"/>
  <c r="T47" i="6"/>
  <c r="R105" i="6" s="1"/>
  <c r="Q114" i="1"/>
  <c r="S21" i="4"/>
  <c r="K104" i="1"/>
  <c r="M11" i="4"/>
  <c r="W26" i="6"/>
  <c r="U84" i="6" s="1"/>
  <c r="F39" i="4"/>
  <c r="G7" i="6"/>
  <c r="G65" i="6" s="1"/>
  <c r="M5" i="6"/>
  <c r="U13" i="6"/>
  <c r="S71" i="6" s="1"/>
  <c r="G46" i="6"/>
  <c r="G104" i="6" s="1"/>
  <c r="O13" i="4"/>
  <c r="D111" i="1"/>
  <c r="D18" i="4"/>
  <c r="M33" i="4"/>
  <c r="E100" i="6"/>
  <c r="F38" i="6"/>
  <c r="F96" i="6" s="1"/>
  <c r="G33" i="6"/>
  <c r="G91" i="6" s="1"/>
  <c r="W34" i="1"/>
  <c r="W65" i="1" s="1"/>
  <c r="J62" i="4"/>
  <c r="AA56" i="4"/>
  <c r="M18" i="4"/>
  <c r="N21" i="4"/>
  <c r="N101" i="1"/>
  <c r="P8" i="4"/>
  <c r="H100" i="1"/>
  <c r="H7" i="4"/>
  <c r="M98" i="1"/>
  <c r="O5" i="4"/>
  <c r="G20" i="6"/>
  <c r="G78" i="6" s="1"/>
  <c r="F65" i="4"/>
  <c r="AA34" i="4"/>
  <c r="AB3" i="6"/>
  <c r="Z61" i="6" s="1"/>
  <c r="S111" i="1"/>
  <c r="U18" i="4"/>
  <c r="I42" i="4"/>
  <c r="J45" i="6"/>
  <c r="J103" i="6" s="1"/>
  <c r="H42" i="6"/>
  <c r="H100" i="6" s="1"/>
  <c r="G10" i="6"/>
  <c r="G68" i="6" s="1"/>
  <c r="F42" i="4"/>
  <c r="N34" i="6"/>
  <c r="L92" i="6" s="1"/>
  <c r="V12" i="6"/>
  <c r="T70" i="6" s="1"/>
  <c r="D23" i="4"/>
  <c r="I68" i="4"/>
  <c r="J32" i="6"/>
  <c r="J90" i="6" s="1"/>
  <c r="K13" i="4"/>
  <c r="I106" i="1"/>
  <c r="P113" i="1"/>
  <c r="R20" i="4"/>
  <c r="R82" i="2"/>
  <c r="R134" i="2" s="1"/>
  <c r="S35" i="6" s="1"/>
  <c r="Q93" i="6" s="1"/>
  <c r="R95" i="2"/>
  <c r="R147" i="2" s="1"/>
  <c r="S39" i="6" s="1"/>
  <c r="Q97" i="6" s="1"/>
  <c r="V35" i="1"/>
  <c r="V66" i="1" s="1"/>
  <c r="V5" i="4" s="1"/>
  <c r="R83" i="2"/>
  <c r="R135" i="2" s="1"/>
  <c r="R60" i="4" s="1"/>
  <c r="F50" i="4"/>
  <c r="G17" i="6"/>
  <c r="G75" i="6" s="1"/>
  <c r="V73" i="4"/>
  <c r="W42" i="6"/>
  <c r="U100" i="6" s="1"/>
  <c r="V36" i="4"/>
  <c r="W23" i="6"/>
  <c r="U81" i="6" s="1"/>
  <c r="T19" i="6"/>
  <c r="R77" i="6" s="1"/>
  <c r="S64" i="4"/>
  <c r="J29" i="6"/>
  <c r="J87" i="6" s="1"/>
  <c r="I56" i="4"/>
  <c r="K121" i="1"/>
  <c r="M28" i="4"/>
  <c r="N57" i="4"/>
  <c r="O30" i="6"/>
  <c r="M88" i="6" s="1"/>
  <c r="Z87" i="6"/>
  <c r="E87" i="6"/>
  <c r="O17" i="6"/>
  <c r="M75" i="6" s="1"/>
  <c r="N50" i="4"/>
  <c r="E70" i="4"/>
  <c r="F36" i="6"/>
  <c r="F94" i="6" s="1"/>
  <c r="S40" i="4"/>
  <c r="T8" i="6"/>
  <c r="R66" i="6" s="1"/>
  <c r="J40" i="6"/>
  <c r="J98" i="6" s="1"/>
  <c r="I62" i="4"/>
  <c r="V70" i="4"/>
  <c r="W36" i="6"/>
  <c r="U94" i="6" s="1"/>
  <c r="I48" i="4"/>
  <c r="J15" i="6"/>
  <c r="J73" i="6" s="1"/>
  <c r="G76" i="4"/>
  <c r="H45" i="6"/>
  <c r="H103" i="6" s="1"/>
  <c r="M77" i="4"/>
  <c r="N46" i="6"/>
  <c r="L104" i="6" s="1"/>
  <c r="L113" i="1"/>
  <c r="N20" i="4"/>
  <c r="C111" i="1"/>
  <c r="C18" i="4"/>
  <c r="E98" i="1"/>
  <c r="E5" i="4"/>
  <c r="K26" i="6"/>
  <c r="J61" i="4"/>
  <c r="I64" i="4"/>
  <c r="T35" i="6"/>
  <c r="R93" i="6" s="1"/>
  <c r="R19" i="6"/>
  <c r="P77" i="6" s="1"/>
  <c r="M29" i="6"/>
  <c r="G35" i="6"/>
  <c r="G93" i="6" s="1"/>
  <c r="L44" i="6"/>
  <c r="AA26" i="6"/>
  <c r="Y84" i="6" s="1"/>
  <c r="U57" i="4"/>
  <c r="E40" i="4"/>
  <c r="Q58" i="4"/>
  <c r="L39" i="6"/>
  <c r="Y6" i="4"/>
  <c r="T38" i="6"/>
  <c r="R96" i="6" s="1"/>
  <c r="S71" i="4"/>
  <c r="G44" i="4"/>
  <c r="H12" i="6"/>
  <c r="H70" i="6" s="1"/>
  <c r="J105" i="1"/>
  <c r="V34" i="6"/>
  <c r="T92" i="6" s="1"/>
  <c r="D52" i="4"/>
  <c r="J35" i="4"/>
  <c r="K4" i="6"/>
  <c r="K62" i="6" s="1"/>
  <c r="D54" i="4"/>
  <c r="P104" i="1"/>
  <c r="R11" i="4"/>
  <c r="N102" i="1"/>
  <c r="P9" i="4"/>
  <c r="T78" i="4"/>
  <c r="U47" i="6"/>
  <c r="S105" i="6" s="1"/>
  <c r="U32" i="6"/>
  <c r="S90" i="6" s="1"/>
  <c r="I98" i="1"/>
  <c r="F23" i="4"/>
  <c r="F116" i="1"/>
  <c r="T6" i="6"/>
  <c r="R64" i="6" s="1"/>
  <c r="G30" i="6"/>
  <c r="G88" i="6" s="1"/>
  <c r="U31" i="6"/>
  <c r="S89" i="6" s="1"/>
  <c r="H7" i="6"/>
  <c r="H65" i="6" s="1"/>
  <c r="V18" i="6"/>
  <c r="T76" i="6" s="1"/>
  <c r="U51" i="4"/>
  <c r="U48" i="4"/>
  <c r="X37" i="4"/>
  <c r="E6" i="6"/>
  <c r="E64" i="6" s="1"/>
  <c r="S135" i="2"/>
  <c r="H44" i="6"/>
  <c r="H102" i="6" s="1"/>
  <c r="H21" i="6"/>
  <c r="H79" i="6" s="1"/>
  <c r="N31" i="6"/>
  <c r="L89" i="6" s="1"/>
  <c r="AA35" i="6"/>
  <c r="Y93" i="6" s="1"/>
  <c r="F5" i="6"/>
  <c r="F63" i="6" s="1"/>
  <c r="R74" i="2"/>
  <c r="R126" i="2" s="1"/>
  <c r="R51" i="4" s="1"/>
  <c r="G42" i="1"/>
  <c r="G73" i="1" s="1"/>
  <c r="I34" i="1"/>
  <c r="AB37" i="6"/>
  <c r="Z95" i="6" s="1"/>
  <c r="M21" i="4"/>
  <c r="U27" i="6"/>
  <c r="S85" i="6" s="1"/>
  <c r="Y7" i="4"/>
  <c r="U68" i="4"/>
  <c r="R78" i="2"/>
  <c r="R130" i="2" s="1"/>
  <c r="R55" i="4" s="1"/>
  <c r="X48" i="4"/>
  <c r="Y15" i="6"/>
  <c r="W73" i="6" s="1"/>
  <c r="E54" i="4"/>
  <c r="F25" i="6"/>
  <c r="F83" i="6" s="1"/>
  <c r="W113" i="1"/>
  <c r="AB20" i="6"/>
  <c r="Z78" i="6" s="1"/>
  <c r="AA65" i="4"/>
  <c r="W22" i="6"/>
  <c r="U80" i="6" s="1"/>
  <c r="V53" i="4"/>
  <c r="T42" i="6"/>
  <c r="R100" i="6" s="1"/>
  <c r="N70" i="4"/>
  <c r="U6" i="4"/>
  <c r="AB10" i="6"/>
  <c r="Z68" i="6" s="1"/>
  <c r="U2" i="6"/>
  <c r="S60" i="6" s="1"/>
  <c r="H5" i="6"/>
  <c r="H63" i="6" s="1"/>
  <c r="T3" i="6"/>
  <c r="R61" i="6" s="1"/>
  <c r="S34" i="4"/>
  <c r="T12" i="6"/>
  <c r="R70" i="6" s="1"/>
  <c r="S44" i="4"/>
  <c r="L34" i="4"/>
  <c r="M3" i="6"/>
  <c r="E42" i="4"/>
  <c r="F10" i="6"/>
  <c r="F68" i="6" s="1"/>
  <c r="K61" i="4"/>
  <c r="L26" i="6"/>
  <c r="M35" i="6"/>
  <c r="L59" i="4"/>
  <c r="R101" i="2"/>
  <c r="R153" i="2" s="1"/>
  <c r="S47" i="6" s="1"/>
  <c r="Q105" i="6" s="1"/>
  <c r="U54" i="4"/>
  <c r="V25" i="6"/>
  <c r="T83" i="6" s="1"/>
  <c r="U20" i="6"/>
  <c r="S78" i="6" s="1"/>
  <c r="E39" i="4"/>
  <c r="T58" i="4"/>
  <c r="R57" i="2"/>
  <c r="Y34" i="1"/>
  <c r="V47" i="1"/>
  <c r="V78" i="1" s="1"/>
  <c r="T110" i="1" s="1"/>
  <c r="X38" i="4"/>
  <c r="H46" i="6"/>
  <c r="H104" i="6" s="1"/>
  <c r="O24" i="6"/>
  <c r="M82" i="6" s="1"/>
  <c r="F34" i="6"/>
  <c r="F92" i="6" s="1"/>
  <c r="F30" i="6"/>
  <c r="F88" i="6" s="1"/>
  <c r="L6" i="6"/>
  <c r="R28" i="4"/>
  <c r="U9" i="4"/>
  <c r="W7" i="4"/>
  <c r="W20" i="6"/>
  <c r="U78" i="6" s="1"/>
  <c r="V65" i="4"/>
  <c r="U66" i="4"/>
  <c r="V24" i="6"/>
  <c r="T82" i="6" s="1"/>
  <c r="J34" i="6"/>
  <c r="J92" i="6" s="1"/>
  <c r="T17" i="6"/>
  <c r="R75" i="6" s="1"/>
  <c r="E5" i="6"/>
  <c r="E63" i="6" s="1"/>
  <c r="L45" i="6"/>
  <c r="K103" i="6" s="1"/>
  <c r="K55" i="4"/>
  <c r="G8" i="6"/>
  <c r="G66" i="6" s="1"/>
  <c r="N15" i="6"/>
  <c r="L73" i="6" s="1"/>
  <c r="K50" i="4"/>
  <c r="N33" i="6"/>
  <c r="L91" i="6" s="1"/>
  <c r="U114" i="1"/>
  <c r="V50" i="1"/>
  <c r="V81" i="1" s="1"/>
  <c r="T113" i="1" s="1"/>
  <c r="T17" i="4"/>
  <c r="Y9" i="4"/>
  <c r="D68" i="4"/>
  <c r="J37" i="6"/>
  <c r="J95" i="6" s="1"/>
  <c r="I47" i="4"/>
  <c r="U30" i="6"/>
  <c r="S88" i="6" s="1"/>
  <c r="T57" i="4"/>
  <c r="T38" i="4"/>
  <c r="U6" i="6"/>
  <c r="S64" i="6" s="1"/>
  <c r="R99" i="2"/>
  <c r="R151" i="2" s="1"/>
  <c r="S45" i="6" s="1"/>
  <c r="Q103" i="6" s="1"/>
  <c r="J8" i="6"/>
  <c r="J66" i="6" s="1"/>
  <c r="I40" i="4"/>
  <c r="N20" i="6"/>
  <c r="L78" i="6" s="1"/>
  <c r="M65" i="4"/>
  <c r="AA40" i="4"/>
  <c r="AB8" i="6"/>
  <c r="Z66" i="6" s="1"/>
  <c r="U12" i="6"/>
  <c r="S70" i="6" s="1"/>
  <c r="T44" i="4"/>
  <c r="AA72" i="4"/>
  <c r="AB39" i="6"/>
  <c r="Z97" i="6" s="1"/>
  <c r="K36" i="6"/>
  <c r="J70" i="4"/>
  <c r="F38" i="4"/>
  <c r="G6" i="6"/>
  <c r="G64" i="6" s="1"/>
  <c r="V54" i="4"/>
  <c r="W25" i="6"/>
  <c r="U83" i="6" s="1"/>
  <c r="N55" i="4"/>
  <c r="O27" i="6"/>
  <c r="M85" i="6" s="1"/>
  <c r="G51" i="4"/>
  <c r="H18" i="6"/>
  <c r="H76" i="6" s="1"/>
  <c r="J53" i="4"/>
  <c r="K22" i="6"/>
  <c r="J12" i="6"/>
  <c r="J70" i="6" s="1"/>
  <c r="I44" i="4"/>
  <c r="V78" i="4"/>
  <c r="W47" i="6"/>
  <c r="U105" i="6" s="1"/>
  <c r="W18" i="6"/>
  <c r="U76" i="6" s="1"/>
  <c r="V51" i="4"/>
  <c r="N17" i="6"/>
  <c r="L75" i="6" s="1"/>
  <c r="M50" i="4"/>
  <c r="O8" i="6"/>
  <c r="M66" i="6" s="1"/>
  <c r="N40" i="4"/>
  <c r="AB19" i="6"/>
  <c r="Z77" i="6" s="1"/>
  <c r="AA64" i="4"/>
  <c r="L45" i="4"/>
  <c r="M13" i="6"/>
  <c r="E45" i="4"/>
  <c r="V151" i="2"/>
  <c r="V50" i="4"/>
  <c r="W17" i="6"/>
  <c r="U75" i="6" s="1"/>
  <c r="Q36" i="1"/>
  <c r="Q67" i="1" s="1"/>
  <c r="J7" i="6"/>
  <c r="J65" i="6" s="1"/>
  <c r="I39" i="4"/>
  <c r="Q57" i="4"/>
  <c r="H11" i="4"/>
  <c r="H104" i="1"/>
  <c r="N61" i="4"/>
  <c r="O26" i="6"/>
  <c r="M84" i="6" s="1"/>
  <c r="O6" i="6"/>
  <c r="M64" i="6" s="1"/>
  <c r="N38" i="4"/>
  <c r="F71" i="4"/>
  <c r="G38" i="6"/>
  <c r="G96" i="6" s="1"/>
  <c r="E88" i="6"/>
  <c r="D57" i="4"/>
  <c r="E76" i="6"/>
  <c r="D51" i="4"/>
  <c r="M75" i="4"/>
  <c r="N44" i="6"/>
  <c r="L102" i="6" s="1"/>
  <c r="S78" i="1"/>
  <c r="Q47" i="1"/>
  <c r="Q78" i="1" s="1"/>
  <c r="O79" i="1"/>
  <c r="M111" i="1" s="1"/>
  <c r="G48" i="1"/>
  <c r="F111" i="1"/>
  <c r="F18" i="4"/>
  <c r="M138" i="2"/>
  <c r="M63" i="4" s="1"/>
  <c r="W8" i="6"/>
  <c r="U66" i="6" s="1"/>
  <c r="Y17" i="6"/>
  <c r="W75" i="6" s="1"/>
  <c r="X69" i="4"/>
  <c r="T27" i="6"/>
  <c r="R85" i="6" s="1"/>
  <c r="T40" i="6"/>
  <c r="R98" i="6" s="1"/>
  <c r="N60" i="4"/>
  <c r="AA50" i="4"/>
  <c r="S45" i="4"/>
  <c r="T13" i="6"/>
  <c r="R71" i="6" s="1"/>
  <c r="F45" i="4"/>
  <c r="G35" i="4"/>
  <c r="G37" i="6"/>
  <c r="G95" i="6" s="1"/>
  <c r="R46" i="6"/>
  <c r="P104" i="6" s="1"/>
  <c r="R94" i="2"/>
  <c r="R146" i="2" s="1"/>
  <c r="R71" i="4" s="1"/>
  <c r="M17" i="6"/>
  <c r="R6" i="4"/>
  <c r="U74" i="4"/>
  <c r="V43" i="6"/>
  <c r="T101" i="6" s="1"/>
  <c r="K53" i="4"/>
  <c r="L22" i="6"/>
  <c r="L23" i="6"/>
  <c r="K36" i="4"/>
  <c r="D62" i="4"/>
  <c r="E98" i="6"/>
  <c r="Q47" i="4"/>
  <c r="R37" i="6"/>
  <c r="P95" i="6" s="1"/>
  <c r="G68" i="4"/>
  <c r="H32" i="6"/>
  <c r="H90" i="6" s="1"/>
  <c r="P66" i="1"/>
  <c r="P34" i="1"/>
  <c r="O12" i="6"/>
  <c r="M70" i="6" s="1"/>
  <c r="N44" i="4"/>
  <c r="AB25" i="6"/>
  <c r="AA54" i="4"/>
  <c r="R111" i="1"/>
  <c r="T18" i="4"/>
  <c r="M43" i="6"/>
  <c r="L74" i="4"/>
  <c r="L44" i="4"/>
  <c r="M12" i="6"/>
  <c r="R58" i="2"/>
  <c r="L70" i="4"/>
  <c r="M4" i="6"/>
  <c r="F61" i="4"/>
  <c r="G26" i="6"/>
  <c r="G84" i="6" s="1"/>
  <c r="F73" i="4"/>
  <c r="G42" i="6"/>
  <c r="G100" i="6" s="1"/>
  <c r="U131" i="2"/>
  <c r="V29" i="6" s="1"/>
  <c r="T87" i="6" s="1"/>
  <c r="R79" i="2"/>
  <c r="R131" i="2" s="1"/>
  <c r="R56" i="4" s="1"/>
  <c r="U40" i="4"/>
  <c r="X61" i="4"/>
  <c r="Y26" i="6"/>
  <c r="W84" i="6" s="1"/>
  <c r="F20" i="6"/>
  <c r="F78" i="6" s="1"/>
  <c r="E65" i="4"/>
  <c r="T66" i="4"/>
  <c r="U24" i="6"/>
  <c r="S82" i="6" s="1"/>
  <c r="U21" i="6"/>
  <c r="S79" i="6" s="1"/>
  <c r="T52" i="4"/>
  <c r="M37" i="4"/>
  <c r="N5" i="6"/>
  <c r="L63" i="6" s="1"/>
  <c r="Z48" i="4"/>
  <c r="AA15" i="6"/>
  <c r="Y73" i="6" s="1"/>
  <c r="M20" i="6"/>
  <c r="L65" i="4"/>
  <c r="E121" i="1"/>
  <c r="E28" i="4"/>
  <c r="L116" i="1"/>
  <c r="N23" i="4"/>
  <c r="V51" i="1"/>
  <c r="V82" i="1" s="1"/>
  <c r="V21" i="4" s="1"/>
  <c r="R74" i="1"/>
  <c r="P106" i="1" s="1"/>
  <c r="Q43" i="1"/>
  <c r="Q74" i="1" s="1"/>
  <c r="O106" i="1" s="1"/>
  <c r="P101" i="1"/>
  <c r="R8" i="4"/>
  <c r="M67" i="1"/>
  <c r="G36" i="1"/>
  <c r="M66" i="1"/>
  <c r="M34" i="1"/>
  <c r="E101" i="1"/>
  <c r="E8" i="4"/>
  <c r="J46" i="6"/>
  <c r="J104" i="6" s="1"/>
  <c r="I77" i="4"/>
  <c r="J21" i="6"/>
  <c r="J79" i="6" s="1"/>
  <c r="I52" i="4"/>
  <c r="H113" i="1"/>
  <c r="H20" i="4"/>
  <c r="H105" i="1"/>
  <c r="H12" i="4"/>
  <c r="G54" i="4"/>
  <c r="K44" i="4"/>
  <c r="L12" i="6"/>
  <c r="K70" i="6" s="1"/>
  <c r="S66" i="4"/>
  <c r="T24" i="6"/>
  <c r="R82" i="6" s="1"/>
  <c r="K15" i="6"/>
  <c r="K73" i="6" s="1"/>
  <c r="J48" i="4"/>
  <c r="T39" i="6"/>
  <c r="R97" i="6" s="1"/>
  <c r="U65" i="4"/>
  <c r="E4" i="6"/>
  <c r="K6" i="6"/>
  <c r="S132" i="2"/>
  <c r="T30" i="6" s="1"/>
  <c r="R88" i="6" s="1"/>
  <c r="J39" i="6"/>
  <c r="J97" i="6" s="1"/>
  <c r="I72" i="4"/>
  <c r="I53" i="4"/>
  <c r="J22" i="6"/>
  <c r="J80" i="6" s="1"/>
  <c r="F43" i="6"/>
  <c r="F101" i="6" s="1"/>
  <c r="E74" i="4"/>
  <c r="F28" i="6"/>
  <c r="F86" i="6" s="1"/>
  <c r="E67" i="4"/>
  <c r="G78" i="4"/>
  <c r="H47" i="6"/>
  <c r="H105" i="6" s="1"/>
  <c r="K40" i="4"/>
  <c r="L8" i="6"/>
  <c r="K66" i="6" s="1"/>
  <c r="AA68" i="4"/>
  <c r="AB32" i="6"/>
  <c r="Z90" i="6" s="1"/>
  <c r="S105" i="1"/>
  <c r="U12" i="4"/>
  <c r="H102" i="1"/>
  <c r="H9" i="4"/>
  <c r="D70" i="4"/>
  <c r="N32" i="6"/>
  <c r="L90" i="6" s="1"/>
  <c r="M68" i="4"/>
  <c r="H106" i="1"/>
  <c r="H13" i="4"/>
  <c r="U113" i="1"/>
  <c r="W20" i="4"/>
  <c r="S53" i="4"/>
  <c r="S69" i="4"/>
  <c r="T33" i="6"/>
  <c r="R91" i="6" s="1"/>
  <c r="W13" i="4"/>
  <c r="AA62" i="4"/>
  <c r="X21" i="4"/>
  <c r="U86" i="2"/>
  <c r="U125" i="2"/>
  <c r="W35" i="6"/>
  <c r="U93" i="6" s="1"/>
  <c r="T44" i="6"/>
  <c r="R102" i="6" s="1"/>
  <c r="S75" i="4"/>
  <c r="H38" i="6"/>
  <c r="H96" i="6" s="1"/>
  <c r="F6" i="6"/>
  <c r="F64" i="6" s="1"/>
  <c r="G53" i="4"/>
  <c r="H22" i="6"/>
  <c r="H80" i="6" s="1"/>
  <c r="K78" i="4"/>
  <c r="L47" i="6"/>
  <c r="K69" i="4"/>
  <c r="L33" i="6"/>
  <c r="K91" i="6" s="1"/>
  <c r="F48" i="4"/>
  <c r="G15" i="6"/>
  <c r="G73" i="6" s="1"/>
  <c r="X89" i="1"/>
  <c r="V121" i="1" s="1"/>
  <c r="V59" i="1"/>
  <c r="V89" i="1" s="1"/>
  <c r="N77" i="4"/>
  <c r="O46" i="6"/>
  <c r="M104" i="6" s="1"/>
  <c r="D72" i="4"/>
  <c r="M113" i="1"/>
  <c r="O20" i="4"/>
  <c r="K46" i="6"/>
  <c r="J77" i="4"/>
  <c r="L66" i="4"/>
  <c r="M24" i="6"/>
  <c r="K31" i="6"/>
  <c r="J60" i="4"/>
  <c r="Y24" i="6"/>
  <c r="W82" i="6" s="1"/>
  <c r="Y18" i="6"/>
  <c r="W76" i="6" s="1"/>
  <c r="X51" i="4"/>
  <c r="M103" i="2"/>
  <c r="G43" i="1"/>
  <c r="G74" i="1" s="1"/>
  <c r="Q37" i="1"/>
  <c r="Q68" i="1" s="1"/>
  <c r="O100" i="1" s="1"/>
  <c r="D42" i="4"/>
  <c r="E10" i="6"/>
  <c r="W27" i="6"/>
  <c r="U85" i="6" s="1"/>
  <c r="R27" i="6"/>
  <c r="P85" i="6" s="1"/>
  <c r="V45" i="4"/>
  <c r="E33" i="4"/>
  <c r="F2" i="6"/>
  <c r="F60" i="6" s="1"/>
  <c r="L32" i="6"/>
  <c r="K90" i="6" s="1"/>
  <c r="R85" i="2"/>
  <c r="R137" i="2" s="1"/>
  <c r="R62" i="4" s="1"/>
  <c r="N19" i="6"/>
  <c r="L77" i="6" s="1"/>
  <c r="M64" i="4"/>
  <c r="Q41" i="1"/>
  <c r="Q72" i="1" s="1"/>
  <c r="O104" i="1" s="1"/>
  <c r="U17" i="4"/>
  <c r="S110" i="1"/>
  <c r="K47" i="6"/>
  <c r="J39" i="4"/>
  <c r="L75" i="4"/>
  <c r="E9" i="4"/>
  <c r="S11" i="4"/>
  <c r="T110" i="2"/>
  <c r="U4" i="6" s="1"/>
  <c r="S62" i="6" s="1"/>
  <c r="N37" i="4"/>
  <c r="O5" i="6"/>
  <c r="M63" i="6" s="1"/>
  <c r="V69" i="4"/>
  <c r="W33" i="6"/>
  <c r="U91" i="6" s="1"/>
  <c r="S111" i="2"/>
  <c r="R111" i="2" s="1"/>
  <c r="R59" i="2"/>
  <c r="O10" i="6"/>
  <c r="M68" i="6" s="1"/>
  <c r="T4" i="6"/>
  <c r="R62" i="6" s="1"/>
  <c r="X56" i="4"/>
  <c r="R119" i="2"/>
  <c r="R44" i="4" s="1"/>
  <c r="D74" i="4"/>
  <c r="X57" i="4"/>
  <c r="Y30" i="6"/>
  <c r="W88" i="6" s="1"/>
  <c r="U10" i="6"/>
  <c r="S68" i="6" s="1"/>
  <c r="T42" i="4"/>
  <c r="L2" i="6"/>
  <c r="K33" i="4"/>
  <c r="O21" i="6"/>
  <c r="M79" i="6" s="1"/>
  <c r="O34" i="6"/>
  <c r="M92" i="6" s="1"/>
  <c r="U44" i="6"/>
  <c r="S102" i="6" s="1"/>
  <c r="T62" i="4"/>
  <c r="M74" i="4"/>
  <c r="F21" i="6"/>
  <c r="F79" i="6" s="1"/>
  <c r="H29" i="6"/>
  <c r="H87" i="6" s="1"/>
  <c r="R113" i="1"/>
  <c r="T20" i="4"/>
  <c r="M30" i="6"/>
  <c r="AA55" i="4"/>
  <c r="O23" i="4"/>
  <c r="X74" i="4"/>
  <c r="Y43" i="6"/>
  <c r="W101" i="6" s="1"/>
  <c r="E78" i="4"/>
  <c r="F47" i="6"/>
  <c r="F105" i="6" s="1"/>
  <c r="M78" i="4"/>
  <c r="N47" i="6"/>
  <c r="L105" i="6" s="1"/>
  <c r="M61" i="4"/>
  <c r="N26" i="6"/>
  <c r="L84" i="6" s="1"/>
  <c r="L61" i="4"/>
  <c r="M26" i="6"/>
  <c r="W104" i="1"/>
  <c r="Y11" i="4"/>
  <c r="U36" i="4"/>
  <c r="V23" i="6"/>
  <c r="T81" i="6" s="1"/>
  <c r="T45" i="6"/>
  <c r="R103" i="6" s="1"/>
  <c r="S76" i="4"/>
  <c r="M34" i="4"/>
  <c r="N3" i="6"/>
  <c r="L61" i="6" s="1"/>
  <c r="R34" i="1"/>
  <c r="K83" i="6"/>
  <c r="G66" i="2"/>
  <c r="L48" i="4"/>
  <c r="M15" i="6"/>
  <c r="M70" i="4"/>
  <c r="N36" i="6"/>
  <c r="L94" i="6" s="1"/>
  <c r="X101" i="1"/>
  <c r="E36" i="4"/>
  <c r="F23" i="6"/>
  <c r="F81" i="6" s="1"/>
  <c r="C34" i="1"/>
  <c r="C65" i="1" s="1"/>
  <c r="G70" i="4"/>
  <c r="H36" i="6"/>
  <c r="H94" i="6" s="1"/>
  <c r="N67" i="4"/>
  <c r="V68" i="4"/>
  <c r="F68" i="4"/>
  <c r="G32" i="6"/>
  <c r="G90" i="6" s="1"/>
  <c r="G125" i="2"/>
  <c r="G86" i="2"/>
  <c r="K109" i="2"/>
  <c r="T76" i="4"/>
  <c r="U45" i="6"/>
  <c r="S103" i="6" s="1"/>
  <c r="Q111" i="1"/>
  <c r="S18" i="4"/>
  <c r="V105" i="1"/>
  <c r="X12" i="4"/>
  <c r="X69" i="1"/>
  <c r="V38" i="1"/>
  <c r="V69" i="1" s="1"/>
  <c r="T101" i="1" s="1"/>
  <c r="G40" i="1"/>
  <c r="E106" i="6"/>
  <c r="E103" i="6"/>
  <c r="D76" i="4"/>
  <c r="AA52" i="4"/>
  <c r="AB21" i="6"/>
  <c r="Z79" i="6" s="1"/>
  <c r="I73" i="4"/>
  <c r="J42" i="6"/>
  <c r="I34" i="4"/>
  <c r="J3" i="6"/>
  <c r="J61" i="6" s="1"/>
  <c r="Y31" i="6"/>
  <c r="W89" i="6" s="1"/>
  <c r="X60" i="4"/>
  <c r="Y2" i="6"/>
  <c r="W60" i="6" s="1"/>
  <c r="X118" i="2"/>
  <c r="X43" i="4" s="1"/>
  <c r="X33" i="4"/>
  <c r="X44" i="4"/>
  <c r="Y12" i="6"/>
  <c r="W70" i="6" s="1"/>
  <c r="N62" i="4"/>
  <c r="O40" i="6"/>
  <c r="M98" i="6" s="1"/>
  <c r="F35" i="4"/>
  <c r="G4" i="6"/>
  <c r="G62" i="6" s="1"/>
  <c r="F118" i="2"/>
  <c r="F43" i="4" s="1"/>
  <c r="M72" i="4"/>
  <c r="N39" i="6"/>
  <c r="L97" i="6" s="1"/>
  <c r="D39" i="4"/>
  <c r="E7" i="6"/>
  <c r="E65" i="6" s="1"/>
  <c r="N66" i="1"/>
  <c r="G35" i="1"/>
  <c r="G66" i="1" s="1"/>
  <c r="L10" i="6"/>
  <c r="K42" i="4"/>
  <c r="W38" i="6"/>
  <c r="U96" i="6" s="1"/>
  <c r="K113" i="1"/>
  <c r="M20" i="4"/>
  <c r="E113" i="1"/>
  <c r="E20" i="4"/>
  <c r="W15" i="6"/>
  <c r="U73" i="6" s="1"/>
  <c r="I57" i="4"/>
  <c r="J33" i="6"/>
  <c r="J91" i="6" s="1"/>
  <c r="G47" i="4"/>
  <c r="U17" i="6"/>
  <c r="S75" i="6" s="1"/>
  <c r="J155" i="2"/>
  <c r="J80" i="4" s="1"/>
  <c r="D102" i="1"/>
  <c r="D9" i="4"/>
  <c r="AB46" i="6"/>
  <c r="Z104" i="6" s="1"/>
  <c r="L72" i="4"/>
  <c r="K28" i="6"/>
  <c r="N47" i="4"/>
  <c r="O37" i="6"/>
  <c r="M95" i="6" s="1"/>
  <c r="O22" i="6"/>
  <c r="M80" i="6" s="1"/>
  <c r="N53" i="4"/>
  <c r="W43" i="6"/>
  <c r="U101" i="6" s="1"/>
  <c r="V74" i="4"/>
  <c r="F74" i="4"/>
  <c r="G43" i="6"/>
  <c r="G101" i="6" s="1"/>
  <c r="S143" i="2"/>
  <c r="R91" i="2"/>
  <c r="R143" i="2" s="1"/>
  <c r="S145" i="2"/>
  <c r="E51" i="4"/>
  <c r="H23" i="6"/>
  <c r="H81" i="6" s="1"/>
  <c r="G36" i="4"/>
  <c r="M110" i="2"/>
  <c r="M66" i="2"/>
  <c r="C116" i="1"/>
  <c r="C23" i="4"/>
  <c r="N121" i="1"/>
  <c r="P28" i="4"/>
  <c r="Q54" i="4"/>
  <c r="L77" i="4"/>
  <c r="G45" i="6"/>
  <c r="G103" i="6" s="1"/>
  <c r="N78" i="4"/>
  <c r="X64" i="4"/>
  <c r="R105" i="1"/>
  <c r="T12" i="4"/>
  <c r="L104" i="1"/>
  <c r="N11" i="4"/>
  <c r="L138" i="2"/>
  <c r="L63" i="4" s="1"/>
  <c r="M18" i="6"/>
  <c r="C5" i="4"/>
  <c r="N34" i="1"/>
  <c r="J75" i="4"/>
  <c r="K44" i="6"/>
  <c r="Y13" i="6"/>
  <c r="W71" i="6" s="1"/>
  <c r="L155" i="2"/>
  <c r="L80" i="4" s="1"/>
  <c r="AA38" i="4"/>
  <c r="J2" i="6"/>
  <c r="J60" i="6" s="1"/>
  <c r="S77" i="4"/>
  <c r="S140" i="2"/>
  <c r="R88" i="2"/>
  <c r="R140" i="2" s="1"/>
  <c r="S20" i="6" s="1"/>
  <c r="Q78" i="6" s="1"/>
  <c r="Y40" i="6"/>
  <c r="W98" i="6" s="1"/>
  <c r="X62" i="4"/>
  <c r="G74" i="4"/>
  <c r="H43" i="6"/>
  <c r="H101" i="6" s="1"/>
  <c r="N39" i="4"/>
  <c r="O43" i="6"/>
  <c r="O138" i="6" s="1"/>
  <c r="I70" i="4"/>
  <c r="S48" i="4"/>
  <c r="T7" i="6"/>
  <c r="R65" i="6" s="1"/>
  <c r="J44" i="6"/>
  <c r="J102" i="6" s="1"/>
  <c r="Y22" i="6"/>
  <c r="W80" i="6" s="1"/>
  <c r="I37" i="4"/>
  <c r="K101" i="6"/>
  <c r="R96" i="2"/>
  <c r="R148" i="2" s="1"/>
  <c r="R73" i="4" s="1"/>
  <c r="U148" i="2"/>
  <c r="V42" i="6" s="1"/>
  <c r="T100" i="6" s="1"/>
  <c r="U52" i="4"/>
  <c r="V21" i="6"/>
  <c r="T79" i="6" s="1"/>
  <c r="S108" i="2"/>
  <c r="S33" i="4" s="1"/>
  <c r="S66" i="2"/>
  <c r="X103" i="2"/>
  <c r="L21" i="4"/>
  <c r="J114" i="1"/>
  <c r="C21" i="4"/>
  <c r="C114" i="1"/>
  <c r="F105" i="1"/>
  <c r="F12" i="4"/>
  <c r="Q44" i="4"/>
  <c r="R12" i="6"/>
  <c r="P70" i="6" s="1"/>
  <c r="D34" i="1"/>
  <c r="D65" i="1" s="1"/>
  <c r="AA69" i="4"/>
  <c r="AB33" i="6"/>
  <c r="Z91" i="6" s="1"/>
  <c r="K34" i="6"/>
  <c r="J58" i="4"/>
  <c r="U84" i="1"/>
  <c r="Q53" i="1"/>
  <c r="Q84" i="1" s="1"/>
  <c r="S52" i="4"/>
  <c r="L19" i="6"/>
  <c r="K64" i="4"/>
  <c r="R104" i="1"/>
  <c r="T11" i="4"/>
  <c r="M19" i="6"/>
  <c r="X39" i="4"/>
  <c r="Y7" i="6"/>
  <c r="W65" i="6" s="1"/>
  <c r="I141" i="2"/>
  <c r="W6" i="6"/>
  <c r="U64" i="6" s="1"/>
  <c r="V58" i="4"/>
  <c r="W30" i="6"/>
  <c r="U88" i="6" s="1"/>
  <c r="W29" i="6"/>
  <c r="U87" i="6" s="1"/>
  <c r="Y38" i="6"/>
  <c r="W96" i="6" s="1"/>
  <c r="X47" i="4"/>
  <c r="X75" i="4"/>
  <c r="J25" i="6"/>
  <c r="J83" i="6" s="1"/>
  <c r="S5" i="4"/>
  <c r="N7" i="6"/>
  <c r="L65" i="6" s="1"/>
  <c r="Z80" i="6"/>
  <c r="V150" i="2"/>
  <c r="V103" i="2"/>
  <c r="X42" i="4"/>
  <c r="R10" i="6"/>
  <c r="P68" i="6" s="1"/>
  <c r="V38" i="4"/>
  <c r="W4" i="6"/>
  <c r="U62" i="6" s="1"/>
  <c r="O32" i="6"/>
  <c r="M90" i="6" s="1"/>
  <c r="T43" i="6"/>
  <c r="R101" i="6" s="1"/>
  <c r="X78" i="4"/>
  <c r="J28" i="6"/>
  <c r="J86" i="6" s="1"/>
  <c r="Y23" i="6"/>
  <c r="W81" i="6" s="1"/>
  <c r="Y28" i="6"/>
  <c r="W86" i="6" s="1"/>
  <c r="G33" i="4"/>
  <c r="L51" i="4"/>
  <c r="E85" i="6"/>
  <c r="AB2" i="6"/>
  <c r="H8" i="4"/>
  <c r="E73" i="4"/>
  <c r="F42" i="6"/>
  <c r="F100" i="6" s="1"/>
  <c r="Q51" i="1"/>
  <c r="Q82" i="1" s="1"/>
  <c r="AB31" i="6"/>
  <c r="Z89" i="6" s="1"/>
  <c r="L55" i="4"/>
  <c r="J52" i="4"/>
  <c r="Y28" i="4"/>
  <c r="I116" i="1"/>
  <c r="Z20" i="4"/>
  <c r="N54" i="4"/>
  <c r="O25" i="6"/>
  <c r="M83" i="6" s="1"/>
  <c r="V122" i="2"/>
  <c r="R70" i="2"/>
  <c r="R122" i="2" s="1"/>
  <c r="F56" i="4"/>
  <c r="F67" i="4"/>
  <c r="G28" i="6"/>
  <c r="G86" i="6" s="1"/>
  <c r="U77" i="4"/>
  <c r="V46" i="6"/>
  <c r="T104" i="6" s="1"/>
  <c r="U39" i="4"/>
  <c r="V7" i="6"/>
  <c r="T65" i="6" s="1"/>
  <c r="K77" i="4"/>
  <c r="L46" i="6"/>
  <c r="T64" i="4"/>
  <c r="U19" i="6"/>
  <c r="S77" i="6" s="1"/>
  <c r="S67" i="4"/>
  <c r="T28" i="6"/>
  <c r="R86" i="6" s="1"/>
  <c r="X110" i="1"/>
  <c r="Z17" i="4"/>
  <c r="G53" i="1"/>
  <c r="G84" i="1" s="1"/>
  <c r="Y18" i="4"/>
  <c r="J121" i="1"/>
  <c r="L28" i="4"/>
  <c r="W31" i="6"/>
  <c r="U89" i="6" s="1"/>
  <c r="T25" i="6"/>
  <c r="R83" i="6" s="1"/>
  <c r="F33" i="4"/>
  <c r="G2" i="6"/>
  <c r="G60" i="6" s="1"/>
  <c r="G19" i="6"/>
  <c r="G77" i="6" s="1"/>
  <c r="K48" i="4"/>
  <c r="I36" i="4"/>
  <c r="R102" i="2"/>
  <c r="R154" i="2" s="1"/>
  <c r="R79" i="4" s="1"/>
  <c r="R98" i="2"/>
  <c r="R150" i="2" s="1"/>
  <c r="R75" i="4" s="1"/>
  <c r="H47" i="4"/>
  <c r="I37" i="6"/>
  <c r="I95" i="6" s="1"/>
  <c r="AA138" i="2"/>
  <c r="AA63" i="4" s="1"/>
  <c r="U110" i="1"/>
  <c r="Q50" i="1"/>
  <c r="Q81" i="1" s="1"/>
  <c r="R21" i="4"/>
  <c r="W28" i="6"/>
  <c r="U86" i="6" s="1"/>
  <c r="V67" i="4"/>
  <c r="W24" i="6"/>
  <c r="U82" i="6" s="1"/>
  <c r="V66" i="4"/>
  <c r="E44" i="4"/>
  <c r="F12" i="6"/>
  <c r="F70" i="6" s="1"/>
  <c r="T70" i="4"/>
  <c r="U36" i="6"/>
  <c r="S94" i="6" s="1"/>
  <c r="T129" i="2"/>
  <c r="R77" i="2"/>
  <c r="R129" i="2" s="1"/>
  <c r="S69" i="1"/>
  <c r="Q38" i="1"/>
  <c r="Q69" i="1" s="1"/>
  <c r="T66" i="1"/>
  <c r="T34" i="1"/>
  <c r="Q35" i="1"/>
  <c r="Q66" i="1" s="1"/>
  <c r="F100" i="1"/>
  <c r="F7" i="4"/>
  <c r="J55" i="4"/>
  <c r="K27" i="6"/>
  <c r="K85" i="6" s="1"/>
  <c r="U99" i="1"/>
  <c r="W6" i="4"/>
  <c r="M105" i="1"/>
  <c r="O12" i="4"/>
  <c r="D98" i="1"/>
  <c r="D5" i="4"/>
  <c r="AA79" i="4"/>
  <c r="AB44" i="6"/>
  <c r="Z102" i="6" s="1"/>
  <c r="W40" i="6"/>
  <c r="U98" i="6" s="1"/>
  <c r="V62" i="4"/>
  <c r="U69" i="4"/>
  <c r="V33" i="6"/>
  <c r="T91" i="6" s="1"/>
  <c r="X105" i="1"/>
  <c r="Z12" i="4"/>
  <c r="Z66" i="1"/>
  <c r="C98" i="1" s="1"/>
  <c r="Z34" i="1"/>
  <c r="D58" i="4"/>
  <c r="X11" i="4"/>
  <c r="V104" i="1"/>
  <c r="G48" i="4"/>
  <c r="H15" i="6"/>
  <c r="H73" i="6" s="1"/>
  <c r="S89" i="1"/>
  <c r="Q59" i="1"/>
  <c r="Q89" i="1" s="1"/>
  <c r="W114" i="1"/>
  <c r="Y21" i="4"/>
  <c r="H26" i="6"/>
  <c r="H84" i="6" s="1"/>
  <c r="G61" i="4"/>
  <c r="L7" i="6"/>
  <c r="K65" i="6" s="1"/>
  <c r="K39" i="4"/>
  <c r="T67" i="4"/>
  <c r="U28" i="6"/>
  <c r="S86" i="6" s="1"/>
  <c r="U121" i="1"/>
  <c r="W28" i="4"/>
  <c r="U21" i="4"/>
  <c r="S114" i="1"/>
  <c r="U102" i="1"/>
  <c r="W9" i="4"/>
  <c r="T128" i="2"/>
  <c r="R79" i="1"/>
  <c r="Q48" i="1"/>
  <c r="Q79" i="1" s="1"/>
  <c r="J106" i="1"/>
  <c r="L13" i="4"/>
  <c r="H34" i="1"/>
  <c r="H65" i="1" s="1"/>
  <c r="Y45" i="6"/>
  <c r="W103" i="6" s="1"/>
  <c r="X76" i="4"/>
  <c r="N27" i="6"/>
  <c r="L85" i="6" s="1"/>
  <c r="V86" i="2"/>
  <c r="F54" i="4"/>
  <c r="G25" i="6"/>
  <c r="G83" i="6" s="1"/>
  <c r="E55" i="4"/>
  <c r="F27" i="6"/>
  <c r="F85" i="6" s="1"/>
  <c r="G58" i="4"/>
  <c r="H34" i="6"/>
  <c r="H92" i="6" s="1"/>
  <c r="F114" i="1"/>
  <c r="F21" i="4"/>
  <c r="J81" i="1"/>
  <c r="G50" i="1"/>
  <c r="G81" i="1" s="1"/>
  <c r="R100" i="1"/>
  <c r="T7" i="4"/>
  <c r="U101" i="1"/>
  <c r="W8" i="4"/>
  <c r="G36" i="6"/>
  <c r="G94" i="6" s="1"/>
  <c r="G18" i="6"/>
  <c r="G76" i="6" s="1"/>
  <c r="N9" i="4"/>
  <c r="M114" i="1"/>
  <c r="O21" i="4"/>
  <c r="O18" i="4"/>
  <c r="K34" i="1"/>
  <c r="K65" i="1" s="1"/>
  <c r="K4" i="4" s="1"/>
  <c r="K67" i="1"/>
  <c r="K6" i="4" s="1"/>
  <c r="N106" i="1"/>
  <c r="P13" i="4"/>
  <c r="R90" i="2"/>
  <c r="R142" i="2" s="1"/>
  <c r="N110" i="1"/>
  <c r="P17" i="4"/>
  <c r="X66" i="1"/>
  <c r="X34" i="1"/>
  <c r="X33" i="1" s="1"/>
  <c r="J102" i="1"/>
  <c r="L9" i="4"/>
  <c r="K106" i="6"/>
  <c r="F66" i="2"/>
  <c r="I121" i="1"/>
  <c r="Y16" i="4"/>
  <c r="I59" i="4"/>
  <c r="J35" i="6"/>
  <c r="J93" i="6" s="1"/>
  <c r="X34" i="4"/>
  <c r="Y3" i="6"/>
  <c r="H41" i="4"/>
  <c r="R118" i="1"/>
  <c r="T25" i="4"/>
  <c r="G118" i="1"/>
  <c r="G25" i="4"/>
  <c r="W79" i="1"/>
  <c r="V48" i="1"/>
  <c r="N111" i="1"/>
  <c r="P18" i="4"/>
  <c r="H10" i="6"/>
  <c r="G118" i="2"/>
  <c r="G43" i="4" s="1"/>
  <c r="G42" i="4"/>
  <c r="E76" i="4"/>
  <c r="F45" i="6"/>
  <c r="F103" i="6" s="1"/>
  <c r="R116" i="2"/>
  <c r="V41" i="4"/>
  <c r="M46" i="1"/>
  <c r="M77" i="1" s="1"/>
  <c r="E118" i="1"/>
  <c r="E25" i="4"/>
  <c r="M121" i="1"/>
  <c r="O28" i="4"/>
  <c r="G59" i="1"/>
  <c r="G89" i="1" s="1"/>
  <c r="V116" i="1"/>
  <c r="X23" i="4"/>
  <c r="J69" i="1"/>
  <c r="G38" i="1"/>
  <c r="G69" i="1" s="1"/>
  <c r="J99" i="1"/>
  <c r="L6" i="4"/>
  <c r="F106" i="1"/>
  <c r="F13" i="4"/>
  <c r="G67" i="6"/>
  <c r="G31" i="6"/>
  <c r="G89" i="6" s="1"/>
  <c r="W2" i="6"/>
  <c r="V10" i="6"/>
  <c r="T68" i="6" s="1"/>
  <c r="U42" i="4"/>
  <c r="Y35" i="6"/>
  <c r="W93" i="6" s="1"/>
  <c r="V42" i="4"/>
  <c r="W10" i="6"/>
  <c r="U68" i="6" s="1"/>
  <c r="N13" i="6"/>
  <c r="L71" i="6" s="1"/>
  <c r="N36" i="4"/>
  <c r="O23" i="6"/>
  <c r="M81" i="6" s="1"/>
  <c r="S61" i="4"/>
  <c r="T26" i="6"/>
  <c r="R84" i="6" s="1"/>
  <c r="N116" i="1"/>
  <c r="P23" i="4"/>
  <c r="K70" i="1"/>
  <c r="G39" i="1"/>
  <c r="G70" i="1" s="1"/>
  <c r="N75" i="4"/>
  <c r="O44" i="6"/>
  <c r="M102" i="6" s="1"/>
  <c r="M73" i="4"/>
  <c r="N42" i="6"/>
  <c r="U35" i="4"/>
  <c r="V4" i="6"/>
  <c r="T62" i="6" s="1"/>
  <c r="N66" i="2"/>
  <c r="N108" i="2"/>
  <c r="S42" i="4"/>
  <c r="T10" i="6"/>
  <c r="R68" i="6" s="1"/>
  <c r="V39" i="4"/>
  <c r="W7" i="6"/>
  <c r="U65" i="6" s="1"/>
  <c r="Z88" i="6"/>
  <c r="C106" i="1"/>
  <c r="C13" i="4"/>
  <c r="L41" i="1"/>
  <c r="L72" i="1" s="1"/>
  <c r="N69" i="2"/>
  <c r="W46" i="1"/>
  <c r="R46" i="1"/>
  <c r="T46" i="1"/>
  <c r="T77" i="1" s="1"/>
  <c r="E69" i="2"/>
  <c r="V69" i="2"/>
  <c r="X46" i="1"/>
  <c r="X77" i="1" s="1"/>
  <c r="L46" i="1"/>
  <c r="L77" i="1" s="1"/>
  <c r="Z46" i="1"/>
  <c r="Z77" i="1" s="1"/>
  <c r="I69" i="2"/>
  <c r="I46" i="1"/>
  <c r="E46" i="1"/>
  <c r="E77" i="1" s="1"/>
  <c r="H46" i="1"/>
  <c r="H77" i="1" s="1"/>
  <c r="F69" i="2"/>
  <c r="F46" i="1"/>
  <c r="F77" i="1" s="1"/>
  <c r="J78" i="1"/>
  <c r="G47" i="1"/>
  <c r="G78" i="1" s="1"/>
  <c r="K82" i="1"/>
  <c r="G51" i="1"/>
  <c r="G82" i="1" s="1"/>
  <c r="D135" i="2"/>
  <c r="E31" i="6" s="1"/>
  <c r="D86" i="2"/>
  <c r="V64" i="4"/>
  <c r="O33" i="6"/>
  <c r="M91" i="6" s="1"/>
  <c r="N69" i="4"/>
  <c r="N10" i="6"/>
  <c r="L68" i="6" s="1"/>
  <c r="X73" i="4"/>
  <c r="Y42" i="6"/>
  <c r="R99" i="1"/>
  <c r="T6" i="4"/>
  <c r="N139" i="2"/>
  <c r="N103" i="2"/>
  <c r="E34" i="1"/>
  <c r="E65" i="1" s="1"/>
  <c r="E272" i="3"/>
  <c r="C41" i="1"/>
  <c r="C72" i="1" s="1"/>
  <c r="O72" i="1"/>
  <c r="E96" i="3"/>
  <c r="E95" i="3" s="1"/>
  <c r="C95" i="3"/>
  <c r="J45" i="1"/>
  <c r="C309" i="3"/>
  <c r="C320" i="3"/>
  <c r="E333" i="3"/>
  <c r="E320" i="3" s="1"/>
  <c r="X74" i="1"/>
  <c r="V43" i="1"/>
  <c r="U98" i="1"/>
  <c r="W5" i="4"/>
  <c r="W45" i="1"/>
  <c r="T45" i="1"/>
  <c r="O45" i="1"/>
  <c r="L45" i="1"/>
  <c r="S45" i="1"/>
  <c r="Y45" i="1"/>
  <c r="X45" i="1"/>
  <c r="N45" i="1"/>
  <c r="M45" i="1"/>
  <c r="R45" i="1"/>
  <c r="E45" i="1"/>
  <c r="E76" i="1" s="1"/>
  <c r="P45" i="1"/>
  <c r="Z45" i="1"/>
  <c r="U45" i="1"/>
  <c r="I45" i="1"/>
  <c r="I76" i="1" s="1"/>
  <c r="D45" i="1"/>
  <c r="D76" i="1" s="1"/>
  <c r="E205" i="3"/>
  <c r="E73" i="2" s="1"/>
  <c r="J73" i="2"/>
  <c r="D152" i="2"/>
  <c r="D103" i="2"/>
  <c r="E105" i="6"/>
  <c r="D78" i="4"/>
  <c r="P98" i="1"/>
  <c r="R5" i="4"/>
  <c r="M10" i="6"/>
  <c r="L42" i="4"/>
  <c r="L118" i="2"/>
  <c r="L43" i="4" s="1"/>
  <c r="R75" i="2"/>
  <c r="V127" i="2"/>
  <c r="E374" i="3"/>
  <c r="F41" i="1"/>
  <c r="F72" i="1" s="1"/>
  <c r="AB13" i="6"/>
  <c r="AA45" i="4"/>
  <c r="Y57" i="2"/>
  <c r="Y71" i="2"/>
  <c r="Y59" i="2"/>
  <c r="Y78" i="2"/>
  <c r="Y79" i="2"/>
  <c r="Y74" i="2"/>
  <c r="Y61" i="2"/>
  <c r="Y84" i="2"/>
  <c r="Y83" i="2"/>
  <c r="Y94" i="2"/>
  <c r="Y58" i="2"/>
  <c r="Y56" i="2"/>
  <c r="Y73" i="2"/>
  <c r="Y91" i="2"/>
  <c r="Y97" i="2"/>
  <c r="Y149" i="2" s="1"/>
  <c r="Y67" i="2"/>
  <c r="Y62" i="2"/>
  <c r="Y60" i="2"/>
  <c r="Y81" i="2"/>
  <c r="Y133" i="2" s="1"/>
  <c r="Y87" i="2"/>
  <c r="Y95" i="2"/>
  <c r="Y92" i="2"/>
  <c r="Y75" i="2"/>
  <c r="Y127" i="2" s="1"/>
  <c r="Y64" i="2"/>
  <c r="Y96" i="2"/>
  <c r="Y76" i="2"/>
  <c r="Y90" i="2"/>
  <c r="Y93" i="2"/>
  <c r="Y77" i="2"/>
  <c r="Y100" i="2"/>
  <c r="Y80" i="2"/>
  <c r="Y65" i="2"/>
  <c r="Y102" i="2"/>
  <c r="Y63" i="2"/>
  <c r="Y115" i="2" s="1"/>
  <c r="Y98" i="2"/>
  <c r="Y70" i="2"/>
  <c r="Y88" i="2"/>
  <c r="Y140" i="2" s="1"/>
  <c r="Y68" i="2"/>
  <c r="Y82" i="2"/>
  <c r="Y99" i="2"/>
  <c r="Y69" i="2"/>
  <c r="Y121" i="2" s="1"/>
  <c r="Y85" i="2"/>
  <c r="Y89" i="2"/>
  <c r="Y101" i="2"/>
  <c r="P68" i="2"/>
  <c r="P120" i="2" s="1"/>
  <c r="P87" i="2"/>
  <c r="P97" i="2"/>
  <c r="P67" i="2"/>
  <c r="P61" i="2"/>
  <c r="P113" i="2" s="1"/>
  <c r="P59" i="2"/>
  <c r="P111" i="2" s="1"/>
  <c r="P80" i="2"/>
  <c r="P132" i="2" s="1"/>
  <c r="P81" i="2"/>
  <c r="P133" i="2" s="1"/>
  <c r="P78" i="2"/>
  <c r="P130" i="2" s="1"/>
  <c r="P85" i="2"/>
  <c r="P137" i="2" s="1"/>
  <c r="P101" i="2"/>
  <c r="P153" i="2" s="1"/>
  <c r="P74" i="2"/>
  <c r="P126" i="2" s="1"/>
  <c r="P64" i="2"/>
  <c r="P116" i="2" s="1"/>
  <c r="P84" i="2"/>
  <c r="P136" i="2" s="1"/>
  <c r="P99" i="2"/>
  <c r="P151" i="2" s="1"/>
  <c r="P56" i="2"/>
  <c r="P91" i="2"/>
  <c r="P143" i="2" s="1"/>
  <c r="P62" i="2"/>
  <c r="P114" i="2" s="1"/>
  <c r="P94" i="2"/>
  <c r="P146" i="2" s="1"/>
  <c r="P95" i="2"/>
  <c r="P147" i="2" s="1"/>
  <c r="P96" i="2"/>
  <c r="P148" i="2" s="1"/>
  <c r="P71" i="2"/>
  <c r="P123" i="2" s="1"/>
  <c r="P76" i="2"/>
  <c r="P128" i="2" s="1"/>
  <c r="P82" i="2"/>
  <c r="P134" i="2" s="1"/>
  <c r="P98" i="2"/>
  <c r="P150" i="2" s="1"/>
  <c r="P75" i="4" s="1"/>
  <c r="P102" i="2"/>
  <c r="P154" i="2" s="1"/>
  <c r="P60" i="2"/>
  <c r="P112" i="2" s="1"/>
  <c r="P70" i="2"/>
  <c r="P122" i="2" s="1"/>
  <c r="P88" i="2"/>
  <c r="P140" i="2" s="1"/>
  <c r="P83" i="2"/>
  <c r="P135" i="2" s="1"/>
  <c r="P57" i="2"/>
  <c r="P109" i="2" s="1"/>
  <c r="P89" i="2"/>
  <c r="P141" i="2" s="1"/>
  <c r="P93" i="2"/>
  <c r="P145" i="2" s="1"/>
  <c r="P77" i="2"/>
  <c r="P129" i="2" s="1"/>
  <c r="P79" i="2"/>
  <c r="P131" i="2" s="1"/>
  <c r="P100" i="2"/>
  <c r="P152" i="2" s="1"/>
  <c r="P65" i="2"/>
  <c r="P117" i="2" s="1"/>
  <c r="P58" i="2"/>
  <c r="P110" i="2" s="1"/>
  <c r="P90" i="2"/>
  <c r="P142" i="2" s="1"/>
  <c r="P73" i="2"/>
  <c r="P92" i="2"/>
  <c r="P144" i="2" s="1"/>
  <c r="P75" i="2"/>
  <c r="P127" i="2" s="1"/>
  <c r="P69" i="2"/>
  <c r="P121" i="2" s="1"/>
  <c r="P63" i="2"/>
  <c r="P115" i="2" s="1"/>
  <c r="K23" i="6"/>
  <c r="J36" i="4"/>
  <c r="J118" i="2"/>
  <c r="J43" i="4" s="1"/>
  <c r="Z25" i="4"/>
  <c r="X118" i="1"/>
  <c r="C118" i="1"/>
  <c r="N51" i="4"/>
  <c r="H98" i="1"/>
  <c r="H5" i="4"/>
  <c r="R81" i="2"/>
  <c r="S133" i="2"/>
  <c r="F33" i="6"/>
  <c r="F91" i="6" s="1"/>
  <c r="E69" i="4"/>
  <c r="Q137" i="2"/>
  <c r="V34" i="4"/>
  <c r="V118" i="2"/>
  <c r="V43" i="4" s="1"/>
  <c r="K76" i="6"/>
  <c r="X68" i="4"/>
  <c r="Y32" i="6"/>
  <c r="W90" i="6" s="1"/>
  <c r="X138" i="2"/>
  <c r="X63" i="4" s="1"/>
  <c r="X52" i="4"/>
  <c r="J98" i="1"/>
  <c r="L5" i="4"/>
  <c r="V38" i="6"/>
  <c r="T96" i="6" s="1"/>
  <c r="U71" i="4"/>
  <c r="AA118" i="2"/>
  <c r="AA43" i="4" s="1"/>
  <c r="U64" i="4"/>
  <c r="V19" i="6"/>
  <c r="T77" i="6" s="1"/>
  <c r="V113" i="1"/>
  <c r="X20" i="4"/>
  <c r="I61" i="4"/>
  <c r="J26" i="6"/>
  <c r="J84" i="6" s="1"/>
  <c r="R109" i="2"/>
  <c r="Q65" i="4"/>
  <c r="R20" i="6"/>
  <c r="P78" i="6" s="1"/>
  <c r="L68" i="1"/>
  <c r="L34" i="1"/>
  <c r="E169" i="3"/>
  <c r="P46" i="1" s="1"/>
  <c r="C138" i="3"/>
  <c r="G37" i="1"/>
  <c r="G68" i="1" s="1"/>
  <c r="U67" i="4"/>
  <c r="V28" i="6"/>
  <c r="T86" i="6" s="1"/>
  <c r="R60" i="2"/>
  <c r="U112" i="2"/>
  <c r="I100" i="1"/>
  <c r="J7" i="4"/>
  <c r="V66" i="2"/>
  <c r="Q53" i="4"/>
  <c r="R22" i="6"/>
  <c r="P80" i="6" s="1"/>
  <c r="S47" i="4"/>
  <c r="U42" i="6"/>
  <c r="X40" i="4"/>
  <c r="Y8" i="6"/>
  <c r="W66" i="6" s="1"/>
  <c r="J42" i="4"/>
  <c r="K10" i="6"/>
  <c r="F58" i="4"/>
  <c r="G34" i="6"/>
  <c r="G92" i="6" s="1"/>
  <c r="F37" i="4"/>
  <c r="G5" i="6"/>
  <c r="G63" i="6" s="1"/>
  <c r="F40" i="6"/>
  <c r="F98" i="6" s="1"/>
  <c r="E62" i="4"/>
  <c r="F4" i="6"/>
  <c r="E35" i="4"/>
  <c r="R18" i="6"/>
  <c r="P76" i="6" s="1"/>
  <c r="D101" i="1"/>
  <c r="D8" i="4"/>
  <c r="J72" i="1"/>
  <c r="G41" i="1"/>
  <c r="G72" i="1" s="1"/>
  <c r="F66" i="4"/>
  <c r="G24" i="6"/>
  <c r="G82" i="6" s="1"/>
  <c r="F130" i="2"/>
  <c r="F86" i="2"/>
  <c r="F29" i="6"/>
  <c r="F87" i="6" s="1"/>
  <c r="E56" i="4"/>
  <c r="F22" i="6"/>
  <c r="F80" i="6" s="1"/>
  <c r="E53" i="4"/>
  <c r="K67" i="4"/>
  <c r="L28" i="6"/>
  <c r="N146" i="2"/>
  <c r="N86" i="2"/>
  <c r="F44" i="4"/>
  <c r="G12" i="6"/>
  <c r="U103" i="2"/>
  <c r="X86" i="2"/>
  <c r="X66" i="2"/>
  <c r="I86" i="2"/>
  <c r="I126" i="2"/>
  <c r="I130" i="2"/>
  <c r="V36" i="1"/>
  <c r="V67" i="1" s="1"/>
  <c r="X67" i="1"/>
  <c r="N151" i="2"/>
  <c r="N131" i="2"/>
  <c r="N138" i="2" s="1"/>
  <c r="N63" i="4" s="1"/>
  <c r="F53" i="4"/>
  <c r="G22" i="6"/>
  <c r="U53" i="4"/>
  <c r="V22" i="6"/>
  <c r="T80" i="6" s="1"/>
  <c r="E79" i="4"/>
  <c r="F44" i="6"/>
  <c r="F102" i="6" s="1"/>
  <c r="Z70" i="4"/>
  <c r="AA36" i="6"/>
  <c r="Y94" i="6" s="1"/>
  <c r="AA23" i="6"/>
  <c r="Y81" i="6" s="1"/>
  <c r="Z36" i="4"/>
  <c r="U120" i="2"/>
  <c r="R68" i="2"/>
  <c r="G103" i="2"/>
  <c r="G140" i="2"/>
  <c r="C99" i="1"/>
  <c r="C6" i="4"/>
  <c r="M44" i="4"/>
  <c r="N12" i="6"/>
  <c r="F150" i="2"/>
  <c r="F103" i="2"/>
  <c r="R100" i="2"/>
  <c r="T152" i="2"/>
  <c r="T103" i="2"/>
  <c r="V45" i="6"/>
  <c r="T103" i="6" s="1"/>
  <c r="U76" i="4"/>
  <c r="U79" i="4"/>
  <c r="V44" i="6"/>
  <c r="T102" i="6" s="1"/>
  <c r="U66" i="2"/>
  <c r="U108" i="2"/>
  <c r="K141" i="2"/>
  <c r="G64" i="4"/>
  <c r="H19" i="6"/>
  <c r="R92" i="2"/>
  <c r="R144" i="2" s="1"/>
  <c r="X140" i="2"/>
  <c r="K145" i="2"/>
  <c r="K131" i="2"/>
  <c r="L21" i="6"/>
  <c r="K79" i="6" s="1"/>
  <c r="K52" i="4"/>
  <c r="S103" i="2"/>
  <c r="S86" i="2"/>
  <c r="E60" i="4"/>
  <c r="F31" i="6"/>
  <c r="F89" i="6" s="1"/>
  <c r="I110" i="2"/>
  <c r="M142" i="2"/>
  <c r="O69" i="2"/>
  <c r="O121" i="2" s="1"/>
  <c r="N46" i="1"/>
  <c r="N77" i="1" s="1"/>
  <c r="AA69" i="2"/>
  <c r="T69" i="2"/>
  <c r="X69" i="2"/>
  <c r="G69" i="2"/>
  <c r="U69" i="2"/>
  <c r="U121" i="2" s="1"/>
  <c r="K46" i="1"/>
  <c r="K77" i="1" s="1"/>
  <c r="K16" i="4" s="1"/>
  <c r="M69" i="2"/>
  <c r="S46" i="1"/>
  <c r="S77" i="1" s="1"/>
  <c r="U46" i="1"/>
  <c r="U77" i="1" s="1"/>
  <c r="J46" i="1"/>
  <c r="J77" i="1" s="1"/>
  <c r="O46" i="1"/>
  <c r="O77" i="1" s="1"/>
  <c r="S69" i="2"/>
  <c r="G66" i="4"/>
  <c r="H24" i="6"/>
  <c r="H82" i="6" s="1"/>
  <c r="D109" i="2"/>
  <c r="D66" i="2"/>
  <c r="M52" i="4"/>
  <c r="N21" i="6"/>
  <c r="N113" i="1"/>
  <c r="P20" i="4"/>
  <c r="Z56" i="2"/>
  <c r="Z57" i="2"/>
  <c r="Z109" i="2" s="1"/>
  <c r="Z70" i="2"/>
  <c r="Z122" i="2" s="1"/>
  <c r="Z65" i="2"/>
  <c r="Z117" i="2" s="1"/>
  <c r="Z76" i="2"/>
  <c r="Z128" i="2" s="1"/>
  <c r="Z89" i="2"/>
  <c r="Z141" i="2" s="1"/>
  <c r="Z62" i="2"/>
  <c r="Z114" i="2" s="1"/>
  <c r="Z78" i="2"/>
  <c r="Z130" i="2" s="1"/>
  <c r="Z60" i="2"/>
  <c r="Z112" i="2" s="1"/>
  <c r="Z69" i="2"/>
  <c r="Z121" i="2" s="1"/>
  <c r="Z80" i="2"/>
  <c r="Z132" i="2" s="1"/>
  <c r="Z98" i="2"/>
  <c r="Z150" i="2" s="1"/>
  <c r="Z75" i="4" s="1"/>
  <c r="Z99" i="2"/>
  <c r="Z151" i="2" s="1"/>
  <c r="Z101" i="2"/>
  <c r="Z153" i="2" s="1"/>
  <c r="Z68" i="2"/>
  <c r="Z120" i="2" s="1"/>
  <c r="Z90" i="2"/>
  <c r="Z142" i="2" s="1"/>
  <c r="Z75" i="2"/>
  <c r="Z127" i="2" s="1"/>
  <c r="Z81" i="2"/>
  <c r="Z133" i="2" s="1"/>
  <c r="Z96" i="2"/>
  <c r="Z148" i="2" s="1"/>
  <c r="Z63" i="2"/>
  <c r="Z115" i="2" s="1"/>
  <c r="Z58" i="2"/>
  <c r="Z110" i="2" s="1"/>
  <c r="Z95" i="2"/>
  <c r="Z147" i="2" s="1"/>
  <c r="Z92" i="2"/>
  <c r="Z144" i="2" s="1"/>
  <c r="Z64" i="2"/>
  <c r="Z116" i="2" s="1"/>
  <c r="Z67" i="2"/>
  <c r="Z87" i="2"/>
  <c r="Z74" i="2"/>
  <c r="Z126" i="2" s="1"/>
  <c r="Z73" i="2"/>
  <c r="Z88" i="2"/>
  <c r="Z140" i="2" s="1"/>
  <c r="Z102" i="2"/>
  <c r="Z154" i="2" s="1"/>
  <c r="Z97" i="2"/>
  <c r="Z149" i="2" s="1"/>
  <c r="Z85" i="2"/>
  <c r="Z137" i="2" s="1"/>
  <c r="Z91" i="2"/>
  <c r="Z143" i="2" s="1"/>
  <c r="Z100" i="2"/>
  <c r="Z152" i="2" s="1"/>
  <c r="Z61" i="2"/>
  <c r="Z113" i="2" s="1"/>
  <c r="Z94" i="2"/>
  <c r="Z146" i="2" s="1"/>
  <c r="Q69" i="2"/>
  <c r="Q57" i="2"/>
  <c r="Q101" i="2"/>
  <c r="Q92" i="2"/>
  <c r="Q91" i="2"/>
  <c r="Q73" i="2"/>
  <c r="Q79" i="2"/>
  <c r="Q61" i="2"/>
  <c r="Q82" i="2"/>
  <c r="Q94" i="2"/>
  <c r="Q56" i="2"/>
  <c r="Q62" i="2"/>
  <c r="Q83" i="2"/>
  <c r="Q75" i="2"/>
  <c r="Q89" i="2"/>
  <c r="Q98" i="2"/>
  <c r="Q59" i="2"/>
  <c r="Q60" i="2"/>
  <c r="Q68" i="2"/>
  <c r="Q97" i="2"/>
  <c r="Q84" i="2"/>
  <c r="Q96" i="2"/>
  <c r="Q99" i="2"/>
  <c r="K69" i="2"/>
  <c r="J103" i="2"/>
  <c r="K45" i="1"/>
  <c r="AA103" i="2"/>
  <c r="AA145" i="2"/>
  <c r="O68" i="2"/>
  <c r="O79" i="2"/>
  <c r="O131" i="2" s="1"/>
  <c r="O88" i="2"/>
  <c r="O96" i="2"/>
  <c r="O59" i="2"/>
  <c r="O71" i="2"/>
  <c r="O81" i="2"/>
  <c r="O90" i="2"/>
  <c r="O142" i="2" s="1"/>
  <c r="O98" i="2"/>
  <c r="O150" i="2" s="1"/>
  <c r="O75" i="4" s="1"/>
  <c r="O61" i="2"/>
  <c r="O74" i="2"/>
  <c r="O126" i="2" s="1"/>
  <c r="O82" i="2"/>
  <c r="O134" i="2" s="1"/>
  <c r="O91" i="2"/>
  <c r="O100" i="2"/>
  <c r="O62" i="2"/>
  <c r="O75" i="2"/>
  <c r="O83" i="2"/>
  <c r="O135" i="2" s="1"/>
  <c r="O92" i="2"/>
  <c r="O101" i="2"/>
  <c r="O63" i="2"/>
  <c r="O115" i="2" s="1"/>
  <c r="O76" i="2"/>
  <c r="O84" i="2"/>
  <c r="O93" i="2"/>
  <c r="O145" i="2" s="1"/>
  <c r="O102" i="2"/>
  <c r="O64" i="2"/>
  <c r="O116" i="2" s="1"/>
  <c r="O99" i="2"/>
  <c r="O151" i="2" s="1"/>
  <c r="O77" i="2"/>
  <c r="O85" i="2"/>
  <c r="O137" i="2" s="1"/>
  <c r="O94" i="2"/>
  <c r="O146" i="2" s="1"/>
  <c r="O57" i="2"/>
  <c r="O65" i="2"/>
  <c r="O117" i="2" s="1"/>
  <c r="O67" i="2"/>
  <c r="O58" i="2"/>
  <c r="O110" i="2" s="1"/>
  <c r="O70" i="2"/>
  <c r="O122" i="2" s="1"/>
  <c r="O60" i="2"/>
  <c r="O112" i="2" s="1"/>
  <c r="O78" i="2"/>
  <c r="O130" i="2" s="1"/>
  <c r="O89" i="2"/>
  <c r="O141" i="2" s="1"/>
  <c r="AA66" i="2"/>
  <c r="O95" i="2"/>
  <c r="L69" i="2"/>
  <c r="J69" i="2"/>
  <c r="O87" i="2"/>
  <c r="O73" i="2"/>
  <c r="O80" i="2"/>
  <c r="O132" i="2" s="1"/>
  <c r="AA86" i="2"/>
  <c r="L66" i="2"/>
  <c r="O143" i="6"/>
  <c r="L86" i="2"/>
  <c r="J66" i="2"/>
  <c r="L103" i="2"/>
  <c r="C113" i="3"/>
  <c r="F39" i="1"/>
  <c r="F70" i="1" s="1"/>
  <c r="E69" i="3"/>
  <c r="C39" i="1" s="1"/>
  <c r="C70" i="1" s="1"/>
  <c r="T86" i="2" l="1"/>
  <c r="C101" i="1"/>
  <c r="E118" i="2"/>
  <c r="E43" i="4" s="1"/>
  <c r="E155" i="2"/>
  <c r="E80" i="4" s="1"/>
  <c r="C110" i="1"/>
  <c r="R93" i="2"/>
  <c r="R145" i="2" s="1"/>
  <c r="R73" i="2"/>
  <c r="R125" i="2" s="1"/>
  <c r="F98" i="1"/>
  <c r="E66" i="2"/>
  <c r="R115" i="2"/>
  <c r="K86" i="2"/>
  <c r="R62" i="2"/>
  <c r="R66" i="2" s="1"/>
  <c r="R114" i="2"/>
  <c r="R39" i="4" s="1"/>
  <c r="R97" i="2"/>
  <c r="R149" i="2" s="1"/>
  <c r="R74" i="4" s="1"/>
  <c r="I103" i="2"/>
  <c r="R67" i="2"/>
  <c r="K118" i="2"/>
  <c r="K43" i="4" s="1"/>
  <c r="K103" i="2"/>
  <c r="R71" i="2"/>
  <c r="R123" i="2" s="1"/>
  <c r="S15" i="6" s="1"/>
  <c r="Q73" i="6" s="1"/>
  <c r="T66" i="2"/>
  <c r="I66" i="2"/>
  <c r="E103" i="2"/>
  <c r="R89" i="2"/>
  <c r="R141" i="2" s="1"/>
  <c r="R66" i="4" s="1"/>
  <c r="R87" i="2"/>
  <c r="R103" i="2" s="1"/>
  <c r="R84" i="2"/>
  <c r="R136" i="2" s="1"/>
  <c r="K66" i="2"/>
  <c r="R56" i="2"/>
  <c r="R80" i="2"/>
  <c r="R132" i="2" s="1"/>
  <c r="R57" i="4" s="1"/>
  <c r="C105" i="1"/>
  <c r="B55" i="1"/>
  <c r="B86" i="1" s="1"/>
  <c r="C113" i="1"/>
  <c r="F8" i="4"/>
  <c r="F6" i="4"/>
  <c r="D12" i="4"/>
  <c r="C100" i="1"/>
  <c r="H17" i="4"/>
  <c r="E18" i="4"/>
  <c r="E92" i="1"/>
  <c r="K60" i="6"/>
  <c r="E75" i="6"/>
  <c r="E41" i="6"/>
  <c r="D155" i="2"/>
  <c r="E46" i="6"/>
  <c r="E49" i="6" s="1"/>
  <c r="H111" i="1"/>
  <c r="D28" i="4"/>
  <c r="C121" i="1"/>
  <c r="D104" i="1"/>
  <c r="V12" i="4"/>
  <c r="D6" i="4"/>
  <c r="D20" i="4"/>
  <c r="E12" i="4"/>
  <c r="D21" i="4"/>
  <c r="E106" i="1"/>
  <c r="D110" i="1"/>
  <c r="F121" i="1"/>
  <c r="E110" i="1"/>
  <c r="G79" i="1"/>
  <c r="G18" i="4" s="1"/>
  <c r="I77" i="1"/>
  <c r="I16" i="4" s="1"/>
  <c r="G67" i="1"/>
  <c r="G6" i="4" s="1"/>
  <c r="I65" i="1"/>
  <c r="I4" i="4" s="1"/>
  <c r="F65" i="1"/>
  <c r="F97" i="1" s="1"/>
  <c r="D13" i="4"/>
  <c r="E114" i="1"/>
  <c r="W11" i="4"/>
  <c r="V25" i="4"/>
  <c r="T118" i="1"/>
  <c r="R113" i="2"/>
  <c r="R38" i="4" s="1"/>
  <c r="X65" i="1"/>
  <c r="V97" i="1" s="1"/>
  <c r="F4" i="4"/>
  <c r="K80" i="6"/>
  <c r="E41" i="1"/>
  <c r="E72" i="1" s="1"/>
  <c r="E251" i="3"/>
  <c r="K71" i="6"/>
  <c r="M101" i="6"/>
  <c r="K105" i="6"/>
  <c r="K97" i="6"/>
  <c r="K81" i="6"/>
  <c r="O33" i="1"/>
  <c r="O64" i="1" s="1"/>
  <c r="S29" i="6"/>
  <c r="Q87" i="6" s="1"/>
  <c r="O4" i="4"/>
  <c r="U33" i="1"/>
  <c r="U64" i="1" s="1"/>
  <c r="S96" i="1" s="1"/>
  <c r="V9" i="4"/>
  <c r="S27" i="6"/>
  <c r="Q85" i="6" s="1"/>
  <c r="E101" i="6"/>
  <c r="X28" i="4"/>
  <c r="S4" i="4"/>
  <c r="E82" i="6"/>
  <c r="M49" i="6"/>
  <c r="V11" i="4"/>
  <c r="S18" i="6"/>
  <c r="Q76" i="6" s="1"/>
  <c r="K102" i="6"/>
  <c r="O7" i="4"/>
  <c r="K77" i="6"/>
  <c r="V20" i="4"/>
  <c r="K33" i="1"/>
  <c r="K64" i="1" s="1"/>
  <c r="K3" i="4" s="1"/>
  <c r="V8" i="4"/>
  <c r="U56" i="4"/>
  <c r="Q13" i="4"/>
  <c r="V6" i="6"/>
  <c r="T64" i="6" s="1"/>
  <c r="V17" i="4"/>
  <c r="K92" i="6"/>
  <c r="K89" i="6"/>
  <c r="R78" i="4"/>
  <c r="S12" i="6"/>
  <c r="Q70" i="6" s="1"/>
  <c r="K64" i="6"/>
  <c r="S33" i="1"/>
  <c r="S64" i="1" s="1"/>
  <c r="R76" i="4"/>
  <c r="S38" i="6"/>
  <c r="Q96" i="6" s="1"/>
  <c r="U138" i="2"/>
  <c r="U63" i="4" s="1"/>
  <c r="E78" i="6"/>
  <c r="E68" i="6"/>
  <c r="R72" i="4"/>
  <c r="E92" i="6"/>
  <c r="R9" i="4"/>
  <c r="W33" i="1"/>
  <c r="W64" i="1" s="1"/>
  <c r="Q7" i="4"/>
  <c r="J33" i="1"/>
  <c r="J64" i="1" s="1"/>
  <c r="W23" i="4"/>
  <c r="E70" i="6"/>
  <c r="B42" i="1"/>
  <c r="T114" i="1"/>
  <c r="E62" i="6"/>
  <c r="Q9" i="4"/>
  <c r="V23" i="4"/>
  <c r="R13" i="4"/>
  <c r="S6" i="6"/>
  <c r="Q64" i="6" s="1"/>
  <c r="B40" i="1"/>
  <c r="R59" i="4"/>
  <c r="I33" i="1"/>
  <c r="V7" i="4"/>
  <c r="R48" i="4"/>
  <c r="E97" i="6"/>
  <c r="E102" i="6"/>
  <c r="U4" i="4"/>
  <c r="V34" i="1"/>
  <c r="V65" i="1" s="1"/>
  <c r="R53" i="4"/>
  <c r="O105" i="1"/>
  <c r="Q12" i="4"/>
  <c r="T118" i="2"/>
  <c r="T43" i="4" s="1"/>
  <c r="Q11" i="4"/>
  <c r="S31" i="6"/>
  <c r="Q89" i="6" s="1"/>
  <c r="E77" i="6"/>
  <c r="P105" i="1"/>
  <c r="R12" i="4"/>
  <c r="S30" i="6"/>
  <c r="Q88" i="6" s="1"/>
  <c r="S44" i="6"/>
  <c r="Q102" i="6" s="1"/>
  <c r="E90" i="6"/>
  <c r="E73" i="6"/>
  <c r="T98" i="1"/>
  <c r="V100" i="1"/>
  <c r="X7" i="4"/>
  <c r="T35" i="4"/>
  <c r="K49" i="6"/>
  <c r="T138" i="2"/>
  <c r="T63" i="4" s="1"/>
  <c r="V17" i="6"/>
  <c r="V41" i="6" s="1"/>
  <c r="T99" i="6" s="1"/>
  <c r="S7" i="6"/>
  <c r="Q65" i="6" s="1"/>
  <c r="S24" i="6"/>
  <c r="Q82" i="6" s="1"/>
  <c r="S60" i="4"/>
  <c r="T31" i="6"/>
  <c r="R89" i="6" s="1"/>
  <c r="E95" i="6"/>
  <c r="S42" i="6"/>
  <c r="Q100" i="6" s="1"/>
  <c r="G105" i="1"/>
  <c r="G12" i="4"/>
  <c r="L3" i="6"/>
  <c r="K61" i="6" s="1"/>
  <c r="T49" i="6"/>
  <c r="R107" i="6" s="1"/>
  <c r="K84" i="6"/>
  <c r="Y65" i="1"/>
  <c r="Y33" i="1"/>
  <c r="Y64" i="1" s="1"/>
  <c r="U11" i="6"/>
  <c r="S69" i="6" s="1"/>
  <c r="K104" i="6"/>
  <c r="S57" i="4"/>
  <c r="W81" i="2"/>
  <c r="W133" i="2" s="1"/>
  <c r="W58" i="4" s="1"/>
  <c r="B53" i="1"/>
  <c r="U50" i="4"/>
  <c r="E79" i="6"/>
  <c r="M5" i="4"/>
  <c r="K98" i="1"/>
  <c r="Z83" i="6"/>
  <c r="E83" i="6"/>
  <c r="W45" i="6"/>
  <c r="U103" i="6" s="1"/>
  <c r="V76" i="4"/>
  <c r="H85" i="2"/>
  <c r="H137" i="2" s="1"/>
  <c r="H62" i="4" s="1"/>
  <c r="U72" i="2"/>
  <c r="U104" i="2" s="1"/>
  <c r="M11" i="6"/>
  <c r="V155" i="2"/>
  <c r="V80" i="4" s="1"/>
  <c r="K34" i="4"/>
  <c r="R110" i="2"/>
  <c r="O110" i="1"/>
  <c r="Q17" i="4"/>
  <c r="H89" i="2"/>
  <c r="H141" i="2" s="1"/>
  <c r="H66" i="4" s="1"/>
  <c r="R36" i="4"/>
  <c r="S23" i="6"/>
  <c r="Q81" i="6" s="1"/>
  <c r="T121" i="1"/>
  <c r="V28" i="4"/>
  <c r="K99" i="1"/>
  <c r="M6" i="4"/>
  <c r="S8" i="6"/>
  <c r="Q66" i="6" s="1"/>
  <c r="R40" i="4"/>
  <c r="Q110" i="1"/>
  <c r="S17" i="4"/>
  <c r="B59" i="1"/>
  <c r="U73" i="4"/>
  <c r="S40" i="6"/>
  <c r="Q98" i="6" s="1"/>
  <c r="N98" i="1"/>
  <c r="P5" i="4"/>
  <c r="P33" i="1"/>
  <c r="P64" i="1" s="1"/>
  <c r="P65" i="1"/>
  <c r="U155" i="2"/>
  <c r="U80" i="4" s="1"/>
  <c r="E66" i="6"/>
  <c r="V101" i="1"/>
  <c r="X8" i="4"/>
  <c r="R65" i="1"/>
  <c r="R33" i="1"/>
  <c r="R64" i="1" s="1"/>
  <c r="T23" i="6"/>
  <c r="R81" i="6" s="1"/>
  <c r="M41" i="6"/>
  <c r="W63" i="2"/>
  <c r="W115" i="2" s="1"/>
  <c r="W40" i="4" s="1"/>
  <c r="L49" i="6"/>
  <c r="S36" i="4"/>
  <c r="E91" i="6"/>
  <c r="H49" i="6"/>
  <c r="H107" i="6" s="1"/>
  <c r="G50" i="4"/>
  <c r="H17" i="6"/>
  <c r="H75" i="6" s="1"/>
  <c r="G138" i="2"/>
  <c r="G63" i="4" s="1"/>
  <c r="G13" i="4"/>
  <c r="G106" i="1"/>
  <c r="M65" i="1"/>
  <c r="M33" i="1"/>
  <c r="M64" i="1" s="1"/>
  <c r="M3" i="4" s="1"/>
  <c r="V98" i="1"/>
  <c r="X5" i="4"/>
  <c r="G113" i="1"/>
  <c r="G20" i="4"/>
  <c r="H97" i="1"/>
  <c r="H4" i="4"/>
  <c r="X98" i="1"/>
  <c r="Z5" i="4"/>
  <c r="T65" i="1"/>
  <c r="T33" i="1"/>
  <c r="T64" i="1" s="1"/>
  <c r="H116" i="1"/>
  <c r="H23" i="4"/>
  <c r="Q21" i="4"/>
  <c r="O114" i="1"/>
  <c r="S116" i="1"/>
  <c r="U23" i="4"/>
  <c r="L98" i="1"/>
  <c r="N5" i="4"/>
  <c r="R61" i="4"/>
  <c r="S26" i="6"/>
  <c r="Q84" i="6" s="1"/>
  <c r="O111" i="1"/>
  <c r="Q18" i="4"/>
  <c r="R54" i="4"/>
  <c r="S25" i="6"/>
  <c r="Q83" i="6" s="1"/>
  <c r="B50" i="1"/>
  <c r="B81" i="1" s="1"/>
  <c r="T20" i="6"/>
  <c r="R78" i="6" s="1"/>
  <c r="S65" i="4"/>
  <c r="S155" i="2"/>
  <c r="S80" i="4" s="1"/>
  <c r="R70" i="4"/>
  <c r="S36" i="6"/>
  <c r="Q94" i="6" s="1"/>
  <c r="R98" i="1"/>
  <c r="T5" i="4"/>
  <c r="Q101" i="1"/>
  <c r="S8" i="4"/>
  <c r="R108" i="2"/>
  <c r="R33" i="4" s="1"/>
  <c r="H33" i="1"/>
  <c r="H64" i="1" s="1"/>
  <c r="H94" i="2"/>
  <c r="H146" i="2" s="1"/>
  <c r="I38" i="6" s="1"/>
  <c r="I96" i="6" s="1"/>
  <c r="S43" i="6"/>
  <c r="Q101" i="6" s="1"/>
  <c r="T2" i="6"/>
  <c r="R60" i="6" s="1"/>
  <c r="P111" i="1"/>
  <c r="R18" i="4"/>
  <c r="U25" i="6"/>
  <c r="S83" i="6" s="1"/>
  <c r="T54" i="4"/>
  <c r="T36" i="6"/>
  <c r="R94" i="6" s="1"/>
  <c r="S70" i="4"/>
  <c r="J20" i="4"/>
  <c r="I113" i="1"/>
  <c r="J24" i="6"/>
  <c r="J82" i="6" s="1"/>
  <c r="I155" i="2"/>
  <c r="I80" i="4" s="1"/>
  <c r="I66" i="4"/>
  <c r="Q8" i="4"/>
  <c r="O101" i="1"/>
  <c r="O113" i="1"/>
  <c r="Q20" i="4"/>
  <c r="AB49" i="6"/>
  <c r="Z107" i="6" s="1"/>
  <c r="Q34" i="1"/>
  <c r="Q33" i="1" s="1"/>
  <c r="R65" i="4"/>
  <c r="O121" i="1"/>
  <c r="Q28" i="4"/>
  <c r="I99" i="1"/>
  <c r="R47" i="4"/>
  <c r="S37" i="6"/>
  <c r="Q95" i="6" s="1"/>
  <c r="D33" i="1"/>
  <c r="D64" i="1" s="1"/>
  <c r="R68" i="4"/>
  <c r="S32" i="6"/>
  <c r="Q90" i="6" s="1"/>
  <c r="J49" i="6"/>
  <c r="J107" i="6" s="1"/>
  <c r="J100" i="6"/>
  <c r="H79" i="2"/>
  <c r="H131" i="2" s="1"/>
  <c r="H56" i="4" s="1"/>
  <c r="H99" i="1"/>
  <c r="H6" i="4"/>
  <c r="T74" i="4"/>
  <c r="U43" i="6"/>
  <c r="S101" i="6" s="1"/>
  <c r="H99" i="2"/>
  <c r="H151" i="2" s="1"/>
  <c r="H76" i="4" s="1"/>
  <c r="R67" i="4"/>
  <c r="S28" i="6"/>
  <c r="Q86" i="6" s="1"/>
  <c r="R50" i="4"/>
  <c r="S17" i="6"/>
  <c r="Q75" i="6" s="1"/>
  <c r="U97" i="1"/>
  <c r="W4" i="4"/>
  <c r="S118" i="2"/>
  <c r="S43" i="4" s="1"/>
  <c r="H87" i="2"/>
  <c r="H139" i="2" s="1"/>
  <c r="K86" i="6"/>
  <c r="T53" i="4"/>
  <c r="U22" i="6"/>
  <c r="Q121" i="1"/>
  <c r="S28" i="4"/>
  <c r="Z33" i="1"/>
  <c r="Z64" i="1" s="1"/>
  <c r="Z65" i="1"/>
  <c r="C97" i="1" s="1"/>
  <c r="Q5" i="4"/>
  <c r="O98" i="1"/>
  <c r="G116" i="1"/>
  <c r="G23" i="4"/>
  <c r="W37" i="6"/>
  <c r="U95" i="6" s="1"/>
  <c r="V47" i="4"/>
  <c r="AB11" i="6"/>
  <c r="Z69" i="6" s="1"/>
  <c r="Z60" i="6"/>
  <c r="E60" i="6"/>
  <c r="V75" i="4"/>
  <c r="W44" i="6"/>
  <c r="D100" i="1"/>
  <c r="D7" i="4"/>
  <c r="N65" i="1"/>
  <c r="N33" i="1"/>
  <c r="N64" i="1" s="1"/>
  <c r="N3" i="4" s="1"/>
  <c r="I97" i="1"/>
  <c r="N4" i="6"/>
  <c r="L62" i="6" s="1"/>
  <c r="M35" i="4"/>
  <c r="M118" i="2"/>
  <c r="M43" i="4" s="1"/>
  <c r="T32" i="6"/>
  <c r="R90" i="6" s="1"/>
  <c r="S68" i="4"/>
  <c r="B35" i="1"/>
  <c r="B66" i="1" s="1"/>
  <c r="P77" i="1"/>
  <c r="O72" i="2"/>
  <c r="O119" i="2"/>
  <c r="O154" i="2"/>
  <c r="H102" i="2"/>
  <c r="H154" i="2" s="1"/>
  <c r="O127" i="2"/>
  <c r="H75" i="2"/>
  <c r="H127" i="2" s="1"/>
  <c r="O67" i="4"/>
  <c r="P28" i="6"/>
  <c r="AA70" i="4"/>
  <c r="AA155" i="2"/>
  <c r="AB36" i="6"/>
  <c r="Q148" i="2"/>
  <c r="Q127" i="2"/>
  <c r="Q125" i="2"/>
  <c r="Q86" i="2"/>
  <c r="Z77" i="4"/>
  <c r="AA46" i="6"/>
  <c r="Y104" i="6" s="1"/>
  <c r="Z139" i="2"/>
  <c r="Z103" i="2"/>
  <c r="Z58" i="4"/>
  <c r="AA34" i="6"/>
  <c r="Y92" i="6" s="1"/>
  <c r="Z46" i="4"/>
  <c r="AA14" i="6"/>
  <c r="Y72" i="6" s="1"/>
  <c r="Z34" i="4"/>
  <c r="AA3" i="6"/>
  <c r="Y61" i="6" s="1"/>
  <c r="M109" i="1"/>
  <c r="O16" i="4"/>
  <c r="W69" i="2"/>
  <c r="W121" i="2" s="1"/>
  <c r="X121" i="2"/>
  <c r="X72" i="2"/>
  <c r="X104" i="2" s="1"/>
  <c r="I118" i="2"/>
  <c r="I43" i="4" s="1"/>
  <c r="I35" i="4"/>
  <c r="J4" i="6"/>
  <c r="F75" i="4"/>
  <c r="F155" i="2"/>
  <c r="G44" i="6"/>
  <c r="G65" i="4"/>
  <c r="H20" i="6"/>
  <c r="H78" i="6" s="1"/>
  <c r="G155" i="2"/>
  <c r="G80" i="6"/>
  <c r="I104" i="1"/>
  <c r="J11" i="4"/>
  <c r="S100" i="6"/>
  <c r="P42" i="4"/>
  <c r="Q10" i="6"/>
  <c r="O68" i="6" s="1"/>
  <c r="O163" i="6" s="1"/>
  <c r="P65" i="4"/>
  <c r="Q20" i="6"/>
  <c r="O78" i="6" s="1"/>
  <c r="O173" i="6" s="1"/>
  <c r="Q42" i="6"/>
  <c r="P73" i="4"/>
  <c r="P41" i="4"/>
  <c r="Q6" i="6"/>
  <c r="O64" i="6" s="1"/>
  <c r="P38" i="4"/>
  <c r="Y46" i="4"/>
  <c r="Z14" i="6"/>
  <c r="X72" i="6" s="1"/>
  <c r="Y154" i="2"/>
  <c r="W102" i="2"/>
  <c r="W96" i="2"/>
  <c r="W148" i="2" s="1"/>
  <c r="Y148" i="2"/>
  <c r="W62" i="2"/>
  <c r="W114" i="2" s="1"/>
  <c r="Y114" i="2"/>
  <c r="Y135" i="2"/>
  <c r="W83" i="2"/>
  <c r="W135" i="2" s="1"/>
  <c r="W57" i="2"/>
  <c r="W109" i="2" s="1"/>
  <c r="Y109" i="2"/>
  <c r="W21" i="6"/>
  <c r="V138" i="2"/>
  <c r="V63" i="4" s="1"/>
  <c r="V52" i="4"/>
  <c r="D77" i="4"/>
  <c r="E44" i="1"/>
  <c r="E75" i="1" s="1"/>
  <c r="L76" i="1"/>
  <c r="L44" i="1"/>
  <c r="L75" i="1" s="1"/>
  <c r="V106" i="1"/>
  <c r="X13" i="4"/>
  <c r="D60" i="4"/>
  <c r="D138" i="2"/>
  <c r="D63" i="4" s="1"/>
  <c r="G46" i="1"/>
  <c r="G77" i="1" s="1"/>
  <c r="V72" i="2"/>
  <c r="V104" i="2" s="1"/>
  <c r="V121" i="2"/>
  <c r="E51" i="3"/>
  <c r="K9" i="4"/>
  <c r="I102" i="1"/>
  <c r="U60" i="6"/>
  <c r="W11" i="6"/>
  <c r="H121" i="1"/>
  <c r="H28" i="4"/>
  <c r="K109" i="1"/>
  <c r="M16" i="4"/>
  <c r="O70" i="4"/>
  <c r="P36" i="6"/>
  <c r="Q136" i="2"/>
  <c r="I109" i="1"/>
  <c r="J16" i="4"/>
  <c r="K56" i="4"/>
  <c r="L29" i="6"/>
  <c r="K87" i="6" s="1"/>
  <c r="K138" i="2"/>
  <c r="K63" i="4" s="1"/>
  <c r="G34" i="1"/>
  <c r="G65" i="1" s="1"/>
  <c r="Q37" i="6"/>
  <c r="O95" i="6" s="1"/>
  <c r="P47" i="4"/>
  <c r="Y151" i="2"/>
  <c r="W99" i="2"/>
  <c r="W151" i="2" s="1"/>
  <c r="W67" i="2"/>
  <c r="Y72" i="2"/>
  <c r="Y119" i="2"/>
  <c r="E109" i="1"/>
  <c r="E16" i="4"/>
  <c r="H84" i="2"/>
  <c r="H136" i="2" s="1"/>
  <c r="O136" i="2"/>
  <c r="O123" i="2"/>
  <c r="H71" i="2"/>
  <c r="H123" i="2" s="1"/>
  <c r="Q144" i="2"/>
  <c r="Z41" i="4"/>
  <c r="AA72" i="2"/>
  <c r="AA104" i="2" s="1"/>
  <c r="AA121" i="2"/>
  <c r="H93" i="2"/>
  <c r="H145" i="2" s="1"/>
  <c r="O116" i="1"/>
  <c r="Q23" i="4"/>
  <c r="R40" i="6"/>
  <c r="P98" i="6" s="1"/>
  <c r="Q62" i="4"/>
  <c r="P56" i="4"/>
  <c r="Q29" i="6"/>
  <c r="O87" i="6" s="1"/>
  <c r="Q5" i="6"/>
  <c r="O63" i="6" s="1"/>
  <c r="P37" i="4"/>
  <c r="Q38" i="6"/>
  <c r="O96" i="6" s="1"/>
  <c r="P71" i="4"/>
  <c r="P78" i="4"/>
  <c r="Q47" i="6"/>
  <c r="O105" i="6" s="1"/>
  <c r="P149" i="2"/>
  <c r="H97" i="2"/>
  <c r="H149" i="2" s="1"/>
  <c r="Y134" i="2"/>
  <c r="W82" i="2"/>
  <c r="W134" i="2" s="1"/>
  <c r="W80" i="2"/>
  <c r="Y132" i="2"/>
  <c r="Z21" i="6"/>
  <c r="X79" i="6" s="1"/>
  <c r="Y52" i="4"/>
  <c r="Y74" i="4"/>
  <c r="Z43" i="6"/>
  <c r="X101" i="6" s="1"/>
  <c r="Y113" i="2"/>
  <c r="W61" i="2"/>
  <c r="W113" i="2" s="1"/>
  <c r="E71" i="6"/>
  <c r="Z71" i="6"/>
  <c r="E86" i="2"/>
  <c r="E125" i="2"/>
  <c r="H44" i="1"/>
  <c r="H75" i="1" s="1"/>
  <c r="G45" i="1"/>
  <c r="G76" i="1" s="1"/>
  <c r="O76" i="1"/>
  <c r="O44" i="1"/>
  <c r="O75" i="1" s="1"/>
  <c r="G11" i="6"/>
  <c r="K21" i="4"/>
  <c r="I114" i="1"/>
  <c r="D46" i="1"/>
  <c r="D77" i="1" s="1"/>
  <c r="R109" i="1"/>
  <c r="T16" i="4"/>
  <c r="B38" i="1"/>
  <c r="B69" i="1" s="1"/>
  <c r="R41" i="4"/>
  <c r="H68" i="6"/>
  <c r="H11" i="6"/>
  <c r="F33" i="1"/>
  <c r="F64" i="1" s="1"/>
  <c r="P30" i="6"/>
  <c r="O57" i="4"/>
  <c r="O66" i="4"/>
  <c r="P24" i="6"/>
  <c r="O71" i="4"/>
  <c r="P38" i="6"/>
  <c r="H76" i="2"/>
  <c r="H128" i="2" s="1"/>
  <c r="O128" i="2"/>
  <c r="O143" i="2"/>
  <c r="H91" i="2"/>
  <c r="H143" i="2" s="1"/>
  <c r="O111" i="2"/>
  <c r="H59" i="2"/>
  <c r="H111" i="2" s="1"/>
  <c r="Q72" i="2"/>
  <c r="Q120" i="2"/>
  <c r="Q108" i="2"/>
  <c r="Q66" i="2"/>
  <c r="Q153" i="2"/>
  <c r="Z74" i="4"/>
  <c r="AA43" i="6"/>
  <c r="Y101" i="6" s="1"/>
  <c r="Z69" i="4"/>
  <c r="AA33" i="6"/>
  <c r="Y91" i="6" s="1"/>
  <c r="Z45" i="4"/>
  <c r="AA13" i="6"/>
  <c r="Y71" i="6" s="1"/>
  <c r="Z39" i="4"/>
  <c r="AA7" i="6"/>
  <c r="Y65" i="6" s="1"/>
  <c r="H83" i="2"/>
  <c r="H135" i="2" s="1"/>
  <c r="S16" i="4"/>
  <c r="Q109" i="1"/>
  <c r="L109" i="1"/>
  <c r="N16" i="4"/>
  <c r="L36" i="6"/>
  <c r="K94" i="6" s="1"/>
  <c r="K70" i="4"/>
  <c r="W75" i="2"/>
  <c r="W127" i="2" s="1"/>
  <c r="R120" i="2"/>
  <c r="O29" i="6"/>
  <c r="M87" i="6" s="1"/>
  <c r="N56" i="4"/>
  <c r="I55" i="4"/>
  <c r="J27" i="6"/>
  <c r="J85" i="6" s="1"/>
  <c r="E138" i="3"/>
  <c r="P52" i="4"/>
  <c r="Q21" i="6"/>
  <c r="O79" i="6" s="1"/>
  <c r="P54" i="4"/>
  <c r="Q25" i="6"/>
  <c r="O83" i="6" s="1"/>
  <c r="O178" i="6" s="1"/>
  <c r="P79" i="4"/>
  <c r="Q44" i="6"/>
  <c r="O102" i="6" s="1"/>
  <c r="Q7" i="6"/>
  <c r="O65" i="6" s="1"/>
  <c r="P39" i="4"/>
  <c r="P62" i="4"/>
  <c r="Q40" i="6"/>
  <c r="O98" i="6" s="1"/>
  <c r="P139" i="2"/>
  <c r="P103" i="2"/>
  <c r="W68" i="2"/>
  <c r="W120" i="2" s="1"/>
  <c r="Y120" i="2"/>
  <c r="Y152" i="2"/>
  <c r="W100" i="2"/>
  <c r="W152" i="2" s="1"/>
  <c r="W92" i="2"/>
  <c r="W144" i="2" s="1"/>
  <c r="Y144" i="2"/>
  <c r="Y143" i="2"/>
  <c r="W91" i="2"/>
  <c r="W143" i="2" s="1"/>
  <c r="W74" i="2"/>
  <c r="Y126" i="2"/>
  <c r="F104" i="1"/>
  <c r="F11" i="4"/>
  <c r="M76" i="1"/>
  <c r="M44" i="1"/>
  <c r="T44" i="1"/>
  <c r="T76" i="1"/>
  <c r="E309" i="3"/>
  <c r="E296" i="3" s="1"/>
  <c r="C296" i="3"/>
  <c r="B47" i="1"/>
  <c r="B78" i="1" s="1"/>
  <c r="R77" i="1"/>
  <c r="Q46" i="1"/>
  <c r="Q77" i="1" s="1"/>
  <c r="B37" i="1"/>
  <c r="B68" i="1" s="1"/>
  <c r="Q135" i="2"/>
  <c r="Z37" i="4"/>
  <c r="AA5" i="6"/>
  <c r="Y63" i="6" s="1"/>
  <c r="P72" i="4"/>
  <c r="Q39" i="6"/>
  <c r="O97" i="6" s="1"/>
  <c r="Y136" i="2"/>
  <c r="W84" i="2"/>
  <c r="W136" i="2" s="1"/>
  <c r="R127" i="2"/>
  <c r="B39" i="1"/>
  <c r="B70" i="1" s="1"/>
  <c r="Q114" i="2"/>
  <c r="AA27" i="6"/>
  <c r="Y85" i="6" s="1"/>
  <c r="Z55" i="4"/>
  <c r="H67" i="2"/>
  <c r="N71" i="4"/>
  <c r="O38" i="6"/>
  <c r="M96" i="6" s="1"/>
  <c r="P8" i="6"/>
  <c r="N66" i="6" s="1"/>
  <c r="O40" i="4"/>
  <c r="Q146" i="2"/>
  <c r="M72" i="2"/>
  <c r="M104" i="2" s="1"/>
  <c r="M121" i="2"/>
  <c r="G27" i="6"/>
  <c r="G85" i="6" s="1"/>
  <c r="F55" i="4"/>
  <c r="F138" i="2"/>
  <c r="F63" i="4" s="1"/>
  <c r="P5" i="6"/>
  <c r="N63" i="6" s="1"/>
  <c r="O37" i="4"/>
  <c r="Q134" i="2"/>
  <c r="Z76" i="4"/>
  <c r="AA45" i="6"/>
  <c r="Y103" i="6" s="1"/>
  <c r="P66" i="4"/>
  <c r="Q24" i="6"/>
  <c r="O82" i="6" s="1"/>
  <c r="Q34" i="6"/>
  <c r="O92" i="6" s="1"/>
  <c r="P58" i="4"/>
  <c r="Y145" i="2"/>
  <c r="W93" i="2"/>
  <c r="W87" i="2"/>
  <c r="Y103" i="2"/>
  <c r="Y139" i="2"/>
  <c r="Y108" i="2"/>
  <c r="W56" i="2"/>
  <c r="Y66" i="2"/>
  <c r="W78" i="2"/>
  <c r="Y130" i="2"/>
  <c r="B118" i="1"/>
  <c r="B25" i="4"/>
  <c r="U76" i="1"/>
  <c r="U44" i="1"/>
  <c r="X76" i="1"/>
  <c r="X44" i="1"/>
  <c r="X75" i="1" s="1"/>
  <c r="J44" i="1"/>
  <c r="J75" i="1" s="1"/>
  <c r="J76" i="1"/>
  <c r="E99" i="1"/>
  <c r="E6" i="4"/>
  <c r="F109" i="1"/>
  <c r="F16" i="4"/>
  <c r="X109" i="1"/>
  <c r="Z16" i="4"/>
  <c r="X64" i="1"/>
  <c r="W18" i="4"/>
  <c r="U111" i="1"/>
  <c r="H95" i="2"/>
  <c r="H147" i="2" s="1"/>
  <c r="O147" i="2"/>
  <c r="H62" i="2"/>
  <c r="H114" i="2" s="1"/>
  <c r="O114" i="2"/>
  <c r="Q143" i="2"/>
  <c r="Z72" i="2"/>
  <c r="Z119" i="2"/>
  <c r="T121" i="2"/>
  <c r="T72" i="2"/>
  <c r="L70" i="6"/>
  <c r="P77" i="4"/>
  <c r="Q46" i="6"/>
  <c r="O104" i="6" s="1"/>
  <c r="P72" i="2"/>
  <c r="P119" i="2"/>
  <c r="Y116" i="2"/>
  <c r="W64" i="2"/>
  <c r="J125" i="2"/>
  <c r="J86" i="2"/>
  <c r="H73" i="2"/>
  <c r="M104" i="1"/>
  <c r="O11" i="4"/>
  <c r="N64" i="4"/>
  <c r="O19" i="6"/>
  <c r="N155" i="2"/>
  <c r="B51" i="1"/>
  <c r="B82" i="1" s="1"/>
  <c r="O109" i="2"/>
  <c r="H57" i="2"/>
  <c r="H109" i="2" s="1"/>
  <c r="H100" i="2"/>
  <c r="H152" i="2" s="1"/>
  <c r="O152" i="2"/>
  <c r="Q149" i="2"/>
  <c r="U16" i="4"/>
  <c r="S109" i="1"/>
  <c r="K66" i="4"/>
  <c r="L24" i="6"/>
  <c r="K155" i="2"/>
  <c r="O86" i="2"/>
  <c r="O125" i="2"/>
  <c r="O62" i="4"/>
  <c r="P40" i="6"/>
  <c r="H96" i="2"/>
  <c r="H148" i="2" s="1"/>
  <c r="O148" i="2"/>
  <c r="Q112" i="2"/>
  <c r="AA44" i="6"/>
  <c r="Y102" i="6" s="1"/>
  <c r="Z79" i="4"/>
  <c r="Z72" i="4"/>
  <c r="AA39" i="6"/>
  <c r="Y97" i="6" s="1"/>
  <c r="AA24" i="6"/>
  <c r="Y82" i="6" s="1"/>
  <c r="Z66" i="4"/>
  <c r="L79" i="6"/>
  <c r="P69" i="4"/>
  <c r="Q33" i="6"/>
  <c r="O91" i="6" s="1"/>
  <c r="Q27" i="6"/>
  <c r="O85" i="6" s="1"/>
  <c r="O180" i="6" s="1"/>
  <c r="P55" i="4"/>
  <c r="Z20" i="6"/>
  <c r="X78" i="6" s="1"/>
  <c r="Y65" i="4"/>
  <c r="W95" i="2"/>
  <c r="Y147" i="2"/>
  <c r="Y131" i="2"/>
  <c r="W79" i="2"/>
  <c r="W131" i="2" s="1"/>
  <c r="N44" i="1"/>
  <c r="N76" i="1"/>
  <c r="V46" i="1"/>
  <c r="V77" i="1" s="1"/>
  <c r="W77" i="1"/>
  <c r="O139" i="2"/>
  <c r="O103" i="2"/>
  <c r="O129" i="2"/>
  <c r="H77" i="2"/>
  <c r="H129" i="2" s="1"/>
  <c r="O51" i="4"/>
  <c r="P18" i="6"/>
  <c r="Q111" i="2"/>
  <c r="Z65" i="4"/>
  <c r="AA20" i="6"/>
  <c r="Y78" i="6" s="1"/>
  <c r="AA4" i="6"/>
  <c r="Y62" i="6" s="1"/>
  <c r="Z35" i="4"/>
  <c r="Z53" i="4"/>
  <c r="AA22" i="6"/>
  <c r="Y80" i="6" s="1"/>
  <c r="P86" i="2"/>
  <c r="P125" i="2"/>
  <c r="Q35" i="6"/>
  <c r="O93" i="6" s="1"/>
  <c r="P59" i="4"/>
  <c r="P108" i="2"/>
  <c r="Q2" i="6" s="1"/>
  <c r="P66" i="2"/>
  <c r="Y153" i="2"/>
  <c r="W101" i="2"/>
  <c r="W153" i="2" s="1"/>
  <c r="W70" i="2"/>
  <c r="Y122" i="2"/>
  <c r="J72" i="2"/>
  <c r="J121" i="2"/>
  <c r="P37" i="6"/>
  <c r="O47" i="4"/>
  <c r="O76" i="4"/>
  <c r="P45" i="6"/>
  <c r="O144" i="2"/>
  <c r="H92" i="2"/>
  <c r="H144" i="2" s="1"/>
  <c r="H61" i="2"/>
  <c r="H113" i="2" s="1"/>
  <c r="O113" i="2"/>
  <c r="O56" i="4"/>
  <c r="P29" i="6"/>
  <c r="H60" i="2"/>
  <c r="H112" i="2" s="1"/>
  <c r="Q150" i="2"/>
  <c r="Q113" i="2"/>
  <c r="Z71" i="4"/>
  <c r="AA38" i="6"/>
  <c r="Y96" i="6" s="1"/>
  <c r="Z125" i="2"/>
  <c r="Z86" i="2"/>
  <c r="Z40" i="4"/>
  <c r="AA8" i="6"/>
  <c r="Y66" i="6" s="1"/>
  <c r="Z42" i="4"/>
  <c r="AA10" i="6"/>
  <c r="Y68" i="6" s="1"/>
  <c r="R69" i="2"/>
  <c r="R121" i="2" s="1"/>
  <c r="S121" i="2"/>
  <c r="S72" i="2"/>
  <c r="S104" i="2" s="1"/>
  <c r="U46" i="4"/>
  <c r="V14" i="6"/>
  <c r="T72" i="6" s="1"/>
  <c r="M67" i="4"/>
  <c r="N28" i="6"/>
  <c r="L86" i="6" s="1"/>
  <c r="M155" i="2"/>
  <c r="S33" i="6"/>
  <c r="Q91" i="6" s="1"/>
  <c r="R69" i="4"/>
  <c r="R152" i="2"/>
  <c r="V99" i="1"/>
  <c r="X6" i="4"/>
  <c r="G70" i="6"/>
  <c r="H80" i="2"/>
  <c r="H132" i="2" s="1"/>
  <c r="L33" i="1"/>
  <c r="L65" i="1"/>
  <c r="S138" i="2"/>
  <c r="S58" i="4"/>
  <c r="T34" i="6"/>
  <c r="R92" i="6" s="1"/>
  <c r="O99" i="1"/>
  <c r="Q6" i="4"/>
  <c r="Q28" i="6"/>
  <c r="O86" i="6" s="1"/>
  <c r="O181" i="6" s="1"/>
  <c r="P67" i="4"/>
  <c r="Q3" i="6"/>
  <c r="O61" i="6" s="1"/>
  <c r="P34" i="4"/>
  <c r="P53" i="4"/>
  <c r="Q22" i="6"/>
  <c r="O80" i="6" s="1"/>
  <c r="O175" i="6" s="1"/>
  <c r="P76" i="4"/>
  <c r="Q45" i="6"/>
  <c r="O103" i="6" s="1"/>
  <c r="Q30" i="6"/>
  <c r="O88" i="6" s="1"/>
  <c r="O183" i="6" s="1"/>
  <c r="P57" i="4"/>
  <c r="W89" i="2"/>
  <c r="W141" i="2" s="1"/>
  <c r="Y141" i="2"/>
  <c r="Y150" i="2"/>
  <c r="Y75" i="4" s="1"/>
  <c r="W98" i="2"/>
  <c r="W150" i="2" s="1"/>
  <c r="W75" i="4" s="1"/>
  <c r="Y142" i="2"/>
  <c r="W90" i="2"/>
  <c r="Y58" i="4"/>
  <c r="Z34" i="6"/>
  <c r="X92" i="6" s="1"/>
  <c r="Y110" i="2"/>
  <c r="W58" i="2"/>
  <c r="Y111" i="2"/>
  <c r="W59" i="2"/>
  <c r="W111" i="2" s="1"/>
  <c r="F118" i="1"/>
  <c r="F25" i="4"/>
  <c r="Z76" i="1"/>
  <c r="Z44" i="1"/>
  <c r="Y76" i="1"/>
  <c r="Y44" i="1"/>
  <c r="F49" i="6"/>
  <c r="F107" i="6" s="1"/>
  <c r="F72" i="2"/>
  <c r="F104" i="2" s="1"/>
  <c r="F121" i="2"/>
  <c r="F124" i="2" s="1"/>
  <c r="J109" i="1"/>
  <c r="L16" i="4"/>
  <c r="N121" i="2"/>
  <c r="N72" i="2"/>
  <c r="N104" i="2" s="1"/>
  <c r="S10" i="6"/>
  <c r="Q68" i="6" s="1"/>
  <c r="R42" i="4"/>
  <c r="H56" i="2"/>
  <c r="X4" i="4"/>
  <c r="W61" i="6"/>
  <c r="Y11" i="6"/>
  <c r="P10" i="6"/>
  <c r="N68" i="6" s="1"/>
  <c r="O42" i="4"/>
  <c r="O133" i="2"/>
  <c r="H81" i="2"/>
  <c r="H133" i="2" s="1"/>
  <c r="Z68" i="4"/>
  <c r="AA32" i="6"/>
  <c r="Y90" i="6" s="1"/>
  <c r="AA21" i="6"/>
  <c r="Y79" i="6" s="1"/>
  <c r="Z52" i="4"/>
  <c r="Z66" i="2"/>
  <c r="Z108" i="2"/>
  <c r="P40" i="4"/>
  <c r="Q8" i="6"/>
  <c r="O66" i="6" s="1"/>
  <c r="O161" i="6" s="1"/>
  <c r="P51" i="4"/>
  <c r="Q18" i="6"/>
  <c r="O76" i="6" s="1"/>
  <c r="O171" i="6" s="1"/>
  <c r="W65" i="2"/>
  <c r="Y117" i="2"/>
  <c r="R76" i="1"/>
  <c r="Q45" i="1"/>
  <c r="R44" i="1"/>
  <c r="E72" i="2"/>
  <c r="E121" i="2"/>
  <c r="K76" i="1"/>
  <c r="K15" i="4" s="1"/>
  <c r="K44" i="1"/>
  <c r="K75" i="1" s="1"/>
  <c r="K14" i="4" s="1"/>
  <c r="Z62" i="4"/>
  <c r="AA40" i="6"/>
  <c r="Y98" i="6" s="1"/>
  <c r="Z67" i="4"/>
  <c r="AA28" i="6"/>
  <c r="Y86" i="6" s="1"/>
  <c r="Q14" i="6"/>
  <c r="O72" i="6" s="1"/>
  <c r="P46" i="4"/>
  <c r="E113" i="3"/>
  <c r="F45" i="1"/>
  <c r="F76" i="1" s="1"/>
  <c r="P27" i="6"/>
  <c r="O55" i="4"/>
  <c r="P35" i="6"/>
  <c r="O59" i="4"/>
  <c r="K72" i="2"/>
  <c r="K104" i="2" s="1"/>
  <c r="K121" i="2"/>
  <c r="Q109" i="2"/>
  <c r="Z78" i="4"/>
  <c r="AA47" i="6"/>
  <c r="Y105" i="6" s="1"/>
  <c r="P14" i="6"/>
  <c r="N72" i="6" s="1"/>
  <c r="O46" i="4"/>
  <c r="Y20" i="6"/>
  <c r="X65" i="4"/>
  <c r="X155" i="2"/>
  <c r="V2" i="6"/>
  <c r="U118" i="2"/>
  <c r="U43" i="4" s="1"/>
  <c r="U33" i="4"/>
  <c r="V13" i="6"/>
  <c r="U45" i="4"/>
  <c r="U124" i="2"/>
  <c r="U49" i="4" s="1"/>
  <c r="H78" i="2"/>
  <c r="H130" i="2" s="1"/>
  <c r="H82" i="2"/>
  <c r="H134" i="2" s="1"/>
  <c r="C33" i="1"/>
  <c r="C64" i="1" s="1"/>
  <c r="Q36" i="6"/>
  <c r="O94" i="6" s="1"/>
  <c r="P70" i="4"/>
  <c r="P68" i="4"/>
  <c r="Q32" i="6"/>
  <c r="O90" i="6" s="1"/>
  <c r="P45" i="4"/>
  <c r="Q13" i="6"/>
  <c r="O71" i="6" s="1"/>
  <c r="W77" i="2"/>
  <c r="Y129" i="2"/>
  <c r="Y86" i="2"/>
  <c r="W73" i="2"/>
  <c r="Y125" i="2"/>
  <c r="I15" i="4"/>
  <c r="I44" i="1"/>
  <c r="I75" i="1" s="1"/>
  <c r="W44" i="1"/>
  <c r="W76" i="1"/>
  <c r="V45" i="1"/>
  <c r="I110" i="1"/>
  <c r="J17" i="4"/>
  <c r="H69" i="2"/>
  <c r="H121" i="2" s="1"/>
  <c r="I121" i="2"/>
  <c r="I72" i="2"/>
  <c r="E100" i="1"/>
  <c r="E7" i="4"/>
  <c r="I101" i="1"/>
  <c r="J8" i="4"/>
  <c r="V79" i="1"/>
  <c r="B48" i="1"/>
  <c r="B79" i="1" s="1"/>
  <c r="O153" i="2"/>
  <c r="H101" i="2"/>
  <c r="H153" i="2" s="1"/>
  <c r="O140" i="2"/>
  <c r="H88" i="2"/>
  <c r="H140" i="2" s="1"/>
  <c r="O66" i="2"/>
  <c r="Q121" i="2"/>
  <c r="H90" i="2"/>
  <c r="H142" i="2" s="1"/>
  <c r="W88" i="2"/>
  <c r="T77" i="4"/>
  <c r="U46" i="6"/>
  <c r="S104" i="6" s="1"/>
  <c r="T155" i="2"/>
  <c r="O45" i="6"/>
  <c r="M103" i="6" s="1"/>
  <c r="N76" i="4"/>
  <c r="I51" i="4"/>
  <c r="I138" i="2"/>
  <c r="J18" i="6"/>
  <c r="U37" i="4"/>
  <c r="V5" i="6"/>
  <c r="T63" i="6" s="1"/>
  <c r="R112" i="2"/>
  <c r="W97" i="2"/>
  <c r="W149" i="2" s="1"/>
  <c r="C4" i="4"/>
  <c r="L72" i="2"/>
  <c r="L104" i="2" s="1"/>
  <c r="L121" i="2"/>
  <c r="O35" i="4"/>
  <c r="P4" i="6"/>
  <c r="N62" i="6" s="1"/>
  <c r="O41" i="4"/>
  <c r="P2" i="6"/>
  <c r="P31" i="6"/>
  <c r="O60" i="4"/>
  <c r="O120" i="2"/>
  <c r="H68" i="2"/>
  <c r="H120" i="2" s="1"/>
  <c r="Q151" i="2"/>
  <c r="Q103" i="2"/>
  <c r="Q141" i="2"/>
  <c r="Q131" i="2"/>
  <c r="AA6" i="6"/>
  <c r="Y64" i="6" s="1"/>
  <c r="Z38" i="4"/>
  <c r="Z51" i="4"/>
  <c r="AA18" i="6"/>
  <c r="Y76" i="6" s="1"/>
  <c r="Z73" i="4"/>
  <c r="AA42" i="6"/>
  <c r="AA30" i="6"/>
  <c r="Y88" i="6" s="1"/>
  <c r="Z57" i="4"/>
  <c r="AA37" i="6"/>
  <c r="Y95" i="6" s="1"/>
  <c r="Z47" i="4"/>
  <c r="E3" i="6"/>
  <c r="D118" i="2"/>
  <c r="D43" i="4" s="1"/>
  <c r="D34" i="4"/>
  <c r="D69" i="2"/>
  <c r="G121" i="2"/>
  <c r="G72" i="2"/>
  <c r="G104" i="2" s="1"/>
  <c r="H58" i="2"/>
  <c r="H110" i="2" s="1"/>
  <c r="H77" i="6"/>
  <c r="T99" i="1"/>
  <c r="V6" i="4"/>
  <c r="H74" i="2"/>
  <c r="H126" i="2" s="1"/>
  <c r="G104" i="1"/>
  <c r="G11" i="4"/>
  <c r="F62" i="6"/>
  <c r="F11" i="6"/>
  <c r="K11" i="6"/>
  <c r="K68" i="6"/>
  <c r="D80" i="4"/>
  <c r="H98" i="2"/>
  <c r="H150" i="2" s="1"/>
  <c r="H75" i="4" s="1"/>
  <c r="J100" i="1"/>
  <c r="L7" i="4"/>
  <c r="S3" i="6"/>
  <c r="Q61" i="6" s="1"/>
  <c r="R34" i="4"/>
  <c r="R133" i="2"/>
  <c r="B36" i="1"/>
  <c r="B67" i="1" s="1"/>
  <c r="Q4" i="6"/>
  <c r="O62" i="6" s="1"/>
  <c r="O157" i="6" s="1"/>
  <c r="P35" i="4"/>
  <c r="Q31" i="6"/>
  <c r="O89" i="6" s="1"/>
  <c r="P60" i="4"/>
  <c r="P48" i="4"/>
  <c r="Q15" i="6"/>
  <c r="O73" i="6" s="1"/>
  <c r="O168" i="6" s="1"/>
  <c r="P61" i="4"/>
  <c r="Q26" i="6"/>
  <c r="O84" i="6" s="1"/>
  <c r="P36" i="4"/>
  <c r="Q23" i="6"/>
  <c r="O81" i="6" s="1"/>
  <c r="Y137" i="2"/>
  <c r="W85" i="2"/>
  <c r="Y40" i="4"/>
  <c r="Z8" i="6"/>
  <c r="X66" i="6" s="1"/>
  <c r="W76" i="2"/>
  <c r="Y128" i="2"/>
  <c r="Y112" i="2"/>
  <c r="W60" i="2"/>
  <c r="W112" i="2" s="1"/>
  <c r="Y146" i="2"/>
  <c r="W94" i="2"/>
  <c r="W146" i="2" s="1"/>
  <c r="Y123" i="2"/>
  <c r="W71" i="2"/>
  <c r="P44" i="1"/>
  <c r="P76" i="1"/>
  <c r="S76" i="1"/>
  <c r="S44" i="1"/>
  <c r="V74" i="1"/>
  <c r="B43" i="1"/>
  <c r="B74" i="1" s="1"/>
  <c r="W100" i="6"/>
  <c r="Y49" i="6"/>
  <c r="W107" i="6" s="1"/>
  <c r="C46" i="1"/>
  <c r="C77" i="1" s="1"/>
  <c r="V109" i="1"/>
  <c r="X16" i="4"/>
  <c r="J104" i="1"/>
  <c r="L11" i="4"/>
  <c r="N33" i="4"/>
  <c r="N118" i="2"/>
  <c r="N43" i="4" s="1"/>
  <c r="O2" i="6"/>
  <c r="L100" i="6"/>
  <c r="N49" i="6"/>
  <c r="L107" i="6" s="1"/>
  <c r="G102" i="1"/>
  <c r="G9" i="4"/>
  <c r="G121" i="1"/>
  <c r="G28" i="4"/>
  <c r="V49" i="6"/>
  <c r="T107" i="6" s="1"/>
  <c r="I104" i="2" l="1"/>
  <c r="R139" i="2"/>
  <c r="C45" i="1"/>
  <c r="C76" i="1" s="1"/>
  <c r="T104" i="2"/>
  <c r="R86" i="2"/>
  <c r="G111" i="1"/>
  <c r="G99" i="1"/>
  <c r="C134" i="2"/>
  <c r="B89" i="1"/>
  <c r="B121" i="1" s="1"/>
  <c r="B84" i="1"/>
  <c r="B116" i="1" s="1"/>
  <c r="B73" i="1"/>
  <c r="B12" i="4" s="1"/>
  <c r="I64" i="1"/>
  <c r="I3" i="4" s="1"/>
  <c r="E33" i="1"/>
  <c r="E64" i="1" s="1"/>
  <c r="E11" i="4"/>
  <c r="E104" i="1"/>
  <c r="B41" i="1"/>
  <c r="Q65" i="1"/>
  <c r="Q4" i="4" s="1"/>
  <c r="U3" i="4"/>
  <c r="T75" i="6"/>
  <c r="S3" i="4"/>
  <c r="Q96" i="1"/>
  <c r="V33" i="1"/>
  <c r="V64" i="1" s="1"/>
  <c r="X34" i="6"/>
  <c r="V92" i="6" s="1"/>
  <c r="J104" i="2"/>
  <c r="U96" i="1"/>
  <c r="W3" i="4"/>
  <c r="C87" i="2"/>
  <c r="K107" i="6"/>
  <c r="N11" i="6"/>
  <c r="L69" i="6" s="1"/>
  <c r="C115" i="2"/>
  <c r="D8" i="6" s="1"/>
  <c r="D66" i="6" s="1"/>
  <c r="H49" i="1"/>
  <c r="H80" i="1" s="1"/>
  <c r="X8" i="6"/>
  <c r="V66" i="6" s="1"/>
  <c r="C81" i="2"/>
  <c r="C63" i="2"/>
  <c r="C168" i="2" s="1"/>
  <c r="I24" i="6"/>
  <c r="I82" i="6" s="1"/>
  <c r="I29" i="6"/>
  <c r="I87" i="6" s="1"/>
  <c r="W96" i="1"/>
  <c r="Y3" i="4"/>
  <c r="O49" i="1"/>
  <c r="O80" i="1" s="1"/>
  <c r="L11" i="6"/>
  <c r="K69" i="6" s="1"/>
  <c r="Y4" i="4"/>
  <c r="W97" i="1"/>
  <c r="K96" i="1"/>
  <c r="P4" i="4"/>
  <c r="N97" i="1"/>
  <c r="P97" i="1"/>
  <c r="R4" i="4"/>
  <c r="R3" i="4"/>
  <c r="P96" i="1"/>
  <c r="S4" i="6"/>
  <c r="Q62" i="6" s="1"/>
  <c r="R35" i="4"/>
  <c r="N96" i="1"/>
  <c r="P3" i="4"/>
  <c r="S2" i="6"/>
  <c r="Q60" i="6" s="1"/>
  <c r="C59" i="2"/>
  <c r="B34" i="1"/>
  <c r="B65" i="1" s="1"/>
  <c r="K97" i="1"/>
  <c r="M4" i="4"/>
  <c r="C56" i="2"/>
  <c r="H41" i="6"/>
  <c r="H99" i="6" s="1"/>
  <c r="L96" i="1"/>
  <c r="I40" i="6"/>
  <c r="I98" i="6" s="1"/>
  <c r="O49" i="6"/>
  <c r="M107" i="6" s="1"/>
  <c r="C84" i="2"/>
  <c r="H71" i="4"/>
  <c r="S80" i="6"/>
  <c r="U41" i="6"/>
  <c r="S99" i="6" s="1"/>
  <c r="D97" i="1"/>
  <c r="D4" i="4"/>
  <c r="C83" i="2"/>
  <c r="U102" i="6"/>
  <c r="W49" i="6"/>
  <c r="U107" i="6" s="1"/>
  <c r="C98" i="2"/>
  <c r="C79" i="2"/>
  <c r="C97" i="2"/>
  <c r="C69" i="2"/>
  <c r="C89" i="2"/>
  <c r="I45" i="6"/>
  <c r="I103" i="6" s="1"/>
  <c r="T11" i="6"/>
  <c r="R69" i="6" s="1"/>
  <c r="G98" i="1"/>
  <c r="G5" i="4"/>
  <c r="Z3" i="4"/>
  <c r="X96" i="1"/>
  <c r="C73" i="2"/>
  <c r="C91" i="2"/>
  <c r="R118" i="2"/>
  <c r="R43" i="4" s="1"/>
  <c r="B98" i="1"/>
  <c r="B5" i="4"/>
  <c r="L97" i="1"/>
  <c r="N4" i="4"/>
  <c r="B113" i="1"/>
  <c r="B20" i="4"/>
  <c r="R96" i="1"/>
  <c r="T3" i="4"/>
  <c r="R72" i="2"/>
  <c r="Z4" i="4"/>
  <c r="X97" i="1"/>
  <c r="Q104" i="2"/>
  <c r="X49" i="1"/>
  <c r="X52" i="1" s="1"/>
  <c r="Y104" i="2"/>
  <c r="C68" i="2"/>
  <c r="D96" i="1"/>
  <c r="D3" i="4"/>
  <c r="R97" i="1"/>
  <c r="T4" i="4"/>
  <c r="G102" i="6"/>
  <c r="G49" i="6"/>
  <c r="G107" i="6" s="1"/>
  <c r="Y14" i="6"/>
  <c r="X124" i="2"/>
  <c r="X49" i="4" s="1"/>
  <c r="X46" i="4"/>
  <c r="J41" i="6"/>
  <c r="J99" i="6" s="1"/>
  <c r="J76" i="6"/>
  <c r="O135" i="6"/>
  <c r="N98" i="6"/>
  <c r="G114" i="1"/>
  <c r="G21" i="4"/>
  <c r="K17" i="6"/>
  <c r="J50" i="4"/>
  <c r="J138" i="2"/>
  <c r="O39" i="4"/>
  <c r="P7" i="6"/>
  <c r="N65" i="6" s="1"/>
  <c r="C11" i="4"/>
  <c r="C104" i="1"/>
  <c r="U156" i="2"/>
  <c r="H70" i="4"/>
  <c r="I36" i="6"/>
  <c r="I94" i="6" s="1"/>
  <c r="O48" i="4"/>
  <c r="P15" i="6"/>
  <c r="N73" i="6" s="1"/>
  <c r="X45" i="6"/>
  <c r="V103" i="6" s="1"/>
  <c r="W76" i="4"/>
  <c r="W128" i="2"/>
  <c r="C76" i="2"/>
  <c r="I4" i="6"/>
  <c r="I62" i="6" s="1"/>
  <c r="H35" i="4"/>
  <c r="I13" i="6"/>
  <c r="I71" i="6" s="1"/>
  <c r="H45" i="4"/>
  <c r="M14" i="6"/>
  <c r="M16" i="6" s="1"/>
  <c r="M50" i="6" s="1"/>
  <c r="L124" i="2"/>
  <c r="L46" i="4"/>
  <c r="H67" i="4"/>
  <c r="I28" i="6"/>
  <c r="I86" i="6" s="1"/>
  <c r="V76" i="1"/>
  <c r="V44" i="1"/>
  <c r="V75" i="1" s="1"/>
  <c r="Y54" i="4"/>
  <c r="Z25" i="6"/>
  <c r="X83" i="6" s="1"/>
  <c r="Q34" i="4"/>
  <c r="R3" i="6"/>
  <c r="P61" i="6" s="1"/>
  <c r="O156" i="6" s="1"/>
  <c r="C109" i="2"/>
  <c r="B106" i="1"/>
  <c r="B13" i="4"/>
  <c r="W123" i="2"/>
  <c r="C71" i="2"/>
  <c r="S34" i="6"/>
  <c r="Q92" i="6" s="1"/>
  <c r="C133" i="2"/>
  <c r="R58" i="4"/>
  <c r="O45" i="4"/>
  <c r="P13" i="6"/>
  <c r="N71" i="6" s="1"/>
  <c r="B111" i="1"/>
  <c r="B18" i="4"/>
  <c r="W15" i="4"/>
  <c r="U108" i="1"/>
  <c r="W129" i="2"/>
  <c r="C77" i="2"/>
  <c r="W78" i="6"/>
  <c r="Y41" i="6"/>
  <c r="W99" i="6" s="1"/>
  <c r="K46" i="4"/>
  <c r="K124" i="2"/>
  <c r="K49" i="4" s="1"/>
  <c r="L14" i="6"/>
  <c r="L16" i="6" s="1"/>
  <c r="F14" i="6"/>
  <c r="E46" i="4"/>
  <c r="E124" i="2"/>
  <c r="E49" i="4" s="1"/>
  <c r="X23" i="6"/>
  <c r="V81" i="6" s="1"/>
  <c r="W36" i="4"/>
  <c r="R6" i="6"/>
  <c r="P64" i="6" s="1"/>
  <c r="O159" i="6" s="1"/>
  <c r="C113" i="2"/>
  <c r="Q38" i="4"/>
  <c r="I33" i="6"/>
  <c r="I91" i="6" s="1"/>
  <c r="H69" i="4"/>
  <c r="Y47" i="4"/>
  <c r="Z37" i="6"/>
  <c r="X95" i="6" s="1"/>
  <c r="P50" i="4"/>
  <c r="Q17" i="6"/>
  <c r="P138" i="2"/>
  <c r="P63" i="4" s="1"/>
  <c r="C111" i="2"/>
  <c r="R23" i="6"/>
  <c r="P81" i="6" s="1"/>
  <c r="O176" i="6" s="1"/>
  <c r="Q36" i="4"/>
  <c r="U109" i="1"/>
  <c r="W16" i="4"/>
  <c r="Y72" i="4"/>
  <c r="Z39" i="6"/>
  <c r="X97" i="6" s="1"/>
  <c r="N41" i="6"/>
  <c r="L99" i="6" s="1"/>
  <c r="C60" i="2"/>
  <c r="K80" i="4"/>
  <c r="H77" i="4"/>
  <c r="I46" i="6"/>
  <c r="I104" i="6" s="1"/>
  <c r="AA12" i="6"/>
  <c r="Z44" i="4"/>
  <c r="Z124" i="2"/>
  <c r="Z49" i="4" s="1"/>
  <c r="O72" i="4"/>
  <c r="P39" i="6"/>
  <c r="V107" i="1"/>
  <c r="X14" i="4"/>
  <c r="C146" i="2"/>
  <c r="R38" i="6"/>
  <c r="P96" i="6" s="1"/>
  <c r="Q71" i="4"/>
  <c r="C102" i="1"/>
  <c r="C9" i="4"/>
  <c r="G110" i="1"/>
  <c r="G17" i="4"/>
  <c r="D44" i="1"/>
  <c r="D75" i="1" s="1"/>
  <c r="Y69" i="4"/>
  <c r="Z33" i="6"/>
  <c r="X91" i="6" s="1"/>
  <c r="Q78" i="4"/>
  <c r="R47" i="6"/>
  <c r="P105" i="6" s="1"/>
  <c r="C153" i="2"/>
  <c r="I23" i="6"/>
  <c r="I81" i="6" s="1"/>
  <c r="H36" i="4"/>
  <c r="N82" i="6"/>
  <c r="O119" i="6"/>
  <c r="H107" i="1"/>
  <c r="H14" i="4"/>
  <c r="W132" i="2"/>
  <c r="C80" i="2"/>
  <c r="T41" i="6"/>
  <c r="R99" i="6" s="1"/>
  <c r="G100" i="1"/>
  <c r="G7" i="4"/>
  <c r="E108" i="1"/>
  <c r="E15" i="4"/>
  <c r="X31" i="6"/>
  <c r="V89" i="6" s="1"/>
  <c r="W60" i="4"/>
  <c r="S75" i="1"/>
  <c r="S49" i="1"/>
  <c r="X38" i="6"/>
  <c r="V96" i="6" s="1"/>
  <c r="W71" i="4"/>
  <c r="W137" i="2"/>
  <c r="C85" i="2"/>
  <c r="F69" i="6"/>
  <c r="Q64" i="1"/>
  <c r="D72" i="2"/>
  <c r="D104" i="2" s="1"/>
  <c r="C61" i="1" s="1"/>
  <c r="D121" i="2"/>
  <c r="Y100" i="6"/>
  <c r="AA49" i="6"/>
  <c r="Y107" i="6" s="1"/>
  <c r="O126" i="6"/>
  <c r="N89" i="6"/>
  <c r="H3" i="4"/>
  <c r="H96" i="1"/>
  <c r="I14" i="6"/>
  <c r="I72" i="6" s="1"/>
  <c r="H46" i="4"/>
  <c r="I14" i="4"/>
  <c r="I49" i="1"/>
  <c r="I80" i="1" s="1"/>
  <c r="I35" i="6"/>
  <c r="I93" i="6" s="1"/>
  <c r="H59" i="4"/>
  <c r="R75" i="1"/>
  <c r="R49" i="1"/>
  <c r="I34" i="6"/>
  <c r="I92" i="6" s="1"/>
  <c r="H58" i="4"/>
  <c r="Y75" i="1"/>
  <c r="Y49" i="1"/>
  <c r="W110" i="2"/>
  <c r="C58" i="2"/>
  <c r="Y66" i="4"/>
  <c r="Z24" i="6"/>
  <c r="X82" i="6" s="1"/>
  <c r="S63" i="4"/>
  <c r="Q75" i="4"/>
  <c r="C150" i="2"/>
  <c r="C75" i="4" s="1"/>
  <c r="R44" i="6"/>
  <c r="P102" i="6" s="1"/>
  <c r="N103" i="6"/>
  <c r="O140" i="6"/>
  <c r="X47" i="6"/>
  <c r="V105" i="6" s="1"/>
  <c r="W78" i="4"/>
  <c r="N76" i="6"/>
  <c r="O113" i="6"/>
  <c r="N15" i="4"/>
  <c r="L108" i="1"/>
  <c r="O73" i="4"/>
  <c r="P42" i="6"/>
  <c r="P3" i="6"/>
  <c r="N61" i="6" s="1"/>
  <c r="O118" i="2"/>
  <c r="O43" i="4" s="1"/>
  <c r="O34" i="4"/>
  <c r="H86" i="2"/>
  <c r="H125" i="2"/>
  <c r="U75" i="1"/>
  <c r="U49" i="1"/>
  <c r="Y33" i="4"/>
  <c r="Y118" i="2"/>
  <c r="Y43" i="4" s="1"/>
  <c r="R138" i="2"/>
  <c r="R63" i="4" s="1"/>
  <c r="R52" i="4"/>
  <c r="S21" i="6"/>
  <c r="Q79" i="6" s="1"/>
  <c r="Q60" i="4"/>
  <c r="R31" i="6"/>
  <c r="P89" i="6" s="1"/>
  <c r="O184" i="6" s="1"/>
  <c r="C135" i="2"/>
  <c r="W77" i="4"/>
  <c r="X46" i="6"/>
  <c r="V104" i="6" s="1"/>
  <c r="I32" i="6"/>
  <c r="I90" i="6" s="1"/>
  <c r="H68" i="4"/>
  <c r="G69" i="6"/>
  <c r="F17" i="6"/>
  <c r="E50" i="4"/>
  <c r="E138" i="2"/>
  <c r="Y38" i="4"/>
  <c r="Z6" i="6"/>
  <c r="X64" i="6" s="1"/>
  <c r="Y59" i="4"/>
  <c r="Z35" i="6"/>
  <c r="X93" i="6" s="1"/>
  <c r="R33" i="6"/>
  <c r="P91" i="6" s="1"/>
  <c r="Q69" i="4"/>
  <c r="C144" i="2"/>
  <c r="W14" i="6"/>
  <c r="V124" i="2"/>
  <c r="V46" i="4"/>
  <c r="O3" i="4"/>
  <c r="M96" i="1"/>
  <c r="E104" i="6"/>
  <c r="E107" i="6"/>
  <c r="Y39" i="4"/>
  <c r="Z7" i="6"/>
  <c r="X65" i="6" s="1"/>
  <c r="F80" i="4"/>
  <c r="W46" i="4"/>
  <c r="X14" i="6"/>
  <c r="V72" i="6" s="1"/>
  <c r="Q52" i="4"/>
  <c r="R21" i="6"/>
  <c r="P79" i="6" s="1"/>
  <c r="O174" i="6" s="1"/>
  <c r="C127" i="2"/>
  <c r="V4" i="4"/>
  <c r="T97" i="1"/>
  <c r="Q108" i="1"/>
  <c r="S15" i="4"/>
  <c r="Z38" i="6"/>
  <c r="X96" i="6" s="1"/>
  <c r="Y71" i="4"/>
  <c r="Y62" i="4"/>
  <c r="Z40" i="6"/>
  <c r="X98" i="6" s="1"/>
  <c r="R24" i="6"/>
  <c r="P82" i="6" s="1"/>
  <c r="O177" i="6" s="1"/>
  <c r="Q66" i="4"/>
  <c r="Q155" i="2"/>
  <c r="C141" i="2"/>
  <c r="N60" i="6"/>
  <c r="W74" i="4"/>
  <c r="X43" i="6"/>
  <c r="V101" i="6" s="1"/>
  <c r="T80" i="4"/>
  <c r="H65" i="4"/>
  <c r="I20" i="6"/>
  <c r="I78" i="6" s="1"/>
  <c r="N93" i="6"/>
  <c r="O130" i="6"/>
  <c r="Q76" i="1"/>
  <c r="Q44" i="1"/>
  <c r="Q75" i="1" s="1"/>
  <c r="Z33" i="4"/>
  <c r="Z118" i="2"/>
  <c r="Z43" i="4" s="1"/>
  <c r="P34" i="6"/>
  <c r="O58" i="4"/>
  <c r="W108" i="1"/>
  <c r="Y15" i="4"/>
  <c r="Z4" i="6"/>
  <c r="X62" i="6" s="1"/>
  <c r="Y35" i="4"/>
  <c r="X24" i="6"/>
  <c r="V82" i="6" s="1"/>
  <c r="W66" i="4"/>
  <c r="L4" i="4"/>
  <c r="J97" i="1"/>
  <c r="C100" i="2"/>
  <c r="H37" i="4"/>
  <c r="I5" i="6"/>
  <c r="I63" i="6" s="1"/>
  <c r="Z47" i="6"/>
  <c r="X105" i="6" s="1"/>
  <c r="Y78" i="4"/>
  <c r="N75" i="1"/>
  <c r="N49" i="1"/>
  <c r="I42" i="6"/>
  <c r="H73" i="4"/>
  <c r="B114" i="1"/>
  <c r="B21" i="4"/>
  <c r="Q68" i="4"/>
  <c r="R32" i="6"/>
  <c r="P90" i="6" s="1"/>
  <c r="C143" i="2"/>
  <c r="S108" i="1"/>
  <c r="U15" i="4"/>
  <c r="Y64" i="4"/>
  <c r="Z19" i="6"/>
  <c r="X77" i="6" s="1"/>
  <c r="Y155" i="2"/>
  <c r="X26" i="6"/>
  <c r="V84" i="6" s="1"/>
  <c r="W61" i="4"/>
  <c r="J49" i="1"/>
  <c r="Z46" i="6"/>
  <c r="X104" i="6" s="1"/>
  <c r="Y77" i="4"/>
  <c r="R2" i="6"/>
  <c r="Q33" i="4"/>
  <c r="Q118" i="2"/>
  <c r="Q43" i="4" s="1"/>
  <c r="O68" i="4"/>
  <c r="P32" i="6"/>
  <c r="N88" i="6"/>
  <c r="O125" i="6"/>
  <c r="B101" i="1"/>
  <c r="B8" i="4"/>
  <c r="E104" i="2"/>
  <c r="D61" i="1" s="1"/>
  <c r="I43" i="6"/>
  <c r="I101" i="6" s="1"/>
  <c r="H74" i="4"/>
  <c r="H48" i="4"/>
  <c r="I15" i="6"/>
  <c r="I73" i="6" s="1"/>
  <c r="W119" i="2"/>
  <c r="W72" i="2"/>
  <c r="C67" i="2"/>
  <c r="W39" i="4"/>
  <c r="X7" i="6"/>
  <c r="V65" i="6" s="1"/>
  <c r="Z104" i="2"/>
  <c r="C75" i="2"/>
  <c r="H52" i="4"/>
  <c r="I21" i="6"/>
  <c r="I79" i="6" s="1"/>
  <c r="H155" i="2"/>
  <c r="I19" i="6"/>
  <c r="I77" i="6" s="1"/>
  <c r="H64" i="4"/>
  <c r="Y36" i="4"/>
  <c r="Z23" i="6"/>
  <c r="X81" i="6" s="1"/>
  <c r="W122" i="2"/>
  <c r="C70" i="2"/>
  <c r="W147" i="2"/>
  <c r="C95" i="2"/>
  <c r="Q37" i="4"/>
  <c r="R5" i="6"/>
  <c r="P63" i="6" s="1"/>
  <c r="O158" i="6" s="1"/>
  <c r="C112" i="2"/>
  <c r="P23" i="6"/>
  <c r="O36" i="4"/>
  <c r="H108" i="1"/>
  <c r="H15" i="4"/>
  <c r="W38" i="4"/>
  <c r="X6" i="6"/>
  <c r="V64" i="6" s="1"/>
  <c r="W59" i="4"/>
  <c r="X35" i="6"/>
  <c r="V93" i="6" s="1"/>
  <c r="C92" i="2"/>
  <c r="Y44" i="4"/>
  <c r="Z12" i="6"/>
  <c r="Y124" i="2"/>
  <c r="Y49" i="4" s="1"/>
  <c r="G33" i="1"/>
  <c r="G64" i="1" s="1"/>
  <c r="O11" i="6"/>
  <c r="M60" i="6"/>
  <c r="W37" i="4"/>
  <c r="X5" i="6"/>
  <c r="V63" i="6" s="1"/>
  <c r="L49" i="1"/>
  <c r="L64" i="1"/>
  <c r="R77" i="4"/>
  <c r="C152" i="2"/>
  <c r="S46" i="6"/>
  <c r="AA17" i="6"/>
  <c r="Z50" i="4"/>
  <c r="Z138" i="2"/>
  <c r="Z63" i="4" s="1"/>
  <c r="H109" i="1"/>
  <c r="H16" i="4"/>
  <c r="Y73" i="4"/>
  <c r="Z42" i="6"/>
  <c r="AA19" i="6"/>
  <c r="Y77" i="6" s="1"/>
  <c r="Z64" i="4"/>
  <c r="Z155" i="2"/>
  <c r="O52" i="4"/>
  <c r="P21" i="6"/>
  <c r="E61" i="6"/>
  <c r="E11" i="6"/>
  <c r="C99" i="2"/>
  <c r="T60" i="6"/>
  <c r="V11" i="6"/>
  <c r="X108" i="1"/>
  <c r="Z15" i="4"/>
  <c r="H57" i="4"/>
  <c r="I30" i="6"/>
  <c r="I88" i="6" s="1"/>
  <c r="S124" i="2"/>
  <c r="S49" i="4" s="1"/>
  <c r="S46" i="4"/>
  <c r="T14" i="6"/>
  <c r="O132" i="6"/>
  <c r="N95" i="6"/>
  <c r="P33" i="4"/>
  <c r="P118" i="2"/>
  <c r="P43" i="4" s="1"/>
  <c r="O54" i="4"/>
  <c r="P25" i="6"/>
  <c r="N80" i="4"/>
  <c r="C64" i="2"/>
  <c r="W116" i="2"/>
  <c r="H39" i="4"/>
  <c r="I7" i="6"/>
  <c r="I65" i="6" s="1"/>
  <c r="V96" i="1"/>
  <c r="X3" i="4"/>
  <c r="W103" i="2"/>
  <c r="W139" i="2"/>
  <c r="C139" i="2" s="1"/>
  <c r="M46" i="4"/>
  <c r="N14" i="6"/>
  <c r="M124" i="2"/>
  <c r="M49" i="4" s="1"/>
  <c r="Q39" i="4"/>
  <c r="R7" i="6"/>
  <c r="P65" i="6" s="1"/>
  <c r="O160" i="6" s="1"/>
  <c r="C114" i="2"/>
  <c r="B100" i="1"/>
  <c r="B7" i="4"/>
  <c r="T75" i="1"/>
  <c r="T49" i="1"/>
  <c r="W126" i="2"/>
  <c r="C74" i="2"/>
  <c r="X13" i="6"/>
  <c r="V71" i="6" s="1"/>
  <c r="W45" i="4"/>
  <c r="R13" i="6"/>
  <c r="Q45" i="4"/>
  <c r="Q124" i="2"/>
  <c r="Q49" i="4" s="1"/>
  <c r="C120" i="2"/>
  <c r="H53" i="4"/>
  <c r="I22" i="6"/>
  <c r="I80" i="6" s="1"/>
  <c r="F102" i="1"/>
  <c r="F9" i="4"/>
  <c r="O14" i="4"/>
  <c r="M107" i="1"/>
  <c r="AA46" i="4"/>
  <c r="AB14" i="6"/>
  <c r="AA124" i="2"/>
  <c r="AA49" i="4" s="1"/>
  <c r="O61" i="4"/>
  <c r="P26" i="6"/>
  <c r="Z45" i="6"/>
  <c r="X103" i="6" s="1"/>
  <c r="Y76" i="4"/>
  <c r="U69" i="6"/>
  <c r="G16" i="4"/>
  <c r="G109" i="1"/>
  <c r="J107" i="1"/>
  <c r="L14" i="4"/>
  <c r="U79" i="6"/>
  <c r="W41" i="6"/>
  <c r="U99" i="6" s="1"/>
  <c r="W73" i="4"/>
  <c r="X42" i="6"/>
  <c r="U49" i="6"/>
  <c r="S107" i="6" s="1"/>
  <c r="J62" i="6"/>
  <c r="J11" i="6"/>
  <c r="C96" i="2"/>
  <c r="H79" i="4"/>
  <c r="I44" i="6"/>
  <c r="I102" i="6" s="1"/>
  <c r="T106" i="1"/>
  <c r="V13" i="4"/>
  <c r="Y48" i="4"/>
  <c r="Z15" i="6"/>
  <c r="X73" i="6" s="1"/>
  <c r="G124" i="2"/>
  <c r="G49" i="4" s="1"/>
  <c r="H14" i="6"/>
  <c r="G46" i="4"/>
  <c r="P33" i="6"/>
  <c r="O69" i="4"/>
  <c r="V16" i="4"/>
  <c r="T109" i="1"/>
  <c r="I39" i="6"/>
  <c r="I97" i="6" s="1"/>
  <c r="H72" i="4"/>
  <c r="V108" i="1"/>
  <c r="X15" i="4"/>
  <c r="W66" i="2"/>
  <c r="W108" i="2"/>
  <c r="Q138" i="2"/>
  <c r="Q63" i="4" s="1"/>
  <c r="Q50" i="4"/>
  <c r="R17" i="6"/>
  <c r="R15" i="4"/>
  <c r="P108" i="1"/>
  <c r="N46" i="4"/>
  <c r="O14" i="6"/>
  <c r="N124" i="2"/>
  <c r="N49" i="4" s="1"/>
  <c r="Z49" i="1"/>
  <c r="Z75" i="1"/>
  <c r="N87" i="6"/>
  <c r="O124" i="6"/>
  <c r="H54" i="4"/>
  <c r="I25" i="6"/>
  <c r="I83" i="6" s="1"/>
  <c r="Y61" i="4"/>
  <c r="Z26" i="6"/>
  <c r="X84" i="6" s="1"/>
  <c r="J3" i="4"/>
  <c r="I96" i="1"/>
  <c r="R108" i="1"/>
  <c r="T15" i="4"/>
  <c r="Y51" i="4"/>
  <c r="Z18" i="6"/>
  <c r="X76" i="6" s="1"/>
  <c r="Z13" i="6"/>
  <c r="X71" i="6" s="1"/>
  <c r="Y45" i="4"/>
  <c r="O53" i="4"/>
  <c r="P22" i="6"/>
  <c r="G101" i="1"/>
  <c r="G8" i="4"/>
  <c r="P74" i="4"/>
  <c r="Q43" i="6"/>
  <c r="O101" i="6" s="1"/>
  <c r="Q11" i="6"/>
  <c r="O60" i="6"/>
  <c r="G41" i="6"/>
  <c r="G99" i="6" s="1"/>
  <c r="Q73" i="4"/>
  <c r="R42" i="6"/>
  <c r="C148" i="2"/>
  <c r="H103" i="2"/>
  <c r="P15" i="4"/>
  <c r="N108" i="1"/>
  <c r="Z5" i="6"/>
  <c r="X63" i="6" s="1"/>
  <c r="Y37" i="4"/>
  <c r="R37" i="4"/>
  <c r="S5" i="6"/>
  <c r="Q63" i="6" s="1"/>
  <c r="I63" i="4"/>
  <c r="H78" i="4"/>
  <c r="I47" i="6"/>
  <c r="I105" i="6" s="1"/>
  <c r="E49" i="1"/>
  <c r="E80" i="1" s="1"/>
  <c r="W86" i="2"/>
  <c r="W125" i="2"/>
  <c r="N85" i="6"/>
  <c r="O122" i="6"/>
  <c r="Y42" i="4"/>
  <c r="Z10" i="6"/>
  <c r="X68" i="6" s="1"/>
  <c r="P49" i="1"/>
  <c r="P75" i="1"/>
  <c r="Y53" i="4"/>
  <c r="Z22" i="6"/>
  <c r="X80" i="6" s="1"/>
  <c r="B99" i="1"/>
  <c r="B6" i="4"/>
  <c r="H51" i="4"/>
  <c r="I18" i="6"/>
  <c r="I76" i="6" s="1"/>
  <c r="Q76" i="4"/>
  <c r="R45" i="6"/>
  <c r="P103" i="6" s="1"/>
  <c r="C151" i="2"/>
  <c r="W140" i="2"/>
  <c r="C88" i="2"/>
  <c r="O78" i="4"/>
  <c r="P47" i="6"/>
  <c r="E4" i="4"/>
  <c r="E97" i="1"/>
  <c r="X80" i="4"/>
  <c r="C57" i="2"/>
  <c r="F44" i="1"/>
  <c r="F75" i="1" s="1"/>
  <c r="C65" i="2"/>
  <c r="W117" i="2"/>
  <c r="W69" i="6"/>
  <c r="W142" i="2"/>
  <c r="C90" i="2"/>
  <c r="R46" i="4"/>
  <c r="S14" i="6"/>
  <c r="Q72" i="6" s="1"/>
  <c r="O38" i="4"/>
  <c r="P6" i="6"/>
  <c r="N64" i="6" s="1"/>
  <c r="J124" i="2"/>
  <c r="J49" i="4" s="1"/>
  <c r="K14" i="6"/>
  <c r="J46" i="4"/>
  <c r="O104" i="2"/>
  <c r="X29" i="6"/>
  <c r="V87" i="6" s="1"/>
  <c r="W56" i="4"/>
  <c r="O50" i="4"/>
  <c r="P17" i="6"/>
  <c r="O138" i="2"/>
  <c r="O63" i="4" s="1"/>
  <c r="R43" i="6"/>
  <c r="P101" i="6" s="1"/>
  <c r="Q74" i="4"/>
  <c r="C149" i="2"/>
  <c r="M77" i="6"/>
  <c r="O41" i="6"/>
  <c r="M99" i="6" s="1"/>
  <c r="Y41" i="4"/>
  <c r="Z2" i="6"/>
  <c r="K49" i="1"/>
  <c r="J15" i="4"/>
  <c r="I108" i="1"/>
  <c r="Y55" i="4"/>
  <c r="Z27" i="6"/>
  <c r="X85" i="6" s="1"/>
  <c r="W145" i="2"/>
  <c r="C93" i="2"/>
  <c r="C82" i="2"/>
  <c r="H119" i="2"/>
  <c r="H72" i="2"/>
  <c r="C62" i="2"/>
  <c r="Q16" i="4"/>
  <c r="O109" i="1"/>
  <c r="M75" i="1"/>
  <c r="M49" i="1"/>
  <c r="X32" i="6"/>
  <c r="V90" i="6" s="1"/>
  <c r="W68" i="4"/>
  <c r="P104" i="2"/>
  <c r="S13" i="6"/>
  <c r="R124" i="2"/>
  <c r="R49" i="4" s="1"/>
  <c r="R45" i="4"/>
  <c r="H60" i="4"/>
  <c r="I31" i="6"/>
  <c r="I89" i="6" s="1"/>
  <c r="N96" i="6"/>
  <c r="O133" i="6"/>
  <c r="H69" i="6"/>
  <c r="M108" i="1"/>
  <c r="O15" i="4"/>
  <c r="H61" i="4"/>
  <c r="I26" i="6"/>
  <c r="I84" i="6" s="1"/>
  <c r="Q61" i="4"/>
  <c r="C136" i="2"/>
  <c r="R26" i="6"/>
  <c r="P84" i="6" s="1"/>
  <c r="O179" i="6" s="1"/>
  <c r="E89" i="6"/>
  <c r="J108" i="1"/>
  <c r="L15" i="4"/>
  <c r="Z3" i="6"/>
  <c r="X61" i="6" s="1"/>
  <c r="Y34" i="4"/>
  <c r="W154" i="2"/>
  <c r="C102" i="2"/>
  <c r="G80" i="4"/>
  <c r="Z94" i="6"/>
  <c r="AB41" i="6"/>
  <c r="Z99" i="6" s="1"/>
  <c r="E94" i="6"/>
  <c r="O79" i="4"/>
  <c r="P44" i="6"/>
  <c r="N109" i="1"/>
  <c r="P16" i="4"/>
  <c r="R29" i="6"/>
  <c r="P87" i="6" s="1"/>
  <c r="O182" i="6" s="1"/>
  <c r="Q56" i="4"/>
  <c r="C131" i="2"/>
  <c r="S19" i="6"/>
  <c r="R155" i="2"/>
  <c r="R64" i="4"/>
  <c r="Q46" i="4"/>
  <c r="R14" i="6"/>
  <c r="P72" i="6" s="1"/>
  <c r="O167" i="6" s="1"/>
  <c r="T111" i="1"/>
  <c r="V18" i="4"/>
  <c r="I46" i="4"/>
  <c r="J14" i="6"/>
  <c r="I124" i="2"/>
  <c r="I49" i="4" s="1"/>
  <c r="W75" i="1"/>
  <c r="W49" i="1"/>
  <c r="T71" i="6"/>
  <c r="V16" i="6"/>
  <c r="T74" i="6" s="1"/>
  <c r="K82" i="6"/>
  <c r="L41" i="6"/>
  <c r="I3" i="6"/>
  <c r="I61" i="6" s="1"/>
  <c r="H34" i="4"/>
  <c r="B17" i="4"/>
  <c r="B110" i="1"/>
  <c r="D15" i="4"/>
  <c r="D108" i="1"/>
  <c r="W69" i="4"/>
  <c r="X33" i="6"/>
  <c r="V91" i="6" s="1"/>
  <c r="Z31" i="6"/>
  <c r="X89" i="6" s="1"/>
  <c r="Y60" i="4"/>
  <c r="N86" i="6"/>
  <c r="O123" i="6"/>
  <c r="P20" i="6"/>
  <c r="O65" i="4"/>
  <c r="Y138" i="2"/>
  <c r="Y63" i="4" s="1"/>
  <c r="Y50" i="4"/>
  <c r="Z17" i="6"/>
  <c r="I27" i="6"/>
  <c r="I85" i="6" s="1"/>
  <c r="H55" i="4"/>
  <c r="H66" i="2"/>
  <c r="H108" i="2"/>
  <c r="F46" i="4"/>
  <c r="F49" i="4"/>
  <c r="G14" i="6"/>
  <c r="Z28" i="6"/>
  <c r="X86" i="6" s="1"/>
  <c r="Y67" i="4"/>
  <c r="M80" i="4"/>
  <c r="C61" i="2"/>
  <c r="H38" i="4"/>
  <c r="I6" i="6"/>
  <c r="I64" i="6" s="1"/>
  <c r="O64" i="4"/>
  <c r="O155" i="2"/>
  <c r="P19" i="6"/>
  <c r="Y56" i="4"/>
  <c r="Z29" i="6"/>
  <c r="X87" i="6" s="1"/>
  <c r="P46" i="6"/>
  <c r="O77" i="4"/>
  <c r="Q12" i="6"/>
  <c r="P124" i="2"/>
  <c r="P49" i="4" s="1"/>
  <c r="P44" i="4"/>
  <c r="T124" i="2"/>
  <c r="T49" i="4" s="1"/>
  <c r="T46" i="4"/>
  <c r="U14" i="6"/>
  <c r="I107" i="1"/>
  <c r="J14" i="4"/>
  <c r="C78" i="2"/>
  <c r="W130" i="2"/>
  <c r="Y70" i="4"/>
  <c r="Z36" i="6"/>
  <c r="X94" i="6" s="1"/>
  <c r="R35" i="6"/>
  <c r="P93" i="6" s="1"/>
  <c r="Q59" i="4"/>
  <c r="C94" i="2"/>
  <c r="B102" i="1"/>
  <c r="B9" i="4"/>
  <c r="R16" i="4"/>
  <c r="P109" i="1"/>
  <c r="K108" i="1"/>
  <c r="M15" i="4"/>
  <c r="Z32" i="6"/>
  <c r="X90" i="6" s="1"/>
  <c r="Y68" i="4"/>
  <c r="P64" i="4"/>
  <c r="Q19" i="6"/>
  <c r="O77" i="6" s="1"/>
  <c r="O172" i="6" s="1"/>
  <c r="P155" i="2"/>
  <c r="X21" i="6"/>
  <c r="V79" i="6" s="1"/>
  <c r="W52" i="4"/>
  <c r="C101" i="2"/>
  <c r="D109" i="1"/>
  <c r="D16" i="4"/>
  <c r="G44" i="1"/>
  <c r="G75" i="1" s="1"/>
  <c r="Z30" i="6"/>
  <c r="X88" i="6" s="1"/>
  <c r="Y57" i="4"/>
  <c r="AA2" i="6"/>
  <c r="O131" i="6"/>
  <c r="N94" i="6"/>
  <c r="E107" i="1"/>
  <c r="E14" i="4"/>
  <c r="W34" i="4"/>
  <c r="X3" i="6"/>
  <c r="V61" i="6" s="1"/>
  <c r="Z44" i="6"/>
  <c r="X102" i="6" s="1"/>
  <c r="Y79" i="4"/>
  <c r="O100" i="6"/>
  <c r="AA80" i="4"/>
  <c r="O44" i="4"/>
  <c r="O124" i="2"/>
  <c r="O49" i="4" s="1"/>
  <c r="P12" i="6"/>
  <c r="B46" i="1"/>
  <c r="B77" i="1" s="1"/>
  <c r="C44" i="1" l="1"/>
  <c r="C75" i="1" s="1"/>
  <c r="B45" i="1"/>
  <c r="B76" i="1" s="1"/>
  <c r="C206" i="2"/>
  <c r="C199" i="2"/>
  <c r="C166" i="2"/>
  <c r="C187" i="2"/>
  <c r="R104" i="2"/>
  <c r="C197" i="2"/>
  <c r="C162" i="2"/>
  <c r="B28" i="4"/>
  <c r="B23" i="4"/>
  <c r="C180" i="2"/>
  <c r="C173" i="2"/>
  <c r="C196" i="2"/>
  <c r="C194" i="2"/>
  <c r="C203" i="2"/>
  <c r="C192" i="2"/>
  <c r="C205" i="2"/>
  <c r="C121" i="2"/>
  <c r="C174" i="2" s="1"/>
  <c r="E14" i="6"/>
  <c r="C165" i="2"/>
  <c r="C189" i="2"/>
  <c r="C186" i="2"/>
  <c r="C167" i="2"/>
  <c r="C201" i="2"/>
  <c r="C204" i="2"/>
  <c r="C202" i="2"/>
  <c r="C164" i="2"/>
  <c r="C184" i="2"/>
  <c r="C188" i="2"/>
  <c r="B57" i="1"/>
  <c r="B72" i="1"/>
  <c r="B11" i="4" s="1"/>
  <c r="B105" i="1"/>
  <c r="O97" i="1"/>
  <c r="B33" i="1"/>
  <c r="B64" i="1" s="1"/>
  <c r="C109" i="1"/>
  <c r="C16" i="4"/>
  <c r="C40" i="4"/>
  <c r="F156" i="2"/>
  <c r="F158" i="2" s="1"/>
  <c r="O52" i="1"/>
  <c r="O83" i="1" s="1"/>
  <c r="X156" i="2"/>
  <c r="X158" i="2" s="1"/>
  <c r="H52" i="1"/>
  <c r="B4" i="4"/>
  <c r="V49" i="1"/>
  <c r="V52" i="1" s="1"/>
  <c r="M156" i="2"/>
  <c r="M81" i="4" s="1"/>
  <c r="C125" i="2"/>
  <c r="D17" i="6" s="1"/>
  <c r="X80" i="1"/>
  <c r="V112" i="1" s="1"/>
  <c r="C86" i="2"/>
  <c r="Q49" i="1"/>
  <c r="Q52" i="1" s="1"/>
  <c r="T156" i="2"/>
  <c r="T158" i="2" s="1"/>
  <c r="S11" i="6"/>
  <c r="Q69" i="6" s="1"/>
  <c r="C66" i="2"/>
  <c r="G156" i="2"/>
  <c r="G81" i="4" s="1"/>
  <c r="C103" i="2"/>
  <c r="P11" i="6"/>
  <c r="N69" i="6" s="1"/>
  <c r="Q49" i="6"/>
  <c r="O107" i="6" s="1"/>
  <c r="E99" i="6"/>
  <c r="C59" i="4"/>
  <c r="D35" i="6"/>
  <c r="D93" i="6" s="1"/>
  <c r="N104" i="6"/>
  <c r="O141" i="6"/>
  <c r="H118" i="2"/>
  <c r="H43" i="4" s="1"/>
  <c r="H33" i="4"/>
  <c r="I2" i="6"/>
  <c r="J72" i="6"/>
  <c r="J16" i="6"/>
  <c r="J74" i="6" s="1"/>
  <c r="H112" i="1"/>
  <c r="H19" i="4"/>
  <c r="Q71" i="6"/>
  <c r="S16" i="6"/>
  <c r="Q74" i="6" s="1"/>
  <c r="C142" i="2"/>
  <c r="C195" i="2" s="1"/>
  <c r="X28" i="6"/>
  <c r="V86" i="6" s="1"/>
  <c r="W67" i="4"/>
  <c r="C76" i="4"/>
  <c r="D45" i="6"/>
  <c r="D103" i="6" s="1"/>
  <c r="N80" i="6"/>
  <c r="O117" i="6"/>
  <c r="Z14" i="4"/>
  <c r="X107" i="1"/>
  <c r="N91" i="6"/>
  <c r="O128" i="6"/>
  <c r="W51" i="4"/>
  <c r="X18" i="6"/>
  <c r="V76" i="6" s="1"/>
  <c r="C126" i="2"/>
  <c r="C179" i="2" s="1"/>
  <c r="X39" i="6"/>
  <c r="V97" i="6" s="1"/>
  <c r="W72" i="4"/>
  <c r="C147" i="2"/>
  <c r="C200" i="2" s="1"/>
  <c r="W124" i="2"/>
  <c r="W49" i="4" s="1"/>
  <c r="X12" i="6"/>
  <c r="W44" i="4"/>
  <c r="C119" i="2"/>
  <c r="C172" i="2" s="1"/>
  <c r="F75" i="6"/>
  <c r="F41" i="6"/>
  <c r="F99" i="6" s="1"/>
  <c r="S107" i="1"/>
  <c r="U14" i="4"/>
  <c r="P49" i="6"/>
  <c r="N100" i="6"/>
  <c r="O137" i="6"/>
  <c r="P107" i="1"/>
  <c r="R14" i="4"/>
  <c r="Q80" i="1"/>
  <c r="S80" i="1"/>
  <c r="S52" i="1"/>
  <c r="C38" i="4"/>
  <c r="D6" i="6"/>
  <c r="D64" i="6" s="1"/>
  <c r="X15" i="6"/>
  <c r="V73" i="6" s="1"/>
  <c r="W48" i="4"/>
  <c r="C123" i="2"/>
  <c r="C176" i="2" s="1"/>
  <c r="F49" i="1"/>
  <c r="F80" i="1" s="1"/>
  <c r="K41" i="6"/>
  <c r="K99" i="6" s="1"/>
  <c r="K75" i="6"/>
  <c r="Z72" i="6"/>
  <c r="AB16" i="6"/>
  <c r="C45" i="4"/>
  <c r="D13" i="6"/>
  <c r="D71" i="6" s="1"/>
  <c r="T52" i="1"/>
  <c r="T80" i="1"/>
  <c r="P60" i="6"/>
  <c r="O155" i="6" s="1"/>
  <c r="R11" i="6"/>
  <c r="O96" i="1"/>
  <c r="Q3" i="4"/>
  <c r="Q107" i="1"/>
  <c r="S14" i="4"/>
  <c r="C14" i="4"/>
  <c r="C107" i="1"/>
  <c r="H72" i="6"/>
  <c r="H16" i="6"/>
  <c r="X4" i="6"/>
  <c r="V62" i="6" s="1"/>
  <c r="W35" i="4"/>
  <c r="C110" i="2"/>
  <c r="C163" i="2" s="1"/>
  <c r="Y70" i="6"/>
  <c r="AA16" i="6"/>
  <c r="Y74" i="6" s="1"/>
  <c r="T107" i="1"/>
  <c r="V14" i="4"/>
  <c r="P16" i="6"/>
  <c r="N74" i="6" s="1"/>
  <c r="N70" i="6"/>
  <c r="O114" i="6"/>
  <c r="N77" i="6"/>
  <c r="C108" i="1"/>
  <c r="C15" i="4"/>
  <c r="R80" i="4"/>
  <c r="R156" i="2"/>
  <c r="X60" i="6"/>
  <c r="Z11" i="6"/>
  <c r="N75" i="6"/>
  <c r="P41" i="6"/>
  <c r="O112" i="6"/>
  <c r="W42" i="4"/>
  <c r="X10" i="6"/>
  <c r="V68" i="6" s="1"/>
  <c r="C117" i="2"/>
  <c r="C170" i="2" s="1"/>
  <c r="O69" i="6"/>
  <c r="M72" i="6"/>
  <c r="O16" i="6"/>
  <c r="M74" i="6" s="1"/>
  <c r="P75" i="6"/>
  <c r="R41" i="6"/>
  <c r="P99" i="6" s="1"/>
  <c r="X19" i="6"/>
  <c r="V77" i="6" s="1"/>
  <c r="W155" i="2"/>
  <c r="W64" i="4"/>
  <c r="R72" i="6"/>
  <c r="T16" i="6"/>
  <c r="Q104" i="6"/>
  <c r="S49" i="6"/>
  <c r="Q107" i="6" s="1"/>
  <c r="B15" i="4"/>
  <c r="B108" i="1"/>
  <c r="N81" i="6"/>
  <c r="O118" i="6"/>
  <c r="N80" i="1"/>
  <c r="N52" i="1"/>
  <c r="O129" i="6"/>
  <c r="N92" i="6"/>
  <c r="D24" i="6"/>
  <c r="D82" i="6" s="1"/>
  <c r="C66" i="4"/>
  <c r="I17" i="6"/>
  <c r="H138" i="2"/>
  <c r="H63" i="4" s="1"/>
  <c r="H50" i="4"/>
  <c r="Y80" i="1"/>
  <c r="Y52" i="1"/>
  <c r="I19" i="4"/>
  <c r="I52" i="1"/>
  <c r="I83" i="1" s="1"/>
  <c r="C71" i="4"/>
  <c r="D38" i="6"/>
  <c r="D96" i="6" s="1"/>
  <c r="C34" i="4"/>
  <c r="D3" i="6"/>
  <c r="D61" i="6" s="1"/>
  <c r="T108" i="1"/>
  <c r="V15" i="4"/>
  <c r="X54" i="1"/>
  <c r="X83" i="1"/>
  <c r="X70" i="6"/>
  <c r="Z16" i="6"/>
  <c r="X74" i="6" s="1"/>
  <c r="W72" i="6"/>
  <c r="Y16" i="6"/>
  <c r="B109" i="1"/>
  <c r="B16" i="4"/>
  <c r="Y75" i="6"/>
  <c r="AA41" i="6"/>
  <c r="Y99" i="6" s="1"/>
  <c r="G72" i="6"/>
  <c r="G16" i="6"/>
  <c r="W52" i="1"/>
  <c r="W80" i="1"/>
  <c r="C56" i="4"/>
  <c r="D29" i="6"/>
  <c r="D87" i="6" s="1"/>
  <c r="K107" i="1"/>
  <c r="M14" i="4"/>
  <c r="W70" i="4"/>
  <c r="X36" i="6"/>
  <c r="V94" i="6" s="1"/>
  <c r="C145" i="2"/>
  <c r="C198" i="2" s="1"/>
  <c r="F107" i="1"/>
  <c r="F14" i="4"/>
  <c r="I156" i="2"/>
  <c r="H104" i="2"/>
  <c r="C39" i="4"/>
  <c r="D7" i="6"/>
  <c r="D65" i="6" s="1"/>
  <c r="N83" i="6"/>
  <c r="O120" i="6"/>
  <c r="E69" i="6"/>
  <c r="M69" i="6"/>
  <c r="V49" i="4"/>
  <c r="V156" i="2"/>
  <c r="S156" i="2"/>
  <c r="X40" i="6"/>
  <c r="V98" i="6" s="1"/>
  <c r="W62" i="4"/>
  <c r="C137" i="2"/>
  <c r="C190" i="2" s="1"/>
  <c r="K156" i="2"/>
  <c r="W54" i="4"/>
  <c r="C129" i="2"/>
  <c r="C182" i="2" s="1"/>
  <c r="X25" i="6"/>
  <c r="V83" i="6" s="1"/>
  <c r="C58" i="4"/>
  <c r="D34" i="6"/>
  <c r="D92" i="6" s="1"/>
  <c r="U158" i="2"/>
  <c r="U81" i="4"/>
  <c r="C64" i="4"/>
  <c r="D19" i="6"/>
  <c r="D77" i="6" s="1"/>
  <c r="N107" i="1"/>
  <c r="P14" i="4"/>
  <c r="E52" i="1"/>
  <c r="E83" i="1" s="1"/>
  <c r="Z52" i="1"/>
  <c r="Z80" i="1"/>
  <c r="F96" i="1"/>
  <c r="F3" i="4"/>
  <c r="N78" i="6"/>
  <c r="O115" i="6"/>
  <c r="V3" i="4"/>
  <c r="T96" i="1"/>
  <c r="I100" i="6"/>
  <c r="I49" i="6"/>
  <c r="I107" i="6" s="1"/>
  <c r="C46" i="4"/>
  <c r="D14" i="6"/>
  <c r="D72" i="6" s="1"/>
  <c r="N105" i="6"/>
  <c r="O142" i="6"/>
  <c r="R16" i="6"/>
  <c r="P74" i="6" s="1"/>
  <c r="P71" i="6"/>
  <c r="O166" i="6" s="1"/>
  <c r="W104" i="2"/>
  <c r="N156" i="2"/>
  <c r="D5" i="6"/>
  <c r="D63" i="6" s="1"/>
  <c r="C37" i="4"/>
  <c r="N90" i="6"/>
  <c r="O127" i="6"/>
  <c r="J52" i="1"/>
  <c r="J80" i="1"/>
  <c r="C68" i="4"/>
  <c r="D32" i="6"/>
  <c r="D90" i="6" s="1"/>
  <c r="L107" i="1"/>
  <c r="N14" i="4"/>
  <c r="Q80" i="4"/>
  <c r="Q156" i="2"/>
  <c r="W107" i="1"/>
  <c r="Y14" i="4"/>
  <c r="G108" i="1"/>
  <c r="G15" i="4"/>
  <c r="O70" i="6"/>
  <c r="O165" i="6" s="1"/>
  <c r="Q16" i="6"/>
  <c r="O74" i="6" s="1"/>
  <c r="X75" i="6"/>
  <c r="Z41" i="6"/>
  <c r="X99" i="6" s="1"/>
  <c r="N84" i="6"/>
  <c r="O121" i="6"/>
  <c r="L3" i="4"/>
  <c r="J96" i="1"/>
  <c r="G49" i="1"/>
  <c r="G80" i="1" s="1"/>
  <c r="C72" i="2"/>
  <c r="Q14" i="4"/>
  <c r="O107" i="1"/>
  <c r="U72" i="6"/>
  <c r="W16" i="6"/>
  <c r="E63" i="4"/>
  <c r="E156" i="2"/>
  <c r="D92" i="1" s="1"/>
  <c r="D124" i="2"/>
  <c r="D156" i="2" s="1"/>
  <c r="D46" i="4"/>
  <c r="X30" i="6"/>
  <c r="V88" i="6" s="1"/>
  <c r="W57" i="4"/>
  <c r="C132" i="2"/>
  <c r="C185" i="2" s="1"/>
  <c r="N97" i="6"/>
  <c r="O134" i="6"/>
  <c r="F72" i="6"/>
  <c r="F16" i="6"/>
  <c r="C49" i="1"/>
  <c r="C80" i="1" s="1"/>
  <c r="W53" i="4"/>
  <c r="X22" i="6"/>
  <c r="V80" i="6" s="1"/>
  <c r="C128" i="2"/>
  <c r="C181" i="2" s="1"/>
  <c r="J63" i="4"/>
  <c r="J156" i="2"/>
  <c r="U16" i="6"/>
  <c r="S72" i="6"/>
  <c r="K16" i="6"/>
  <c r="K72" i="6"/>
  <c r="L72" i="6"/>
  <c r="N16" i="6"/>
  <c r="W41" i="4"/>
  <c r="X2" i="6"/>
  <c r="C116" i="2"/>
  <c r="C169" i="2" s="1"/>
  <c r="Z80" i="4"/>
  <c r="Z156" i="2"/>
  <c r="O75" i="6"/>
  <c r="Q41" i="6"/>
  <c r="O99" i="6" s="1"/>
  <c r="Y60" i="6"/>
  <c r="AA11" i="6"/>
  <c r="N102" i="6"/>
  <c r="O139" i="6"/>
  <c r="W79" i="4"/>
  <c r="C154" i="2"/>
  <c r="C207" i="2" s="1"/>
  <c r="X44" i="6"/>
  <c r="V102" i="6" s="1"/>
  <c r="D26" i="6"/>
  <c r="D84" i="6" s="1"/>
  <c r="C61" i="4"/>
  <c r="I12" i="6"/>
  <c r="H44" i="4"/>
  <c r="H124" i="2"/>
  <c r="H49" i="4" s="1"/>
  <c r="K52" i="1"/>
  <c r="K80" i="1"/>
  <c r="K19" i="4" s="1"/>
  <c r="P52" i="1"/>
  <c r="P80" i="1"/>
  <c r="E96" i="1"/>
  <c r="E3" i="4"/>
  <c r="V100" i="6"/>
  <c r="R107" i="1"/>
  <c r="T14" i="4"/>
  <c r="V50" i="6"/>
  <c r="T108" i="6" s="1"/>
  <c r="T69" i="6"/>
  <c r="B44" i="1"/>
  <c r="B75" i="1" s="1"/>
  <c r="X37" i="6"/>
  <c r="V95" i="6" s="1"/>
  <c r="C122" i="2"/>
  <c r="C175" i="2" s="1"/>
  <c r="W47" i="4"/>
  <c r="P80" i="4"/>
  <c r="P156" i="2"/>
  <c r="O156" i="2"/>
  <c r="O80" i="4"/>
  <c r="Q77" i="6"/>
  <c r="S41" i="6"/>
  <c r="Q99" i="6" s="1"/>
  <c r="M52" i="1"/>
  <c r="M80" i="1"/>
  <c r="X100" i="6"/>
  <c r="Z49" i="6"/>
  <c r="X107" i="6" s="1"/>
  <c r="C77" i="4"/>
  <c r="D46" i="6"/>
  <c r="D104" i="6" s="1"/>
  <c r="D49" i="1"/>
  <c r="D80" i="1" s="1"/>
  <c r="X27" i="6"/>
  <c r="V85" i="6" s="1"/>
  <c r="C130" i="2"/>
  <c r="C183" i="2" s="1"/>
  <c r="W55" i="4"/>
  <c r="AA156" i="2"/>
  <c r="G14" i="4"/>
  <c r="G107" i="1"/>
  <c r="W14" i="4"/>
  <c r="U107" i="1"/>
  <c r="F108" i="1"/>
  <c r="F15" i="4"/>
  <c r="C73" i="4"/>
  <c r="D42" i="6"/>
  <c r="M112" i="1"/>
  <c r="O19" i="4"/>
  <c r="C74" i="4"/>
  <c r="D43" i="6"/>
  <c r="D101" i="6" s="1"/>
  <c r="W65" i="4"/>
  <c r="X20" i="6"/>
  <c r="V78" i="6" s="1"/>
  <c r="C140" i="2"/>
  <c r="C193" i="2" s="1"/>
  <c r="W138" i="2"/>
  <c r="W63" i="4" s="1"/>
  <c r="W50" i="4"/>
  <c r="X17" i="6"/>
  <c r="P100" i="6"/>
  <c r="R49" i="6"/>
  <c r="P107" i="6" s="1"/>
  <c r="W118" i="2"/>
  <c r="W43" i="4" s="1"/>
  <c r="W33" i="4"/>
  <c r="J69" i="6"/>
  <c r="N79" i="6"/>
  <c r="O116" i="6"/>
  <c r="L52" i="1"/>
  <c r="L80" i="1"/>
  <c r="G97" i="1"/>
  <c r="G4" i="4"/>
  <c r="H80" i="4"/>
  <c r="C108" i="2"/>
  <c r="C161" i="2" s="1"/>
  <c r="Y156" i="2"/>
  <c r="Y80" i="4"/>
  <c r="O108" i="1"/>
  <c r="Q15" i="4"/>
  <c r="C52" i="4"/>
  <c r="D21" i="6"/>
  <c r="D79" i="6" s="1"/>
  <c r="D33" i="6"/>
  <c r="D91" i="6" s="1"/>
  <c r="C69" i="4"/>
  <c r="C60" i="4"/>
  <c r="D31" i="6"/>
  <c r="D89" i="6" s="1"/>
  <c r="U80" i="1"/>
  <c r="U52" i="1"/>
  <c r="R52" i="1"/>
  <c r="R80" i="1"/>
  <c r="D47" i="6"/>
  <c r="D105" i="6" s="1"/>
  <c r="C78" i="4"/>
  <c r="C36" i="4"/>
  <c r="D23" i="6"/>
  <c r="D81" i="6" s="1"/>
  <c r="L50" i="6"/>
  <c r="C96" i="1"/>
  <c r="C3" i="4"/>
  <c r="L156" i="2"/>
  <c r="L49" i="4"/>
  <c r="C178" i="2" l="1"/>
  <c r="B104" i="1"/>
  <c r="H54" i="1"/>
  <c r="H85" i="1" s="1"/>
  <c r="H83" i="1"/>
  <c r="H115" i="1" s="1"/>
  <c r="O54" i="1"/>
  <c r="O85" i="1" s="1"/>
  <c r="X19" i="4"/>
  <c r="M158" i="2"/>
  <c r="V80" i="1"/>
  <c r="T112" i="1" s="1"/>
  <c r="C50" i="4"/>
  <c r="B97" i="1"/>
  <c r="X81" i="4"/>
  <c r="C104" i="2"/>
  <c r="T81" i="4"/>
  <c r="G158" i="2"/>
  <c r="X49" i="6"/>
  <c r="V107" i="6" s="1"/>
  <c r="O169" i="6"/>
  <c r="Q50" i="6"/>
  <c r="O108" i="6" s="1"/>
  <c r="S50" i="6"/>
  <c r="Q108" i="6" s="1"/>
  <c r="O50" i="6"/>
  <c r="M108" i="6" s="1"/>
  <c r="N83" i="1"/>
  <c r="N54" i="1"/>
  <c r="C118" i="2"/>
  <c r="C43" i="4" s="1"/>
  <c r="C33" i="4"/>
  <c r="L54" i="1"/>
  <c r="L83" i="1"/>
  <c r="K83" i="1"/>
  <c r="K22" i="4" s="1"/>
  <c r="K54" i="1"/>
  <c r="C53" i="4"/>
  <c r="D22" i="6"/>
  <c r="D80" i="6" s="1"/>
  <c r="C57" i="4"/>
  <c r="D30" i="6"/>
  <c r="D88" i="6" s="1"/>
  <c r="U74" i="6"/>
  <c r="W50" i="6"/>
  <c r="U108" i="6" s="1"/>
  <c r="G96" i="1"/>
  <c r="G3" i="4"/>
  <c r="E19" i="4"/>
  <c r="E112" i="1"/>
  <c r="C62" i="4"/>
  <c r="D40" i="6"/>
  <c r="D98" i="6" s="1"/>
  <c r="I158" i="2"/>
  <c r="I81" i="4"/>
  <c r="Y54" i="1"/>
  <c r="Y83" i="1"/>
  <c r="N99" i="6"/>
  <c r="O136" i="6"/>
  <c r="V70" i="6"/>
  <c r="X16" i="6"/>
  <c r="V74" i="6" s="1"/>
  <c r="R74" i="6"/>
  <c r="T50" i="6"/>
  <c r="R108" i="6" s="1"/>
  <c r="P69" i="6"/>
  <c r="O164" i="6" s="1"/>
  <c r="R50" i="6"/>
  <c r="P108" i="6" s="1"/>
  <c r="S54" i="1"/>
  <c r="S83" i="1"/>
  <c r="N107" i="6"/>
  <c r="O144" i="6"/>
  <c r="N19" i="4"/>
  <c r="L112" i="1"/>
  <c r="X69" i="6"/>
  <c r="Z50" i="6"/>
  <c r="X108" i="6" s="1"/>
  <c r="S19" i="4"/>
  <c r="Q112" i="1"/>
  <c r="C72" i="4"/>
  <c r="D39" i="6"/>
  <c r="D97" i="6" s="1"/>
  <c r="H156" i="2"/>
  <c r="J50" i="6"/>
  <c r="J108" i="6" s="1"/>
  <c r="D52" i="1"/>
  <c r="D83" i="1" s="1"/>
  <c r="I70" i="6"/>
  <c r="I16" i="6"/>
  <c r="I74" i="6" s="1"/>
  <c r="AA50" i="6"/>
  <c r="Y108" i="6" s="1"/>
  <c r="Y69" i="6"/>
  <c r="S74" i="6"/>
  <c r="U50" i="6"/>
  <c r="S108" i="6" s="1"/>
  <c r="C52" i="1"/>
  <c r="C83" i="1" s="1"/>
  <c r="E72" i="6"/>
  <c r="E16" i="6"/>
  <c r="E50" i="6" s="1"/>
  <c r="N158" i="2"/>
  <c r="N81" i="4"/>
  <c r="S158" i="2"/>
  <c r="S81" i="4"/>
  <c r="D36" i="6"/>
  <c r="D94" i="6" s="1"/>
  <c r="C70" i="4"/>
  <c r="W54" i="1"/>
  <c r="W83" i="1"/>
  <c r="R112" i="1"/>
  <c r="T19" i="4"/>
  <c r="F52" i="1"/>
  <c r="F83" i="1" s="1"/>
  <c r="Q83" i="1"/>
  <c r="Q54" i="1"/>
  <c r="O56" i="1"/>
  <c r="O87" i="1" s="1"/>
  <c r="L158" i="2"/>
  <c r="L81" i="4"/>
  <c r="I75" i="6"/>
  <c r="I41" i="6"/>
  <c r="I99" i="6" s="1"/>
  <c r="C42" i="4"/>
  <c r="D10" i="6"/>
  <c r="D68" i="6" s="1"/>
  <c r="R158" i="2"/>
  <c r="R81" i="4"/>
  <c r="D4" i="6"/>
  <c r="D62" i="6" s="1"/>
  <c r="C35" i="4"/>
  <c r="T83" i="1"/>
  <c r="T54" i="1"/>
  <c r="C48" i="4"/>
  <c r="D15" i="6"/>
  <c r="D73" i="6" s="1"/>
  <c r="Q19" i="4"/>
  <c r="O112" i="1"/>
  <c r="D18" i="6"/>
  <c r="D76" i="6" s="1"/>
  <c r="C51" i="4"/>
  <c r="I60" i="6"/>
  <c r="I11" i="6"/>
  <c r="C138" i="2"/>
  <c r="C63" i="4" s="1"/>
  <c r="Y158" i="2"/>
  <c r="Y81" i="4"/>
  <c r="M83" i="1"/>
  <c r="M54" i="1"/>
  <c r="D37" i="6"/>
  <c r="D95" i="6" s="1"/>
  <c r="C47" i="4"/>
  <c r="W19" i="4"/>
  <c r="U112" i="1"/>
  <c r="W74" i="6"/>
  <c r="Y50" i="6"/>
  <c r="W108" i="6" s="1"/>
  <c r="R19" i="4"/>
  <c r="P112" i="1"/>
  <c r="V158" i="2"/>
  <c r="V81" i="4"/>
  <c r="W156" i="2"/>
  <c r="W80" i="4"/>
  <c r="J19" i="4"/>
  <c r="I112" i="1"/>
  <c r="Z19" i="4"/>
  <c r="X112" i="1"/>
  <c r="C54" i="4"/>
  <c r="D25" i="6"/>
  <c r="D83" i="6" s="1"/>
  <c r="O81" i="4"/>
  <c r="O158" i="2"/>
  <c r="P54" i="1"/>
  <c r="P83" i="1"/>
  <c r="D12" i="6"/>
  <c r="C124" i="2"/>
  <c r="C44" i="4"/>
  <c r="D75" i="6"/>
  <c r="V75" i="6"/>
  <c r="X41" i="6"/>
  <c r="V99" i="6" s="1"/>
  <c r="C55" i="4"/>
  <c r="D27" i="6"/>
  <c r="D85" i="6" s="1"/>
  <c r="K112" i="1"/>
  <c r="M19" i="4"/>
  <c r="D2" i="6"/>
  <c r="C41" i="4"/>
  <c r="W112" i="1"/>
  <c r="Y19" i="4"/>
  <c r="V60" i="6"/>
  <c r="X11" i="6"/>
  <c r="C65" i="4"/>
  <c r="D20" i="6"/>
  <c r="D78" i="6" s="1"/>
  <c r="H56" i="1"/>
  <c r="H87" i="1" s="1"/>
  <c r="H90" i="1" s="1"/>
  <c r="D14" i="4"/>
  <c r="D107" i="1"/>
  <c r="B107" i="1"/>
  <c r="B14" i="4"/>
  <c r="L74" i="6"/>
  <c r="N50" i="6"/>
  <c r="L108" i="6" s="1"/>
  <c r="B3" i="4"/>
  <c r="B96" i="1"/>
  <c r="F74" i="6"/>
  <c r="F50" i="6"/>
  <c r="F108" i="6" s="1"/>
  <c r="V83" i="1"/>
  <c r="V54" i="1"/>
  <c r="C155" i="2"/>
  <c r="C208" i="2" s="1"/>
  <c r="G74" i="6"/>
  <c r="G50" i="6"/>
  <c r="G108" i="6" s="1"/>
  <c r="C67" i="4"/>
  <c r="D28" i="6"/>
  <c r="D86" i="6" s="1"/>
  <c r="M115" i="1"/>
  <c r="O22" i="4"/>
  <c r="R54" i="1"/>
  <c r="R83" i="1"/>
  <c r="P19" i="4"/>
  <c r="N112" i="1"/>
  <c r="B49" i="1"/>
  <c r="B80" i="1" s="1"/>
  <c r="D49" i="4"/>
  <c r="C92" i="1"/>
  <c r="Q81" i="4"/>
  <c r="Q158" i="2"/>
  <c r="U83" i="1"/>
  <c r="U54" i="1"/>
  <c r="J81" i="4"/>
  <c r="J158" i="2"/>
  <c r="E81" i="4"/>
  <c r="E158" i="2"/>
  <c r="J83" i="1"/>
  <c r="J54" i="1"/>
  <c r="Z83" i="1"/>
  <c r="Z54" i="1"/>
  <c r="F81" i="4"/>
  <c r="V115" i="1"/>
  <c r="X22" i="4"/>
  <c r="I22" i="4"/>
  <c r="I54" i="1"/>
  <c r="I85" i="1" s="1"/>
  <c r="S112" i="1"/>
  <c r="U19" i="4"/>
  <c r="J112" i="1"/>
  <c r="L19" i="4"/>
  <c r="D100" i="6"/>
  <c r="AA158" i="2"/>
  <c r="AA81" i="4"/>
  <c r="P158" i="2"/>
  <c r="P81" i="4"/>
  <c r="D44" i="6"/>
  <c r="D102" i="6" s="1"/>
  <c r="C79" i="4"/>
  <c r="Z81" i="4"/>
  <c r="Z158" i="2"/>
  <c r="K74" i="6"/>
  <c r="K50" i="6"/>
  <c r="K108" i="6" s="1"/>
  <c r="G52" i="1"/>
  <c r="G83" i="1" s="1"/>
  <c r="E54" i="1"/>
  <c r="E85" i="1" s="1"/>
  <c r="K158" i="2"/>
  <c r="K81" i="4"/>
  <c r="X85" i="1"/>
  <c r="X56" i="1"/>
  <c r="X87" i="1" s="1"/>
  <c r="O170" i="6"/>
  <c r="H74" i="6"/>
  <c r="H50" i="6"/>
  <c r="H108" i="6" s="1"/>
  <c r="P50" i="6"/>
  <c r="Z74" i="6"/>
  <c r="AB50" i="6"/>
  <c r="Z108" i="6" s="1"/>
  <c r="C191" i="2" l="1"/>
  <c r="C171" i="2"/>
  <c r="H22" i="4"/>
  <c r="C49" i="4"/>
  <c r="C177" i="2"/>
  <c r="V19" i="4"/>
  <c r="D49" i="6"/>
  <c r="D107" i="6" s="1"/>
  <c r="G54" i="1"/>
  <c r="G85" i="1" s="1"/>
  <c r="Z85" i="1"/>
  <c r="Z56" i="1"/>
  <c r="Z87" i="1" s="1"/>
  <c r="U85" i="1"/>
  <c r="U56" i="1"/>
  <c r="U87" i="1" s="1"/>
  <c r="W115" i="1"/>
  <c r="Y22" i="4"/>
  <c r="K56" i="1"/>
  <c r="K87" i="1" s="1"/>
  <c r="K85" i="1"/>
  <c r="K24" i="4" s="1"/>
  <c r="Y56" i="1"/>
  <c r="Y87" i="1" s="1"/>
  <c r="Y85" i="1"/>
  <c r="X90" i="1"/>
  <c r="V119" i="1"/>
  <c r="X26" i="4"/>
  <c r="I24" i="4"/>
  <c r="I56" i="1"/>
  <c r="J85" i="1"/>
  <c r="J56" i="1"/>
  <c r="J87" i="1" s="1"/>
  <c r="R85" i="1"/>
  <c r="R56" i="1"/>
  <c r="R87" i="1" s="1"/>
  <c r="V56" i="1"/>
  <c r="V87" i="1" s="1"/>
  <c r="V85" i="1"/>
  <c r="X50" i="6"/>
  <c r="V108" i="6" s="1"/>
  <c r="V69" i="6"/>
  <c r="D70" i="6"/>
  <c r="D16" i="6"/>
  <c r="D74" i="6" s="1"/>
  <c r="M22" i="4"/>
  <c r="K115" i="1"/>
  <c r="O24" i="4"/>
  <c r="M117" i="1"/>
  <c r="U115" i="1"/>
  <c r="W22" i="4"/>
  <c r="L22" i="4"/>
  <c r="J115" i="1"/>
  <c r="V117" i="1"/>
  <c r="X24" i="4"/>
  <c r="J22" i="4"/>
  <c r="I115" i="1"/>
  <c r="V22" i="4"/>
  <c r="T115" i="1"/>
  <c r="N115" i="1"/>
  <c r="P22" i="4"/>
  <c r="M119" i="1"/>
  <c r="O90" i="1"/>
  <c r="O26" i="4"/>
  <c r="W85" i="1"/>
  <c r="W56" i="1"/>
  <c r="W87" i="1" s="1"/>
  <c r="H158" i="2"/>
  <c r="H81" i="4"/>
  <c r="L56" i="1"/>
  <c r="L87" i="1" s="1"/>
  <c r="L85" i="1"/>
  <c r="G19" i="4"/>
  <c r="G112" i="1"/>
  <c r="Z22" i="4"/>
  <c r="X115" i="1"/>
  <c r="S115" i="1"/>
  <c r="U22" i="4"/>
  <c r="R22" i="4"/>
  <c r="P115" i="1"/>
  <c r="C156" i="2"/>
  <c r="C80" i="4"/>
  <c r="M85" i="1"/>
  <c r="M56" i="1"/>
  <c r="M87" i="1" s="1"/>
  <c r="D158" i="2"/>
  <c r="D81" i="4"/>
  <c r="P85" i="1"/>
  <c r="P56" i="1"/>
  <c r="P87" i="1" s="1"/>
  <c r="Q22" i="4"/>
  <c r="O115" i="1"/>
  <c r="N108" i="6"/>
  <c r="O145" i="6"/>
  <c r="E22" i="4"/>
  <c r="E115" i="1"/>
  <c r="B52" i="1"/>
  <c r="B83" i="1" s="1"/>
  <c r="H24" i="4"/>
  <c r="H117" i="1"/>
  <c r="W81" i="4"/>
  <c r="W158" i="2"/>
  <c r="I69" i="6"/>
  <c r="I50" i="6"/>
  <c r="I108" i="6" s="1"/>
  <c r="T56" i="1"/>
  <c r="T87" i="1" s="1"/>
  <c r="T85" i="1"/>
  <c r="F112" i="1"/>
  <c r="F19" i="4"/>
  <c r="C54" i="1"/>
  <c r="C85" i="1" s="1"/>
  <c r="D112" i="1"/>
  <c r="D19" i="4"/>
  <c r="S22" i="4"/>
  <c r="Q115" i="1"/>
  <c r="N85" i="1"/>
  <c r="N56" i="1"/>
  <c r="N87" i="1" s="1"/>
  <c r="Q85" i="1"/>
  <c r="Q56" i="1"/>
  <c r="Q87" i="1" s="1"/>
  <c r="E74" i="6"/>
  <c r="E108" i="6"/>
  <c r="E56" i="1"/>
  <c r="E87" i="1" s="1"/>
  <c r="E90" i="1" s="1"/>
  <c r="H119" i="1"/>
  <c r="H26" i="4"/>
  <c r="D11" i="6"/>
  <c r="D60" i="6"/>
  <c r="D41" i="6"/>
  <c r="D99" i="6" s="1"/>
  <c r="T22" i="4"/>
  <c r="R115" i="1"/>
  <c r="F54" i="1"/>
  <c r="F85" i="1" s="1"/>
  <c r="C19" i="4"/>
  <c r="C112" i="1"/>
  <c r="D54" i="1"/>
  <c r="D85" i="1" s="1"/>
  <c r="S56" i="1"/>
  <c r="S87" i="1" s="1"/>
  <c r="S85" i="1"/>
  <c r="L115" i="1"/>
  <c r="N22" i="4"/>
  <c r="I87" i="1" l="1"/>
  <c r="I26" i="4" s="1"/>
  <c r="C158" i="2"/>
  <c r="C209" i="2"/>
  <c r="O117" i="1"/>
  <c r="Q24" i="4"/>
  <c r="T117" i="1"/>
  <c r="V24" i="4"/>
  <c r="F56" i="1"/>
  <c r="F87" i="1" s="1"/>
  <c r="F90" i="1" s="1"/>
  <c r="L119" i="1"/>
  <c r="N90" i="1"/>
  <c r="N26" i="4"/>
  <c r="V90" i="1"/>
  <c r="V26" i="4"/>
  <c r="T119" i="1"/>
  <c r="U90" i="1"/>
  <c r="S119" i="1"/>
  <c r="U26" i="4"/>
  <c r="F22" i="4"/>
  <c r="F115" i="1"/>
  <c r="H29" i="4"/>
  <c r="H122" i="1"/>
  <c r="L117" i="1"/>
  <c r="N24" i="4"/>
  <c r="C81" i="4"/>
  <c r="M122" i="1"/>
  <c r="O29" i="4"/>
  <c r="R26" i="4"/>
  <c r="R90" i="1"/>
  <c r="P119" i="1"/>
  <c r="V122" i="1"/>
  <c r="X29" i="4"/>
  <c r="U24" i="4"/>
  <c r="S117" i="1"/>
  <c r="D69" i="6"/>
  <c r="D50" i="6"/>
  <c r="D108" i="6" s="1"/>
  <c r="K117" i="1"/>
  <c r="M24" i="4"/>
  <c r="Q119" i="1"/>
  <c r="S26" i="4"/>
  <c r="S90" i="1"/>
  <c r="T90" i="1"/>
  <c r="T26" i="4"/>
  <c r="R119" i="1"/>
  <c r="B54" i="1"/>
  <c r="B85" i="1" s="1"/>
  <c r="N117" i="1"/>
  <c r="P24" i="4"/>
  <c r="L26" i="4"/>
  <c r="J119" i="1"/>
  <c r="L90" i="1"/>
  <c r="J26" i="4"/>
  <c r="I119" i="1"/>
  <c r="J90" i="1"/>
  <c r="W119" i="1"/>
  <c r="Y26" i="4"/>
  <c r="Y90" i="1"/>
  <c r="X117" i="1"/>
  <c r="Z24" i="4"/>
  <c r="C115" i="1"/>
  <c r="C22" i="4"/>
  <c r="W26" i="4"/>
  <c r="U119" i="1"/>
  <c r="W90" i="1"/>
  <c r="C56" i="1"/>
  <c r="C87" i="1" s="1"/>
  <c r="C90" i="1" s="1"/>
  <c r="E117" i="1"/>
  <c r="E24" i="4"/>
  <c r="T24" i="4"/>
  <c r="R117" i="1"/>
  <c r="B19" i="4"/>
  <c r="B112" i="1"/>
  <c r="Z90" i="1"/>
  <c r="X119" i="1"/>
  <c r="Z26" i="4"/>
  <c r="E26" i="4"/>
  <c r="E119" i="1"/>
  <c r="D56" i="1"/>
  <c r="D87" i="1" s="1"/>
  <c r="D90" i="1" s="1"/>
  <c r="J24" i="4"/>
  <c r="I117" i="1"/>
  <c r="G56" i="1"/>
  <c r="G87" i="1" s="1"/>
  <c r="G90" i="1" s="1"/>
  <c r="Q26" i="4"/>
  <c r="Q90" i="1"/>
  <c r="O119" i="1"/>
  <c r="K119" i="1"/>
  <c r="M26" i="4"/>
  <c r="M90" i="1"/>
  <c r="W24" i="4"/>
  <c r="U117" i="1"/>
  <c r="Q117" i="1"/>
  <c r="S24" i="4"/>
  <c r="P90" i="1"/>
  <c r="N119" i="1"/>
  <c r="P26" i="4"/>
  <c r="J117" i="1"/>
  <c r="L24" i="4"/>
  <c r="P117" i="1"/>
  <c r="R24" i="4"/>
  <c r="W117" i="1"/>
  <c r="Y24" i="4"/>
  <c r="D115" i="1"/>
  <c r="D22" i="4"/>
  <c r="K26" i="4"/>
  <c r="K90" i="1"/>
  <c r="K29" i="4" s="1"/>
  <c r="G115" i="1"/>
  <c r="G22" i="4"/>
  <c r="C119" i="1" l="1"/>
  <c r="C26" i="4"/>
  <c r="R122" i="1"/>
  <c r="T29" i="4"/>
  <c r="Q122" i="1"/>
  <c r="S29" i="4"/>
  <c r="U122" i="1"/>
  <c r="W29" i="4"/>
  <c r="F119" i="1"/>
  <c r="F26" i="4"/>
  <c r="P29" i="4"/>
  <c r="N122" i="1"/>
  <c r="D26" i="4"/>
  <c r="D119" i="1"/>
  <c r="U29" i="4"/>
  <c r="S122" i="1"/>
  <c r="F24" i="4"/>
  <c r="F117" i="1"/>
  <c r="C117" i="1"/>
  <c r="C24" i="4"/>
  <c r="I122" i="1"/>
  <c r="J29" i="4"/>
  <c r="B56" i="1"/>
  <c r="B87" i="1" s="1"/>
  <c r="R29" i="4"/>
  <c r="P122" i="1"/>
  <c r="K122" i="1"/>
  <c r="M29" i="4"/>
  <c r="L122" i="1"/>
  <c r="N29" i="4"/>
  <c r="Y29" i="4"/>
  <c r="W122" i="1"/>
  <c r="D117" i="1"/>
  <c r="D24" i="4"/>
  <c r="O122" i="1"/>
  <c r="Q29" i="4"/>
  <c r="B115" i="1"/>
  <c r="B22" i="4"/>
  <c r="G24" i="4"/>
  <c r="G117" i="1"/>
  <c r="V29" i="4"/>
  <c r="T122" i="1"/>
  <c r="Z29" i="4"/>
  <c r="X122" i="1"/>
  <c r="E122" i="1"/>
  <c r="E29" i="4"/>
  <c r="G119" i="1"/>
  <c r="G26" i="4"/>
  <c r="J122" i="1"/>
  <c r="L29" i="4"/>
  <c r="D29" i="4" l="1"/>
  <c r="D122" i="1"/>
  <c r="F122" i="1"/>
  <c r="F29" i="4"/>
  <c r="G122" i="1"/>
  <c r="G29" i="4"/>
  <c r="B24" i="4"/>
  <c r="B117" i="1"/>
  <c r="B119" i="1"/>
  <c r="B26" i="4"/>
  <c r="C122" i="1"/>
  <c r="C29" i="4"/>
</calcChain>
</file>

<file path=xl/comments1.xml><?xml version="1.0" encoding="utf-8"?>
<comments xmlns="http://schemas.openxmlformats.org/spreadsheetml/2006/main">
  <authors>
    <author>黄奕馨</author>
  </authors>
  <commentList>
    <comment ref="I49" authorId="0" shapeId="0">
      <text>
        <r>
          <rPr>
            <sz val="9"/>
            <color indexed="81"/>
            <rFont val="宋体"/>
            <family val="3"/>
            <charset val="134"/>
          </rPr>
          <t>黄奕馨:
注明流程号，如为纸质资料则注明，资料三方存档（调整方、被调整方、审核人）。</t>
        </r>
      </text>
    </comment>
    <comment ref="C52" authorId="0" shapeId="0">
      <text>
        <r>
          <rPr>
            <sz val="9"/>
            <color indexed="81"/>
            <rFont val="宋体"/>
            <family val="3"/>
            <charset val="134"/>
          </rPr>
          <t>1-4月已固定格式，填5-12月发生数。体现为价税分离以后的收入</t>
        </r>
      </text>
    </comment>
    <comment ref="I138" authorId="0" shapeId="0">
      <text>
        <r>
          <rPr>
            <sz val="9"/>
            <color indexed="81"/>
            <rFont val="宋体"/>
            <family val="3"/>
            <charset val="134"/>
          </rPr>
          <t>黄奕馨:
流程号或纸质存档资料（三方存档）</t>
        </r>
      </text>
    </comment>
    <comment ref="B252" authorId="0" shapeId="0">
      <text>
        <r>
          <rPr>
            <sz val="9"/>
            <color indexed="81"/>
            <rFont val="宋体"/>
            <family val="3"/>
            <charset val="134"/>
          </rPr>
          <t>黄奕馨:
调整为收入的“公允价值变动”科目，不调整对应税费。综合收益如调整别的部门的，需手工调整。</t>
        </r>
      </text>
    </comment>
    <comment ref="B256" authorId="0" shapeId="0">
      <text>
        <r>
          <rPr>
            <sz val="9"/>
            <color indexed="81"/>
            <rFont val="宋体"/>
            <family val="3"/>
            <charset val="134"/>
          </rPr>
          <t>黄奕馨:
调整为收入的“公允价值变动”科目，不调整对应税费。综合收益如调整别的部门的，需手工调整。</t>
        </r>
      </text>
    </comment>
    <comment ref="I270" authorId="0" shapeId="0">
      <text>
        <r>
          <rPr>
            <sz val="9"/>
            <color indexed="81"/>
            <rFont val="宋体"/>
            <family val="3"/>
            <charset val="134"/>
          </rPr>
          <t>黄奕馨:
注明流程号，如为纸质资料则注明，资料三方存档（调整方、被调整方、审核人）。</t>
        </r>
      </text>
    </comment>
    <comment ref="I320" authorId="0" shapeId="0">
      <text>
        <r>
          <rPr>
            <sz val="9"/>
            <color indexed="81"/>
            <rFont val="宋体"/>
            <family val="3"/>
            <charset val="134"/>
          </rPr>
          <t>黄奕馨:
流程号或纸质存档资料（三方存档）</t>
        </r>
      </text>
    </comment>
    <comment ref="B375" authorId="0" shapeId="0">
      <text>
        <r>
          <rPr>
            <sz val="9"/>
            <color indexed="81"/>
            <rFont val="宋体"/>
            <family val="3"/>
            <charset val="134"/>
          </rPr>
          <t>黄奕馨:
调整为收入的“公允价值变动”科目，不调整对应税费。综合收益如调整别的部门的，需手工调整。</t>
        </r>
      </text>
    </comment>
    <comment ref="B379" authorId="0" shapeId="0">
      <text>
        <r>
          <rPr>
            <sz val="9"/>
            <color indexed="81"/>
            <rFont val="宋体"/>
            <family val="3"/>
            <charset val="134"/>
          </rPr>
          <t>黄奕馨:
调整为收入的“公允价值变动”科目，不调整对应税费。综合收益如调整别的部门的，需手工调整。</t>
        </r>
      </text>
    </comment>
  </commentList>
</comments>
</file>

<file path=xl/comments2.xml><?xml version="1.0" encoding="utf-8"?>
<comments xmlns="http://schemas.openxmlformats.org/spreadsheetml/2006/main">
  <authors>
    <author>tiantian</author>
  </authors>
  <commentList>
    <comment ref="E59" authorId="0" shapeId="0">
      <text>
        <r>
          <rPr>
            <b/>
            <sz val="9"/>
            <color indexed="81"/>
            <rFont val="宋体"/>
            <family val="3"/>
            <charset val="134"/>
          </rPr>
          <t>tiantian:</t>
        </r>
        <r>
          <rPr>
            <sz val="9"/>
            <color indexed="81"/>
            <rFont val="宋体"/>
            <family val="3"/>
            <charset val="134"/>
          </rPr>
          <t xml:space="preserve">
含广分
</t>
        </r>
      </text>
    </comment>
  </commentList>
</comments>
</file>

<file path=xl/sharedStrings.xml><?xml version="1.0" encoding="utf-8"?>
<sst xmlns="http://schemas.openxmlformats.org/spreadsheetml/2006/main" count="2889" uniqueCount="564">
  <si>
    <t>2016年1-12月利润调整表</t>
  </si>
  <si>
    <t>报表数据</t>
  </si>
  <si>
    <t>单位：元</t>
  </si>
  <si>
    <t>项目</t>
  </si>
  <si>
    <t>合计</t>
  </si>
  <si>
    <t>其他</t>
  </si>
  <si>
    <t>总部中后台</t>
  </si>
  <si>
    <t>经纪业务部</t>
  </si>
  <si>
    <t>资产管理部</t>
  </si>
  <si>
    <t>深分公司合计</t>
  </si>
  <si>
    <t>固定收益部</t>
  </si>
  <si>
    <t>证券投资部</t>
  </si>
  <si>
    <t>金融衍生品投资部</t>
  </si>
  <si>
    <t>风险管理部</t>
  </si>
  <si>
    <t>深圳管理部</t>
  </si>
  <si>
    <t>金融工程部</t>
  </si>
  <si>
    <t>中小企业融资部</t>
  </si>
  <si>
    <t>投资银行合计</t>
  </si>
  <si>
    <t>财务顾问部</t>
  </si>
  <si>
    <t>债券融资部</t>
  </si>
  <si>
    <t>股权融资部</t>
  </si>
  <si>
    <t>浙江分公司小计</t>
  </si>
  <si>
    <t>浙分总部</t>
  </si>
  <si>
    <t>综合业务部</t>
  </si>
  <si>
    <t>网络金融部</t>
  </si>
  <si>
    <t>一、营业收入</t>
  </si>
  <si>
    <r>
      <rPr>
        <b/>
        <sz val="10"/>
        <rFont val="Times New Roman"/>
        <family val="1"/>
      </rPr>
      <t xml:space="preserve">   1.</t>
    </r>
    <r>
      <rPr>
        <b/>
        <sz val="10"/>
        <rFont val="宋体"/>
        <family val="3"/>
        <charset val="134"/>
      </rPr>
      <t>手续费及佣金收入</t>
    </r>
  </si>
  <si>
    <t>其中：证券经纪业务净收入</t>
  </si>
  <si>
    <t xml:space="preserve">      投资银行业务净收入</t>
  </si>
  <si>
    <t xml:space="preserve">      资产管理业务净收入</t>
  </si>
  <si>
    <r>
      <rPr>
        <b/>
        <sz val="10"/>
        <rFont val="Times New Roman"/>
        <family val="1"/>
      </rPr>
      <t>2.</t>
    </r>
    <r>
      <rPr>
        <b/>
        <sz val="10"/>
        <rFont val="宋体"/>
        <family val="3"/>
        <charset val="134"/>
      </rPr>
      <t>利息净收入</t>
    </r>
  </si>
  <si>
    <t>3.投资收益</t>
  </si>
  <si>
    <r>
      <rPr>
        <b/>
        <sz val="10"/>
        <rFont val="Times New Roman"/>
        <family val="1"/>
      </rPr>
      <t xml:space="preserve">        </t>
    </r>
    <r>
      <rPr>
        <b/>
        <sz val="10"/>
        <rFont val="宋体"/>
        <family val="3"/>
        <charset val="134"/>
      </rPr>
      <t>其中</t>
    </r>
    <r>
      <rPr>
        <b/>
        <sz val="10"/>
        <rFont val="Times New Roman"/>
        <family val="1"/>
      </rPr>
      <t>:</t>
    </r>
    <r>
      <rPr>
        <b/>
        <sz val="10"/>
        <rFont val="宋体"/>
        <family val="3"/>
        <charset val="134"/>
      </rPr>
      <t>对联营企业和合营企业的投资收益</t>
    </r>
  </si>
  <si>
    <t>4.公允价值变动</t>
  </si>
  <si>
    <r>
      <rPr>
        <b/>
        <sz val="10"/>
        <rFont val="Times New Roman"/>
        <family val="1"/>
      </rPr>
      <t>5.</t>
    </r>
    <r>
      <rPr>
        <b/>
        <sz val="10"/>
        <rFont val="宋体"/>
        <family val="3"/>
        <charset val="134"/>
      </rPr>
      <t>汇兑损益</t>
    </r>
  </si>
  <si>
    <r>
      <rPr>
        <b/>
        <sz val="10"/>
        <rFont val="Times New Roman"/>
        <family val="1"/>
      </rPr>
      <t>6.</t>
    </r>
    <r>
      <rPr>
        <b/>
        <sz val="10"/>
        <rFont val="宋体"/>
        <family val="3"/>
        <charset val="134"/>
      </rPr>
      <t>其他业务收入</t>
    </r>
  </si>
  <si>
    <t>二、营业支出</t>
  </si>
  <si>
    <r>
      <rPr>
        <sz val="10"/>
        <rFont val="Times New Roman"/>
        <family val="1"/>
      </rPr>
      <t xml:space="preserve">   1.</t>
    </r>
    <r>
      <rPr>
        <sz val="10"/>
        <rFont val="宋体"/>
        <family val="3"/>
        <charset val="134"/>
      </rPr>
      <t>营业税金及附加</t>
    </r>
  </si>
  <si>
    <r>
      <rPr>
        <sz val="10"/>
        <rFont val="Times New Roman"/>
        <family val="1"/>
      </rPr>
      <t xml:space="preserve">   2.</t>
    </r>
    <r>
      <rPr>
        <sz val="10"/>
        <rFont val="宋体"/>
        <family val="3"/>
        <charset val="134"/>
      </rPr>
      <t>业务及管理费</t>
    </r>
  </si>
  <si>
    <r>
      <rPr>
        <sz val="10"/>
        <rFont val="Times New Roman"/>
        <family val="1"/>
      </rPr>
      <t xml:space="preserve">   3.</t>
    </r>
    <r>
      <rPr>
        <sz val="10"/>
        <rFont val="宋体"/>
        <family val="3"/>
        <charset val="134"/>
      </rPr>
      <t>资产减值损失</t>
    </r>
  </si>
  <si>
    <r>
      <rPr>
        <sz val="10"/>
        <rFont val="Times New Roman"/>
        <family val="1"/>
      </rPr>
      <t xml:space="preserve">   4.</t>
    </r>
    <r>
      <rPr>
        <sz val="10"/>
        <rFont val="宋体"/>
        <family val="3"/>
        <charset val="134"/>
      </rPr>
      <t>其它业务成本</t>
    </r>
  </si>
  <si>
    <t>三、营业利润</t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</si>
  <si>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加：营业外收入</t>
    </r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</si>
  <si>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减：营业外支出</t>
    </r>
  </si>
  <si>
    <t>四、利润总额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</si>
  <si>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减：所得税费用</t>
    </r>
  </si>
  <si>
    <t>五、净利润</t>
  </si>
  <si>
    <t>综合收益</t>
  </si>
  <si>
    <t>六、综合收益总额</t>
  </si>
  <si>
    <t>验证：</t>
  </si>
  <si>
    <t>考核调整数据</t>
  </si>
  <si>
    <t>资金成本</t>
  </si>
  <si>
    <t>注：综合收益考核时按税前金额调为收入</t>
  </si>
  <si>
    <t>考核利润表</t>
  </si>
  <si>
    <t>部门考核利润</t>
  </si>
  <si>
    <t>2016年1-12月费用调整表</t>
  </si>
  <si>
    <t>调整前</t>
  </si>
  <si>
    <t>类别</t>
  </si>
  <si>
    <t>项  目</t>
  </si>
  <si>
    <t>人力成本费用</t>
  </si>
  <si>
    <t>职工工资</t>
  </si>
  <si>
    <t>职工福利费</t>
  </si>
  <si>
    <t>工会经费</t>
  </si>
  <si>
    <t>社保费</t>
  </si>
  <si>
    <t>劳动补偿金</t>
  </si>
  <si>
    <t>劳动保护费</t>
  </si>
  <si>
    <t>员工误餐费</t>
  </si>
  <si>
    <t>自选福利</t>
  </si>
  <si>
    <t>奖金</t>
  </si>
  <si>
    <t>小计</t>
  </si>
  <si>
    <t>业务费用</t>
  </si>
  <si>
    <t>营销费用</t>
  </si>
  <si>
    <t>中介费用</t>
  </si>
  <si>
    <t>投保基金</t>
  </si>
  <si>
    <t>交易所会员年费</t>
  </si>
  <si>
    <t>管理费用</t>
  </si>
  <si>
    <t>业务招待费</t>
  </si>
  <si>
    <t>差旅费</t>
  </si>
  <si>
    <t>水电费</t>
  </si>
  <si>
    <t>邮电通讯费</t>
  </si>
  <si>
    <t>办公费</t>
  </si>
  <si>
    <t>低值易耗品</t>
  </si>
  <si>
    <t>职工教育费</t>
  </si>
  <si>
    <t>审计评估费</t>
  </si>
  <si>
    <t>广告宣传费</t>
  </si>
  <si>
    <t>营销活动费</t>
  </si>
  <si>
    <t>咨讯费</t>
  </si>
  <si>
    <t>安全保卫费</t>
  </si>
  <si>
    <t>会议费</t>
  </si>
  <si>
    <t>印刷费</t>
  </si>
  <si>
    <t>机动车辆运营费</t>
  </si>
  <si>
    <t>董事会费</t>
  </si>
  <si>
    <t>修理费</t>
  </si>
  <si>
    <t>报刊书籍费</t>
  </si>
  <si>
    <t>市内办公交通费</t>
  </si>
  <si>
    <t>上交管理费</t>
  </si>
  <si>
    <t>税金</t>
  </si>
  <si>
    <t>诉讼律师费</t>
  </si>
  <si>
    <t>财产保险费</t>
  </si>
  <si>
    <t>其它</t>
  </si>
  <si>
    <t>运营费用</t>
  </si>
  <si>
    <t>证券交易通讯费</t>
  </si>
  <si>
    <t>电子设备运转费</t>
  </si>
  <si>
    <t>物业租赁管理费</t>
  </si>
  <si>
    <t>折旧费</t>
  </si>
  <si>
    <t>无形资产摊销</t>
  </si>
  <si>
    <t>长期待摊费用摊销</t>
  </si>
  <si>
    <t>交易席位费摊销</t>
  </si>
  <si>
    <t>调整数据</t>
  </si>
  <si>
    <t>调整后</t>
  </si>
  <si>
    <t xml:space="preserve">   1.手续费及佣金收入</t>
  </si>
  <si>
    <t>2.利息净收入</t>
  </si>
  <si>
    <t>5.汇兑损益</t>
  </si>
  <si>
    <t>6.其他业务收入</t>
  </si>
  <si>
    <t xml:space="preserve">   1.营业税金及附加</t>
  </si>
  <si>
    <t xml:space="preserve">   2.业务及管理费</t>
  </si>
  <si>
    <t xml:space="preserve">   3.资产减值损失</t>
  </si>
  <si>
    <t xml:space="preserve">   4.其它业务成本</t>
  </si>
  <si>
    <t xml:space="preserve">   加：营业外收入</t>
  </si>
  <si>
    <t xml:space="preserve">   减：营业外支出</t>
  </si>
  <si>
    <t>投资银行总部</t>
  </si>
  <si>
    <t xml:space="preserve">  减：所得税费用</t>
  </si>
  <si>
    <t>序号</t>
  </si>
  <si>
    <t>调整金额</t>
  </si>
  <si>
    <t>调整部门</t>
  </si>
  <si>
    <t>对应调整金额</t>
  </si>
  <si>
    <t>对应调整部门</t>
  </si>
  <si>
    <t>费用类别</t>
  </si>
  <si>
    <t>调整事项</t>
  </si>
  <si>
    <t>调整依据</t>
  </si>
  <si>
    <t>一、报表利润</t>
  </si>
  <si>
    <t>二、收入调整项目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</si>
  <si>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</si>
  <si>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</si>
  <si>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</si>
  <si>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</si>
  <si>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</si>
  <si>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</si>
  <si>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</si>
  <si>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</si>
  <si>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</si>
  <si>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</si>
  <si>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</si>
  <si>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</si>
  <si>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</si>
  <si>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</si>
  <si>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</si>
  <si>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三、营业税调整项</t>
  </si>
  <si>
    <t>四、费用调整项</t>
  </si>
  <si>
    <t>考核利润</t>
  </si>
  <si>
    <t>综合收益调整表</t>
  </si>
  <si>
    <t>调整科目</t>
  </si>
  <si>
    <t>六、综合收益调整项</t>
  </si>
  <si>
    <t xml:space="preserve">      2、跨部门调整的需提前与调整部门沟通确认，一增一减。</t>
  </si>
  <si>
    <t xml:space="preserve">      3、多部门可一起调整，此事不用输入报表金额，本表与第一张表调整金额应保持一致。如仅1个部门则填入报表利润以便核对；</t>
  </si>
  <si>
    <t xml:space="preserve">      4、调整收入时同步调整税金及投保。</t>
  </si>
  <si>
    <t xml:space="preserve">     5、综合收益直接在</t>
  </si>
  <si>
    <t>固收期货</t>
    <phoneticPr fontId="24" type="noConversion"/>
  </si>
  <si>
    <t>金工期货</t>
    <phoneticPr fontId="24" type="noConversion"/>
  </si>
  <si>
    <t>固收2921账户基金浮动盈亏</t>
    <phoneticPr fontId="24" type="noConversion"/>
  </si>
  <si>
    <t>证投游族网络及稳赢系列浮动盈亏</t>
    <phoneticPr fontId="24" type="noConversion"/>
  </si>
  <si>
    <t>资管楚天科技浮动盈亏</t>
    <phoneticPr fontId="24" type="noConversion"/>
  </si>
  <si>
    <t>固收投资户浮动盈亏</t>
    <phoneticPr fontId="24" type="noConversion"/>
  </si>
  <si>
    <t>金工产品浮动盈亏</t>
    <phoneticPr fontId="24" type="noConversion"/>
  </si>
  <si>
    <t>往年分销费收回</t>
    <phoneticPr fontId="24" type="noConversion"/>
  </si>
  <si>
    <t>资金运营部委托现金管理收入</t>
    <phoneticPr fontId="24" type="noConversion"/>
  </si>
  <si>
    <t>固收代持撮合户浮动盈亏调出</t>
    <phoneticPr fontId="24" type="noConversion"/>
  </si>
  <si>
    <t>资产管理浮动收益</t>
    <phoneticPr fontId="24" type="noConversion"/>
  </si>
  <si>
    <t>融券浮动收益</t>
    <phoneticPr fontId="24" type="noConversion"/>
  </si>
  <si>
    <t>验证：</t>
    <phoneticPr fontId="24" type="noConversion"/>
  </si>
  <si>
    <t>转融通利息调整</t>
    <phoneticPr fontId="24" type="noConversion"/>
  </si>
  <si>
    <t>9</t>
    <phoneticPr fontId="24" type="noConversion"/>
  </si>
  <si>
    <t>折旧费分摊</t>
    <phoneticPr fontId="24" type="noConversion"/>
  </si>
  <si>
    <r>
      <t xml:space="preserve">   1.</t>
    </r>
    <r>
      <rPr>
        <sz val="10"/>
        <rFont val="宋体"/>
        <family val="3"/>
        <charset val="134"/>
      </rPr>
      <t>营业税金及附加</t>
    </r>
  </si>
  <si>
    <r>
      <t xml:space="preserve">   2.</t>
    </r>
    <r>
      <rPr>
        <sz val="10"/>
        <rFont val="宋体"/>
        <family val="3"/>
        <charset val="134"/>
      </rPr>
      <t>业务及管理费</t>
    </r>
  </si>
  <si>
    <r>
      <t xml:space="preserve">   3.</t>
    </r>
    <r>
      <rPr>
        <sz val="10"/>
        <rFont val="宋体"/>
        <family val="3"/>
        <charset val="134"/>
      </rPr>
      <t>资产减值损失</t>
    </r>
  </si>
  <si>
    <r>
      <t xml:space="preserve">   4.</t>
    </r>
    <r>
      <rPr>
        <sz val="10"/>
        <rFont val="宋体"/>
        <family val="3"/>
        <charset val="134"/>
      </rPr>
      <t>其它业务成本</t>
    </r>
  </si>
  <si>
    <r>
      <t xml:space="preserve">  </t>
    </r>
    <r>
      <rPr>
        <sz val="10"/>
        <rFont val="宋体"/>
        <family val="3"/>
        <charset val="134"/>
      </rPr>
      <t>减：所得税费用</t>
    </r>
  </si>
  <si>
    <r>
      <t>2.</t>
    </r>
    <r>
      <rPr>
        <b/>
        <sz val="10"/>
        <rFont val="宋体"/>
        <family val="3"/>
        <charset val="134"/>
      </rPr>
      <t>利息净收入</t>
    </r>
  </si>
  <si>
    <r>
      <t xml:space="preserve">        </t>
    </r>
    <r>
      <rPr>
        <b/>
        <sz val="10"/>
        <rFont val="宋体"/>
        <family val="3"/>
        <charset val="134"/>
      </rPr>
      <t>其中</t>
    </r>
    <r>
      <rPr>
        <b/>
        <sz val="10"/>
        <rFont val="Times New Roman"/>
        <family val="1"/>
      </rPr>
      <t>:</t>
    </r>
    <r>
      <rPr>
        <b/>
        <sz val="10"/>
        <rFont val="宋体"/>
        <family val="3"/>
        <charset val="134"/>
      </rPr>
      <t>对联营企业和合营企业的投资收益</t>
    </r>
  </si>
  <si>
    <r>
      <t>5.</t>
    </r>
    <r>
      <rPr>
        <b/>
        <sz val="10"/>
        <rFont val="宋体"/>
        <family val="3"/>
        <charset val="134"/>
      </rPr>
      <t>汇兑损益</t>
    </r>
  </si>
  <si>
    <r>
      <t>6.</t>
    </r>
    <r>
      <rPr>
        <b/>
        <sz val="10"/>
        <rFont val="宋体"/>
        <family val="3"/>
        <charset val="134"/>
      </rPr>
      <t>其他业务收入</t>
    </r>
  </si>
  <si>
    <t>考核利润表</t>
    <phoneticPr fontId="24" type="noConversion"/>
  </si>
  <si>
    <t>债券承销款资金利息</t>
    <phoneticPr fontId="24" type="noConversion"/>
  </si>
  <si>
    <t>证投赛莱拉财务顾问收入</t>
    <phoneticPr fontId="24" type="noConversion"/>
  </si>
  <si>
    <t>红桂客户蓝补2015年度佣金</t>
    <phoneticPr fontId="24" type="noConversion"/>
  </si>
  <si>
    <t>浙分总部</t>
    <phoneticPr fontId="24" type="noConversion"/>
  </si>
  <si>
    <t>投资银行总部</t>
    <phoneticPr fontId="24" type="noConversion"/>
  </si>
  <si>
    <t>资金运营部场外基金申购红利</t>
  </si>
  <si>
    <t>固收投顾团队费用从运营支持部调入</t>
    <phoneticPr fontId="24" type="noConversion"/>
  </si>
  <si>
    <t>德盛期货财富1号调至金工</t>
  </si>
  <si>
    <t>赛莱拉利润调整申请（纸质，双方领导签字）</t>
  </si>
  <si>
    <t>16</t>
  </si>
  <si>
    <t>17</t>
  </si>
  <si>
    <t>18</t>
  </si>
  <si>
    <t>19</t>
  </si>
  <si>
    <t>20</t>
  </si>
  <si>
    <t>21</t>
  </si>
  <si>
    <t>22</t>
  </si>
  <si>
    <t>23</t>
  </si>
  <si>
    <t>江苏开磷瑞阳、湖南桃花江游艇</t>
    <phoneticPr fontId="24" type="noConversion"/>
  </si>
  <si>
    <t>总部大宗采购分摊费用转出</t>
  </si>
  <si>
    <t>通道占用</t>
    <phoneticPr fontId="24" type="noConversion"/>
  </si>
  <si>
    <t>委托理财</t>
    <phoneticPr fontId="24" type="noConversion"/>
  </si>
  <si>
    <t>业务分成（纸质，双方签字）</t>
    <phoneticPr fontId="24" type="noConversion"/>
  </si>
  <si>
    <t>深圳管理部</t>
    <phoneticPr fontId="24" type="noConversion"/>
  </si>
  <si>
    <t>股权融资部</t>
    <phoneticPr fontId="24" type="noConversion"/>
  </si>
  <si>
    <t>利息收入未计提营业税</t>
    <phoneticPr fontId="24" type="noConversion"/>
  </si>
  <si>
    <t>利息收入未计提营业税</t>
    <phoneticPr fontId="24" type="noConversion"/>
  </si>
  <si>
    <t>税金为负数</t>
    <phoneticPr fontId="24" type="noConversion"/>
  </si>
  <si>
    <t>金衍期货</t>
    <phoneticPr fontId="24" type="noConversion"/>
  </si>
  <si>
    <t>2016年5-12月</t>
    <phoneticPr fontId="24" type="noConversion"/>
  </si>
  <si>
    <t>2016年1-4月</t>
    <phoneticPr fontId="24" type="noConversion"/>
  </si>
  <si>
    <t>网络引流推广费计提</t>
    <phoneticPr fontId="24" type="noConversion"/>
  </si>
  <si>
    <t>网络引流服务费计提</t>
    <phoneticPr fontId="24" type="noConversion"/>
  </si>
  <si>
    <t>销项税负数分离引起的收入增加调整</t>
    <phoneticPr fontId="24" type="noConversion"/>
  </si>
  <si>
    <t>网络引流推广费计提(冲回）</t>
    <phoneticPr fontId="24" type="noConversion"/>
  </si>
  <si>
    <t>网络引流服务费计提(冲回）</t>
    <phoneticPr fontId="24" type="noConversion"/>
  </si>
  <si>
    <t>经纪业务部</t>
    <phoneticPr fontId="24" type="noConversion"/>
  </si>
  <si>
    <t>收入已扣除税费</t>
    <phoneticPr fontId="24" type="noConversion"/>
  </si>
  <si>
    <t>资金运营部委托金工现金管理收入</t>
    <phoneticPr fontId="24" type="noConversion"/>
  </si>
  <si>
    <t xml:space="preserve">   2.业务及管理费</t>
    <phoneticPr fontId="24" type="noConversion"/>
  </si>
  <si>
    <t>月多利5号利息支出</t>
    <phoneticPr fontId="24" type="noConversion"/>
  </si>
  <si>
    <t>月多利1-4号利息支出,财丰金系列</t>
    <phoneticPr fontId="24" type="noConversion"/>
  </si>
  <si>
    <t>浙江一夫、江阴华新、江苏亿阀、华会通推荐挂牌收入</t>
    <phoneticPr fontId="24" type="noConversion"/>
  </si>
  <si>
    <t>业务分成（纸质，双方签字）</t>
  </si>
  <si>
    <t>债券承销款资金利息（债券部）</t>
    <phoneticPr fontId="24" type="noConversion"/>
  </si>
  <si>
    <t>债券承销款资金利息（股权部）</t>
    <phoneticPr fontId="24" type="noConversion"/>
  </si>
  <si>
    <t>天津益泽行推荐挂牌收入</t>
    <phoneticPr fontId="24" type="noConversion"/>
  </si>
  <si>
    <t>浙江一夫、杭州华会通推荐挂牌收入</t>
    <phoneticPr fontId="24" type="noConversion"/>
  </si>
  <si>
    <t>融盈2号不计入部门收入117721.95,暂不调整，预计10%给信用</t>
    <phoneticPr fontId="24" type="noConversion"/>
  </si>
  <si>
    <t>资产管理浮动收益（不含财富1号）</t>
    <phoneticPr fontId="24" type="noConversion"/>
  </si>
  <si>
    <t>融盈2号暂计入部门收入（调整1-4月已调）</t>
    <phoneticPr fontId="24" type="noConversion"/>
  </si>
  <si>
    <t>融盈2号暂计入部门收入</t>
    <phoneticPr fontId="24" type="noConversion"/>
  </si>
  <si>
    <t>月多利1-3号/财丰金系列利息支出</t>
    <phoneticPr fontId="24" type="noConversion"/>
  </si>
  <si>
    <t>资金运营部委托金工现金管理收入</t>
  </si>
  <si>
    <t>24</t>
  </si>
  <si>
    <t>收益凭证富丰23号销售收入（长沙芙蓉中路营销奖励）</t>
    <phoneticPr fontId="24" type="noConversion"/>
  </si>
  <si>
    <t>投顾业务部</t>
    <phoneticPr fontId="24" type="noConversion"/>
  </si>
  <si>
    <t>做市业务部</t>
    <phoneticPr fontId="24" type="noConversion"/>
  </si>
  <si>
    <t>广东分公司</t>
    <phoneticPr fontId="24" type="noConversion"/>
  </si>
  <si>
    <t>劳务派遣</t>
  </si>
  <si>
    <t>业务推广费用</t>
  </si>
  <si>
    <t>其他管理费用</t>
  </si>
  <si>
    <t>其他运营费用</t>
  </si>
  <si>
    <t>1</t>
    <phoneticPr fontId="24" type="noConversion"/>
  </si>
  <si>
    <t>证券投资部</t>
    <phoneticPr fontId="24" type="noConversion"/>
  </si>
  <si>
    <t>小计</t>
    <phoneticPr fontId="24" type="noConversion"/>
  </si>
  <si>
    <t>合计</t>
    <phoneticPr fontId="24" type="noConversion"/>
  </si>
  <si>
    <t>8月累计数</t>
    <phoneticPr fontId="24" type="noConversion"/>
  </si>
  <si>
    <t>母公司合并</t>
  </si>
  <si>
    <t>经纪业务</t>
  </si>
  <si>
    <t>投行汇总</t>
  </si>
  <si>
    <t>深圳分公司</t>
  </si>
  <si>
    <t>浙分汇总</t>
  </si>
  <si>
    <t>公司领导</t>
  </si>
  <si>
    <t>财富证券</t>
  </si>
  <si>
    <t>董事会办公室</t>
  </si>
  <si>
    <t>办公室</t>
  </si>
  <si>
    <t>财务管理部</t>
  </si>
  <si>
    <t>资金运营部</t>
  </si>
  <si>
    <t>人力资源部</t>
  </si>
  <si>
    <t>北京办事处</t>
  </si>
  <si>
    <t>党群办</t>
  </si>
  <si>
    <t>合规法务部</t>
  </si>
  <si>
    <t>稽核审计部</t>
  </si>
  <si>
    <t>研究发展中心</t>
  </si>
  <si>
    <t>结算管理部</t>
  </si>
  <si>
    <t>信息技术中心</t>
  </si>
  <si>
    <t>外派人员</t>
  </si>
  <si>
    <t>总部交易</t>
  </si>
  <si>
    <t>深圳管理总部</t>
  </si>
  <si>
    <t>风险管理部（深）</t>
  </si>
  <si>
    <t>投顾业务部</t>
  </si>
  <si>
    <t>金融衍生品部</t>
  </si>
  <si>
    <t>做市业务部</t>
  </si>
  <si>
    <t>投资银行管理总部</t>
  </si>
  <si>
    <t>浙江管理总部</t>
  </si>
  <si>
    <t>广东分公司</t>
  </si>
  <si>
    <t>经纪业务总部</t>
  </si>
  <si>
    <t>零售业务部</t>
  </si>
  <si>
    <t>运营支持部</t>
  </si>
  <si>
    <t>信用业务部</t>
  </si>
  <si>
    <t>机构业务部</t>
  </si>
  <si>
    <t>长沙曙光营业部</t>
  </si>
  <si>
    <t>长沙韶北营业部</t>
  </si>
  <si>
    <t>长沙芙蓉营业部</t>
  </si>
  <si>
    <t>长沙八一营业部</t>
  </si>
  <si>
    <t>湘潭韶中营业部</t>
  </si>
  <si>
    <t>邵阳营业部</t>
  </si>
  <si>
    <t>武冈营业部</t>
  </si>
  <si>
    <t>郴州营业部</t>
  </si>
  <si>
    <t>北京中关村营业部</t>
  </si>
  <si>
    <t>北京德胜门营业部</t>
  </si>
  <si>
    <t>天津营业部</t>
  </si>
  <si>
    <t>温州营业部</t>
  </si>
  <si>
    <t>深圳红桂营业部</t>
  </si>
  <si>
    <t>深圳深南营业部</t>
  </si>
  <si>
    <t>吉首营业部</t>
  </si>
  <si>
    <t>张家界营业部</t>
  </si>
  <si>
    <t>株洲营业部</t>
  </si>
  <si>
    <t>衡阳营业部</t>
  </si>
  <si>
    <t>怀化营业部</t>
  </si>
  <si>
    <t>娄底营业部</t>
  </si>
  <si>
    <t>常德营业部</t>
  </si>
  <si>
    <t>湘潭芙蓉营业部</t>
  </si>
  <si>
    <t>长沙银盆营业部</t>
  </si>
  <si>
    <t>益阳营业部</t>
  </si>
  <si>
    <t>岳阳营业部</t>
  </si>
  <si>
    <t>星沙营业部</t>
  </si>
  <si>
    <t>湘乡营业部</t>
  </si>
  <si>
    <t>永州营业部</t>
  </si>
  <si>
    <t>邵东营业部</t>
  </si>
  <si>
    <t>长沙总部营业部</t>
  </si>
  <si>
    <t>浏阳营业部</t>
  </si>
  <si>
    <t>宁乡营业部</t>
  </si>
  <si>
    <t>临武营业部</t>
  </si>
  <si>
    <t>隆回营业部</t>
  </si>
  <si>
    <t>长沙万芙营业部</t>
  </si>
  <si>
    <t>上海营业部</t>
  </si>
  <si>
    <t>杭州营业部</t>
  </si>
  <si>
    <t>北京东三环营业部</t>
  </si>
  <si>
    <t>广州营业部</t>
  </si>
  <si>
    <t>中山营业部</t>
  </si>
  <si>
    <t>福州营业部</t>
  </si>
  <si>
    <t>南京营业部</t>
  </si>
  <si>
    <t>武汉营业部</t>
  </si>
  <si>
    <t>成都营业部</t>
  </si>
  <si>
    <t>郑州营业部</t>
  </si>
  <si>
    <t>青岛营业部</t>
  </si>
  <si>
    <t>沈阳营业部</t>
  </si>
  <si>
    <t>重庆营业部</t>
  </si>
  <si>
    <t>西安营业部</t>
  </si>
  <si>
    <t>南宁营业部</t>
  </si>
  <si>
    <t>哈尔滨营业部</t>
  </si>
  <si>
    <t>合肥营业部</t>
  </si>
  <si>
    <t>石家庄营业部</t>
  </si>
  <si>
    <t>南昌营业部</t>
  </si>
  <si>
    <t>昆明营业部</t>
  </si>
  <si>
    <t>兰州营业部</t>
  </si>
  <si>
    <t>长春营业部</t>
  </si>
  <si>
    <t>贵阳营业部</t>
  </si>
  <si>
    <t>太原营业部</t>
  </si>
  <si>
    <t>台州营业部</t>
  </si>
  <si>
    <t>深圳彩田营业部</t>
  </si>
  <si>
    <t>嘉兴营业部</t>
  </si>
  <si>
    <t>8月本月数</t>
    <phoneticPr fontId="24" type="noConversion"/>
  </si>
  <si>
    <t>2016年2月考核调整事项表</t>
    <phoneticPr fontId="24" type="noConversion"/>
  </si>
  <si>
    <t>资金运营部2906账户回购利息</t>
    <phoneticPr fontId="24" type="noConversion"/>
  </si>
  <si>
    <t>固收2921账户回购利息</t>
    <phoneticPr fontId="24" type="noConversion"/>
  </si>
  <si>
    <t>固收2921账户基金投资收益</t>
    <phoneticPr fontId="24" type="noConversion"/>
  </si>
  <si>
    <t>融盈2号暂计入部门收入（调1-4月已调）</t>
    <phoneticPr fontId="24" type="noConversion"/>
  </si>
  <si>
    <t>注：1、无对应调整部门的填为"其他"，如综合收益与跨期调整事项(总部中后台为与总部帐套调整事项,总部代付或总部分摊等）</t>
  </si>
  <si>
    <t>投顾业务部</t>
    <phoneticPr fontId="24" type="noConversion"/>
  </si>
  <si>
    <t>做市业务部</t>
    <phoneticPr fontId="24" type="noConversion"/>
  </si>
  <si>
    <t>投顾业务部</t>
    <phoneticPr fontId="24" type="noConversion"/>
  </si>
  <si>
    <t>1-8月协同双计收入（长沙八一债融承揽费用、三板承揽收入）</t>
    <phoneticPr fontId="24" type="noConversion"/>
  </si>
  <si>
    <t>网络金融部</t>
    <phoneticPr fontId="24" type="noConversion"/>
  </si>
  <si>
    <t>珠江6号收入划至曙光营业部</t>
    <phoneticPr fontId="24" type="noConversion"/>
  </si>
  <si>
    <t>融盈2号业绩报酬调至投资收益</t>
    <phoneticPr fontId="24" type="noConversion"/>
  </si>
  <si>
    <t>25</t>
  </si>
  <si>
    <t>26</t>
  </si>
  <si>
    <t>27</t>
  </si>
  <si>
    <t>新疆西龙土推荐挂牌财务顾问收入、江苏开磷瑞阳、湖南桃花江游艇</t>
    <phoneticPr fontId="24" type="noConversion"/>
  </si>
  <si>
    <r>
      <t>1</t>
    </r>
    <r>
      <rPr>
        <sz val="11"/>
        <color theme="1"/>
        <rFont val="宋体"/>
        <family val="3"/>
        <charset val="134"/>
        <scheme val="minor"/>
      </rPr>
      <t>-7月</t>
    </r>
    <phoneticPr fontId="24" type="noConversion"/>
  </si>
  <si>
    <t>投行管理总部</t>
  </si>
  <si>
    <t xml:space="preserve">        其中:对联营企业和合营企业的投资收益</t>
  </si>
  <si>
    <t>28</t>
  </si>
  <si>
    <t>债券受托管理费调整至投行总部</t>
  </si>
  <si>
    <t>拟补签纸质</t>
  </si>
  <si>
    <t>29</t>
  </si>
  <si>
    <t>上半年三板项目承揽费按比例从中小融调出（80%）</t>
  </si>
  <si>
    <t>调整后</t>
    <phoneticPr fontId="24" type="noConversion"/>
  </si>
  <si>
    <t>转融通利息需扣税</t>
    <phoneticPr fontId="24" type="noConversion"/>
  </si>
  <si>
    <t>业务费用</t>
    <phoneticPr fontId="24" type="noConversion"/>
  </si>
  <si>
    <t>29</t>
    <phoneticPr fontId="24" type="noConversion"/>
  </si>
  <si>
    <t>融盈2号第二期分收入到信用业务部</t>
    <phoneticPr fontId="24" type="noConversion"/>
  </si>
  <si>
    <t>总部费用转出</t>
    <phoneticPr fontId="24" type="noConversion"/>
  </si>
  <si>
    <t xml:space="preserve">   1.营业税金及附加</t>
    <phoneticPr fontId="24" type="noConversion"/>
  </si>
  <si>
    <t>股权部项目傲派自动化律师费调出（80%）</t>
    <phoneticPr fontId="24" type="noConversion"/>
  </si>
  <si>
    <t>股权部项目傲派自动化评估费调出（80%）</t>
    <phoneticPr fontId="24" type="noConversion"/>
  </si>
  <si>
    <t>做市业务部推荐做市分成收入（快乐传媒）</t>
    <phoneticPr fontId="24" type="noConversion"/>
  </si>
  <si>
    <t>做市业务部推荐做市分成收入（快乐传媒）</t>
  </si>
  <si>
    <t>30</t>
  </si>
  <si>
    <t>30</t>
    <phoneticPr fontId="24" type="noConversion"/>
  </si>
  <si>
    <t>31</t>
  </si>
  <si>
    <t>31</t>
    <phoneticPr fontId="24" type="noConversion"/>
  </si>
  <si>
    <t>金工-资金运营部场外基金申购红利</t>
  </si>
  <si>
    <t>32</t>
  </si>
  <si>
    <t>32</t>
    <phoneticPr fontId="24" type="noConversion"/>
  </si>
  <si>
    <t>固定收益部</t>
    <phoneticPr fontId="24" type="noConversion"/>
  </si>
  <si>
    <t>上半年三板项目承揽费按比例从中小融调出</t>
    <phoneticPr fontId="24" type="noConversion"/>
  </si>
  <si>
    <t>上半年三板项目承揽费按比例从中小融调出（80%）</t>
    <phoneticPr fontId="24" type="noConversion"/>
  </si>
  <si>
    <t>广东分公司</t>
    <phoneticPr fontId="35" type="noConversion"/>
  </si>
  <si>
    <t>股权融资部高争民爆</t>
    <phoneticPr fontId="24" type="noConversion"/>
  </si>
  <si>
    <t>做市业务部推荐做市分成收入（丰电科技）</t>
    <phoneticPr fontId="24" type="noConversion"/>
  </si>
  <si>
    <t>做市业务部委托固收现金管理收入</t>
    <phoneticPr fontId="24" type="noConversion"/>
  </si>
  <si>
    <t>做市业务部委托证投现金管理收入</t>
    <phoneticPr fontId="24" type="noConversion"/>
  </si>
  <si>
    <t>33</t>
  </si>
  <si>
    <t>34</t>
  </si>
  <si>
    <t>35</t>
  </si>
  <si>
    <t>36</t>
  </si>
  <si>
    <t>证投德盛期货财富1号投资收益调至金工</t>
  </si>
  <si>
    <t>37</t>
  </si>
  <si>
    <t>金工-信用业务部融券浮动盈亏</t>
    <phoneticPr fontId="35" type="noConversion"/>
  </si>
  <si>
    <t>金工-信用业务部融券利息收入</t>
    <phoneticPr fontId="35" type="noConversion"/>
  </si>
  <si>
    <t>38</t>
  </si>
  <si>
    <t>金工金月月盈销售费用调至经总12月</t>
    <phoneticPr fontId="24" type="noConversion"/>
  </si>
  <si>
    <t>深分折旧费分摊12月</t>
    <phoneticPr fontId="24" type="noConversion"/>
  </si>
  <si>
    <t>总部分摊折旧摊销等费用</t>
    <phoneticPr fontId="24" type="noConversion"/>
  </si>
  <si>
    <t>39</t>
  </si>
  <si>
    <t>41</t>
  </si>
  <si>
    <t>42</t>
  </si>
  <si>
    <t>43</t>
  </si>
  <si>
    <t>44</t>
  </si>
  <si>
    <t>45</t>
  </si>
  <si>
    <t>46</t>
  </si>
  <si>
    <t>47</t>
  </si>
  <si>
    <t>总部分摊折旧摊销等费用</t>
  </si>
  <si>
    <t>邮电通讯费</t>
    <phoneticPr fontId="24" type="noConversion"/>
  </si>
  <si>
    <t>总部分摊邮电通讯费</t>
    <phoneticPr fontId="24" type="noConversion"/>
  </si>
  <si>
    <t>深分代垫水电费</t>
  </si>
  <si>
    <t>深分代垫惠和物业管理费、租金</t>
  </si>
  <si>
    <t>深分代垫福田营业部租金及管理费（橄榄大厦、地铁大厦）</t>
  </si>
  <si>
    <t>深分代垫广分租金及管理费</t>
  </si>
  <si>
    <t>深分代垫广分维修费</t>
  </si>
  <si>
    <t>48</t>
  </si>
  <si>
    <t>55</t>
  </si>
  <si>
    <t>56</t>
  </si>
  <si>
    <t>2016年度费用分摊</t>
    <phoneticPr fontId="24" type="noConversion"/>
  </si>
  <si>
    <t>业务分成（纸质，双方签字）亏损不双计</t>
    <phoneticPr fontId="24" type="noConversion"/>
  </si>
  <si>
    <t>业务分成（纸质，双方签字）亏损不双计</t>
    <phoneticPr fontId="24" type="noConversion"/>
  </si>
  <si>
    <t>盈利考核双计621000</t>
    <phoneticPr fontId="24" type="noConversion"/>
  </si>
  <si>
    <t>综合业务部为惠和引入一笔收益凭证，承揽费要求收入利润双计。</t>
    <phoneticPr fontId="24" type="noConversion"/>
  </si>
  <si>
    <t>邓雪聪为惠和引入一笔收益凭证承揽费</t>
    <phoneticPr fontId="24" type="noConversion"/>
  </si>
  <si>
    <t>承揽费对应工会经费</t>
    <phoneticPr fontId="24" type="noConversion"/>
  </si>
  <si>
    <t>杭州营业部替浙分报销车辆使用费</t>
    <phoneticPr fontId="24" type="noConversion"/>
  </si>
  <si>
    <t>40</t>
  </si>
  <si>
    <t>运通20号收入划红桂营业部</t>
    <phoneticPr fontId="24" type="noConversion"/>
  </si>
  <si>
    <t>点米1号收入划南京营业部</t>
    <phoneticPr fontId="24" type="noConversion"/>
  </si>
  <si>
    <t>定向投顾产品交易费和业绩报酬划总部营业部</t>
    <phoneticPr fontId="24" type="noConversion"/>
  </si>
  <si>
    <t>深圳分公司分摊房租</t>
    <phoneticPr fontId="24" type="noConversion"/>
  </si>
  <si>
    <t>总部分摊2016年折旧费用等</t>
    <phoneticPr fontId="24" type="noConversion"/>
  </si>
  <si>
    <t>1-12月IB分成利润</t>
    <phoneticPr fontId="24" type="noConversion"/>
  </si>
  <si>
    <t>总部营业部替网金承担物业费等</t>
    <phoneticPr fontId="24" type="noConversion"/>
  </si>
  <si>
    <t>运营支持部代报彭立文交通费</t>
    <phoneticPr fontId="24" type="noConversion"/>
  </si>
  <si>
    <t>新设营业部广告招牌费</t>
    <phoneticPr fontId="24" type="noConversion"/>
  </si>
  <si>
    <t>序号 证券公司</t>
  </si>
  <si>
    <t>当 月 成 交</t>
  </si>
  <si>
    <t>量 市 场 份</t>
  </si>
  <si>
    <t>额%</t>
  </si>
  <si>
    <t>当年累计</t>
  </si>
  <si>
    <t>成交量市</t>
  </si>
  <si>
    <t>场份额%</t>
  </si>
  <si>
    <t>华宝证券</t>
  </si>
  <si>
    <t>华安证券</t>
  </si>
  <si>
    <t>华泰证券</t>
  </si>
  <si>
    <t>东海证券</t>
  </si>
  <si>
    <t>国泰君安</t>
  </si>
  <si>
    <t>华鑫证券</t>
  </si>
  <si>
    <t>中信证券</t>
  </si>
  <si>
    <t>东吴证券</t>
  </si>
  <si>
    <t>广发证券</t>
  </si>
  <si>
    <t>华龙证券</t>
  </si>
  <si>
    <t>海通证券</t>
  </si>
  <si>
    <t>安信证券</t>
  </si>
  <si>
    <t>渤海证券</t>
  </si>
  <si>
    <t>湘财证券</t>
  </si>
  <si>
    <t>民族证券</t>
  </si>
  <si>
    <t>招商证券</t>
  </si>
  <si>
    <t>南京证券</t>
  </si>
  <si>
    <t>银河证券</t>
  </si>
  <si>
    <t>万联证券</t>
  </si>
  <si>
    <t>国信证券</t>
  </si>
  <si>
    <t>国都证券</t>
  </si>
  <si>
    <t>中泰证券</t>
  </si>
  <si>
    <t>广州证券</t>
  </si>
  <si>
    <t>中信建投</t>
  </si>
  <si>
    <t>华西证券</t>
  </si>
  <si>
    <t>光大证券</t>
  </si>
  <si>
    <t>中航证券</t>
  </si>
  <si>
    <t>申万宏源</t>
  </si>
  <si>
    <t>宏信证券</t>
  </si>
  <si>
    <t>长江证券</t>
  </si>
  <si>
    <t>天风证券</t>
  </si>
  <si>
    <t>东北证券</t>
  </si>
  <si>
    <t>联讯证券</t>
  </si>
  <si>
    <t>国元证券</t>
  </si>
  <si>
    <t>华林证券</t>
  </si>
  <si>
    <t>第一创业</t>
  </si>
  <si>
    <t>太平洋</t>
  </si>
  <si>
    <t>新时代</t>
  </si>
  <si>
    <t>上海证券</t>
  </si>
  <si>
    <t>申宏西部</t>
  </si>
  <si>
    <t>恒泰证券</t>
  </si>
  <si>
    <t>中国中投</t>
  </si>
  <si>
    <t>世纪证券</t>
  </si>
  <si>
    <t>方正证券</t>
  </si>
  <si>
    <t>民生证券</t>
  </si>
  <si>
    <t>国海证券</t>
  </si>
  <si>
    <t>财达证券</t>
  </si>
  <si>
    <t>信达证券</t>
  </si>
  <si>
    <t>大通证券</t>
  </si>
  <si>
    <t>浙商证券</t>
  </si>
  <si>
    <t>中山证券</t>
  </si>
  <si>
    <t>东方证券</t>
  </si>
  <si>
    <t>西部证券</t>
  </si>
  <si>
    <t>平安证券</t>
  </si>
  <si>
    <t>中天证券</t>
  </si>
  <si>
    <t>国联证券</t>
  </si>
  <si>
    <t>五矿证券</t>
  </si>
  <si>
    <t>西南证券</t>
  </si>
  <si>
    <t>国融证券</t>
  </si>
  <si>
    <t>财通证券</t>
  </si>
  <si>
    <t>华融证券</t>
  </si>
  <si>
    <t>华福证券</t>
  </si>
  <si>
    <t>英大证券</t>
  </si>
  <si>
    <t>东莞证券</t>
  </si>
  <si>
    <t>金元证券</t>
  </si>
  <si>
    <t>中金公司</t>
  </si>
  <si>
    <t>大同证券</t>
  </si>
  <si>
    <t>江海证券</t>
  </si>
  <si>
    <t>红塔证券</t>
  </si>
  <si>
    <t>中原证券</t>
  </si>
  <si>
    <t>银泰证券</t>
  </si>
  <si>
    <t>中信山东</t>
  </si>
  <si>
    <t>中银国际</t>
  </si>
  <si>
    <t>东兴证券</t>
  </si>
  <si>
    <t>国盛证券</t>
  </si>
  <si>
    <t>兴业证券</t>
  </si>
  <si>
    <t>开源证券</t>
  </si>
  <si>
    <t>长城证券</t>
  </si>
  <si>
    <t>川财证券</t>
  </si>
  <si>
    <t>山西证券</t>
  </si>
  <si>
    <t>华创证券</t>
  </si>
  <si>
    <t>国金证券</t>
  </si>
  <si>
    <t>西藏东财</t>
  </si>
  <si>
    <t>号</t>
  </si>
  <si>
    <t>证券公司</t>
  </si>
  <si>
    <t>当</t>
  </si>
  <si>
    <t>月</t>
  </si>
  <si>
    <t>新</t>
  </si>
  <si>
    <t>增</t>
  </si>
  <si>
    <t>客</t>
  </si>
  <si>
    <t>户</t>
  </si>
  <si>
    <t>市</t>
  </si>
  <si>
    <t>场</t>
  </si>
  <si>
    <t>份额%</t>
  </si>
  <si>
    <t>累计开户</t>
  </si>
  <si>
    <t>份</t>
  </si>
  <si>
    <t>调增网金去年已计提的今年费用1714.75万元，今年应付暂未付的费用1166.21万元</t>
    <phoneticPr fontId="24" type="noConversion"/>
  </si>
  <si>
    <t>惠丰3号计提税金调回</t>
    <phoneticPr fontId="24" type="noConversion"/>
  </si>
  <si>
    <t>网金承担应属于渠道费用的支出</t>
    <phoneticPr fontId="24" type="noConversion"/>
  </si>
  <si>
    <t>49</t>
  </si>
  <si>
    <t>50</t>
  </si>
  <si>
    <t>51</t>
  </si>
  <si>
    <t>52</t>
  </si>
  <si>
    <t>53</t>
  </si>
  <si>
    <t>54</t>
  </si>
  <si>
    <t>57</t>
  </si>
  <si>
    <t>58</t>
  </si>
  <si>
    <t>59</t>
  </si>
  <si>
    <t>60</t>
  </si>
  <si>
    <t>彩田路中邮基金奖励跨年至2017年一季度发放，收入已在2016年实现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</si>
</sst>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43" formatCode="_ * #,##0.00_ ;_ * \-#,##0.00_ ;_ * &quot;-&quot;??_ ;_ @_ "/>
    <numFmt numFmtId="176" formatCode="0_);[Red]\(0\)"/>
    <numFmt numFmtId="177" formatCode="_-* #,##0.00_-;\-* #,##0.00_-;_-* &quot;-&quot;??_-;_-@_-"/>
    <numFmt numFmtId="178" formatCode="_ &quot;￥&quot;* #,##0_ ;_ &quot;￥&quot;* \-#,##0_ ;_ &quot;￥&quot;* &quot;-&quot;_ ;_ @_ "/>
    <numFmt numFmtId="179" formatCode="0.00_ "/>
    <numFmt numFmtId="180" formatCode="0_ "/>
    <numFmt numFmtId="181" formatCode="0.00_);[Red]\(0.00\)"/>
    <numFmt numFmtId="182" formatCode="#,##0.00_ "/>
    <numFmt numFmtId="183" formatCode="_ * #,##0.0000_ ;_ * \-#,##0.0000_ ;_ * &quot;-&quot;_ ;_ @_ "/>
    <numFmt numFmtId="184" formatCode="_-* #,##0.0_-;\-* #,##0.0_-;_-* &quot;-&quot;??_-;_-@_-"/>
  </numFmts>
  <fonts count="36">
    <font>
      <sz val="11"/>
      <color theme="1"/>
      <name val="宋体"/>
      <charset val="134"/>
      <scheme val="minor"/>
    </font>
    <font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name val="Times New Roman"/>
      <family val="1"/>
    </font>
    <font>
      <sz val="10"/>
      <name val="微软雅黑"/>
      <family val="2"/>
      <charset val="134"/>
    </font>
    <font>
      <sz val="10"/>
      <color rgb="FFC00000"/>
      <name val="微软雅黑"/>
      <family val="2"/>
      <charset val="134"/>
    </font>
    <font>
      <b/>
      <sz val="12"/>
      <color theme="1"/>
      <name val="仿宋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仿宋_GB2312"/>
      <charset val="134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name val="仿宋_GB2312"/>
      <charset val="134"/>
    </font>
    <font>
      <sz val="10"/>
      <color theme="0"/>
      <name val="Times New Roman"/>
      <family val="1"/>
    </font>
    <font>
      <b/>
      <sz val="10"/>
      <color theme="1"/>
      <name val="宋体"/>
      <family val="3"/>
      <charset val="134"/>
      <scheme val="minor"/>
    </font>
    <font>
      <sz val="10"/>
      <color theme="1"/>
      <name val="仿宋_GB2312"/>
      <charset val="134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仿宋_GB2312"/>
      <family val="3"/>
      <charset val="134"/>
    </font>
    <font>
      <sz val="10"/>
      <name val="仿宋_GB2312"/>
      <family val="3"/>
      <charset val="134"/>
    </font>
    <font>
      <b/>
      <sz val="10"/>
      <name val="仿宋_GB2312"/>
      <family val="3"/>
      <charset val="134"/>
    </font>
    <font>
      <sz val="12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2"/>
      <name val="微软雅黑"/>
      <family val="2"/>
      <charset val="134"/>
    </font>
    <font>
      <b/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hair">
        <color indexed="12"/>
      </left>
      <right style="hair">
        <color indexed="12"/>
      </right>
      <top style="medium">
        <color indexed="12"/>
      </top>
      <bottom style="hair">
        <color indexed="12"/>
      </bottom>
      <diagonal/>
    </border>
    <border>
      <left style="hair">
        <color indexed="12"/>
      </left>
      <right/>
      <top style="medium">
        <color indexed="12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/>
      <top style="hair">
        <color indexed="12"/>
      </top>
      <bottom style="hair">
        <color indexed="12"/>
      </bottom>
      <diagonal/>
    </border>
    <border>
      <left/>
      <right style="hair">
        <color indexed="12"/>
      </right>
      <top style="hair">
        <color indexed="12"/>
      </top>
      <bottom style="hair">
        <color indexed="12"/>
      </bottom>
      <diagonal/>
    </border>
    <border>
      <left/>
      <right style="hair">
        <color indexed="12"/>
      </right>
      <top style="hair">
        <color indexed="12"/>
      </top>
      <bottom/>
      <diagonal/>
    </border>
    <border>
      <left style="hair">
        <color indexed="12"/>
      </left>
      <right style="hair">
        <color indexed="12"/>
      </right>
      <top style="hair">
        <color indexed="12"/>
      </top>
      <bottom/>
      <diagonal/>
    </border>
    <border>
      <left/>
      <right style="hair">
        <color indexed="12"/>
      </right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/>
      <top style="hair">
        <color indexed="12"/>
      </top>
      <bottom/>
      <diagonal/>
    </border>
    <border>
      <left/>
      <right style="hair">
        <color indexed="12"/>
      </right>
      <top style="hair">
        <color indexed="12"/>
      </top>
      <bottom style="medium">
        <color indexed="12"/>
      </bottom>
      <diagonal/>
    </border>
    <border>
      <left/>
      <right/>
      <top style="hair">
        <color indexed="12"/>
      </top>
      <bottom style="medium">
        <color indexed="12"/>
      </bottom>
      <diagonal/>
    </border>
    <border>
      <left/>
      <right style="hair">
        <color indexed="12"/>
      </right>
      <top/>
      <bottom/>
      <diagonal/>
    </border>
    <border>
      <left style="hair">
        <color indexed="12"/>
      </left>
      <right style="hair">
        <color indexed="12"/>
      </right>
      <top/>
      <bottom style="hair">
        <color indexed="12"/>
      </bottom>
      <diagonal/>
    </border>
    <border>
      <left style="hair">
        <color indexed="12"/>
      </left>
      <right/>
      <top/>
      <bottom style="hair">
        <color indexed="12"/>
      </bottom>
      <diagonal/>
    </border>
    <border>
      <left style="hair">
        <color indexed="12"/>
      </left>
      <right/>
      <top style="hair">
        <color indexed="12"/>
      </top>
      <bottom/>
      <diagonal/>
    </border>
    <border>
      <left/>
      <right style="hair">
        <color indexed="12"/>
      </right>
      <top style="medium">
        <color indexed="12"/>
      </top>
      <bottom/>
      <diagonal/>
    </border>
    <border>
      <left style="hair">
        <color indexed="12"/>
      </left>
      <right style="hair">
        <color indexed="12"/>
      </right>
      <top style="medium">
        <color indexed="12"/>
      </top>
      <bottom/>
      <diagonal/>
    </border>
    <border>
      <left style="hair">
        <color indexed="12"/>
      </left>
      <right style="hair">
        <color indexed="12"/>
      </right>
      <top style="hair">
        <color indexed="12"/>
      </top>
      <bottom style="medium">
        <color indexed="12"/>
      </bottom>
      <diagonal/>
    </border>
    <border>
      <left/>
      <right style="hair">
        <color indexed="12"/>
      </right>
      <top/>
      <bottom style="hair">
        <color indexed="12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/>
      <right style="hair">
        <color indexed="12"/>
      </right>
      <top style="hair">
        <color indexed="12"/>
      </top>
      <bottom style="hair">
        <color indexed="12"/>
      </bottom>
      <diagonal/>
    </border>
    <border>
      <left/>
      <right style="hair">
        <color indexed="12"/>
      </right>
      <top style="hair">
        <color indexed="12"/>
      </top>
      <bottom/>
      <diagonal/>
    </border>
    <border>
      <left/>
      <right style="hair">
        <color indexed="12"/>
      </right>
      <top style="hair">
        <color indexed="12"/>
      </top>
      <bottom style="medium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medium">
        <color indexed="12"/>
      </bottom>
      <diagonal/>
    </border>
    <border>
      <left style="hair">
        <color indexed="12"/>
      </left>
      <right/>
      <top style="hair">
        <color indexed="12"/>
      </top>
      <bottom style="hair">
        <color indexed="12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2"/>
      </left>
      <right/>
      <top style="hair">
        <color indexed="12"/>
      </top>
      <bottom style="medium">
        <color indexed="12"/>
      </bottom>
      <diagonal/>
    </border>
    <border>
      <left style="dotted">
        <color theme="4" tint="0.59999389629810485"/>
      </left>
      <right style="dotted">
        <color theme="4" tint="0.59999389629810485"/>
      </right>
      <top style="dotted">
        <color theme="4" tint="0.59999389629810485"/>
      </top>
      <bottom style="dotted">
        <color theme="4" tint="0.59999389629810485"/>
      </bottom>
      <diagonal/>
    </border>
    <border>
      <left style="hair">
        <color indexed="12"/>
      </left>
      <right/>
      <top style="hair">
        <color indexed="12"/>
      </top>
      <bottom/>
      <diagonal/>
    </border>
  </borders>
  <cellStyleXfs count="4">
    <xf numFmtId="0" fontId="0" fillId="0" borderId="0">
      <alignment vertical="center"/>
    </xf>
    <xf numFmtId="177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178" fontId="22" fillId="0" borderId="0" applyFont="0" applyFill="0" applyBorder="0" applyAlignment="0" applyProtection="0"/>
  </cellStyleXfs>
  <cellXfs count="330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49" fontId="2" fillId="0" borderId="0" xfId="0" applyNumberFormat="1" applyFont="1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49" fontId="2" fillId="2" borderId="0" xfId="0" applyNumberFormat="1" applyFont="1" applyFill="1" applyProtection="1">
      <alignment vertical="center"/>
      <protection locked="0"/>
    </xf>
    <xf numFmtId="0" fontId="2" fillId="2" borderId="0" xfId="0" applyFont="1" applyFill="1" applyProtection="1">
      <alignment vertical="center"/>
      <protection locked="0"/>
    </xf>
    <xf numFmtId="49" fontId="4" fillId="2" borderId="3" xfId="1" applyNumberFormat="1" applyFont="1" applyFill="1" applyBorder="1" applyAlignment="1" applyProtection="1">
      <protection locked="0"/>
    </xf>
    <xf numFmtId="177" fontId="4" fillId="2" borderId="3" xfId="1" applyNumberFormat="1" applyFont="1" applyFill="1" applyBorder="1" applyAlignment="1" applyProtection="1">
      <protection locked="0"/>
    </xf>
    <xf numFmtId="177" fontId="1" fillId="2" borderId="3" xfId="1" applyNumberFormat="1" applyFont="1" applyFill="1" applyBorder="1" applyAlignment="1" applyProtection="1">
      <protection locked="0"/>
    </xf>
    <xf numFmtId="179" fontId="4" fillId="2" borderId="3" xfId="1" applyNumberFormat="1" applyFont="1" applyFill="1" applyBorder="1" applyAlignment="1" applyProtection="1">
      <protection locked="0"/>
    </xf>
    <xf numFmtId="0" fontId="2" fillId="0" borderId="3" xfId="0" applyFont="1" applyBorder="1" applyProtection="1">
      <alignment vertical="center"/>
      <protection locked="0"/>
    </xf>
    <xf numFmtId="0" fontId="2" fillId="0" borderId="4" xfId="0" applyFont="1" applyBorder="1" applyProtection="1">
      <alignment vertical="center"/>
      <protection locked="0"/>
    </xf>
    <xf numFmtId="49" fontId="4" fillId="5" borderId="3" xfId="1" applyNumberFormat="1" applyFont="1" applyFill="1" applyBorder="1" applyAlignment="1" applyProtection="1">
      <protection locked="0"/>
    </xf>
    <xf numFmtId="177" fontId="4" fillId="5" borderId="3" xfId="1" applyNumberFormat="1" applyFont="1" applyFill="1" applyBorder="1" applyAlignment="1" applyProtection="1">
      <protection locked="0"/>
    </xf>
    <xf numFmtId="177" fontId="4" fillId="5" borderId="4" xfId="1" applyNumberFormat="1" applyFont="1" applyFill="1" applyBorder="1" applyAlignment="1" applyProtection="1">
      <protection locked="0"/>
    </xf>
    <xf numFmtId="49" fontId="4" fillId="2" borderId="7" xfId="1" applyNumberFormat="1" applyFont="1" applyFill="1" applyBorder="1" applyAlignment="1" applyProtection="1">
      <protection locked="0"/>
    </xf>
    <xf numFmtId="177" fontId="4" fillId="5" borderId="7" xfId="1" applyNumberFormat="1" applyFont="1" applyFill="1" applyBorder="1" applyAlignment="1" applyProtection="1">
      <protection locked="0"/>
    </xf>
    <xf numFmtId="177" fontId="4" fillId="2" borderId="7" xfId="1" applyNumberFormat="1" applyFont="1" applyFill="1" applyBorder="1" applyAlignment="1" applyProtection="1">
      <protection locked="0"/>
    </xf>
    <xf numFmtId="177" fontId="2" fillId="0" borderId="0" xfId="0" applyNumberFormat="1" applyFont="1" applyProtection="1">
      <alignment vertical="center"/>
      <protection locked="0"/>
    </xf>
    <xf numFmtId="49" fontId="4" fillId="7" borderId="3" xfId="1" applyNumberFormat="1" applyFont="1" applyFill="1" applyBorder="1" applyAlignment="1" applyProtection="1">
      <protection locked="0"/>
    </xf>
    <xf numFmtId="177" fontId="4" fillId="7" borderId="3" xfId="1" applyNumberFormat="1" applyFont="1" applyFill="1" applyBorder="1" applyAlignment="1" applyProtection="1">
      <protection locked="0"/>
    </xf>
    <xf numFmtId="0" fontId="2" fillId="7" borderId="3" xfId="0" applyFont="1" applyFill="1" applyBorder="1" applyProtection="1">
      <alignment vertical="center"/>
      <protection locked="0"/>
    </xf>
    <xf numFmtId="49" fontId="1" fillId="2" borderId="0" xfId="0" applyNumberFormat="1" applyFont="1" applyFill="1" applyAlignment="1" applyProtection="1">
      <alignment vertical="center"/>
      <protection locked="0"/>
    </xf>
    <xf numFmtId="177" fontId="4" fillId="5" borderId="16" xfId="1" applyNumberFormat="1" applyFont="1" applyFill="1" applyBorder="1" applyAlignment="1" applyProtection="1">
      <protection locked="0"/>
    </xf>
    <xf numFmtId="41" fontId="6" fillId="0" borderId="0" xfId="0" applyNumberFormat="1" applyFont="1">
      <alignment vertical="center"/>
    </xf>
    <xf numFmtId="41" fontId="7" fillId="0" borderId="0" xfId="0" applyNumberFormat="1" applyFont="1">
      <alignment vertical="center"/>
    </xf>
    <xf numFmtId="41" fontId="0" fillId="0" borderId="0" xfId="0" applyNumberFormat="1">
      <alignment vertical="center"/>
    </xf>
    <xf numFmtId="41" fontId="0" fillId="0" borderId="0" xfId="0" applyNumberFormat="1" applyAlignment="1">
      <alignment horizontal="center" vertical="center"/>
    </xf>
    <xf numFmtId="41" fontId="0" fillId="2" borderId="0" xfId="0" applyNumberFormat="1" applyFill="1">
      <alignment vertical="center"/>
    </xf>
    <xf numFmtId="41" fontId="8" fillId="8" borderId="0" xfId="0" applyNumberFormat="1" applyFont="1" applyFill="1">
      <alignment vertical="center"/>
    </xf>
    <xf numFmtId="41" fontId="7" fillId="2" borderId="0" xfId="0" applyNumberFormat="1" applyFont="1" applyFill="1">
      <alignment vertical="center"/>
    </xf>
    <xf numFmtId="41" fontId="9" fillId="3" borderId="17" xfId="3" applyNumberFormat="1" applyFont="1" applyFill="1" applyBorder="1" applyAlignment="1">
      <alignment horizontal="center" vertical="center"/>
    </xf>
    <xf numFmtId="41" fontId="9" fillId="3" borderId="18" xfId="3" applyNumberFormat="1" applyFont="1" applyFill="1" applyBorder="1" applyAlignment="1">
      <alignment horizontal="center" vertical="center"/>
    </xf>
    <xf numFmtId="180" fontId="9" fillId="3" borderId="17" xfId="3" applyNumberFormat="1" applyFont="1" applyFill="1" applyBorder="1" applyAlignment="1" applyProtection="1">
      <alignment horizontal="center" vertical="center"/>
      <protection locked="0"/>
    </xf>
    <xf numFmtId="41" fontId="11" fillId="9" borderId="3" xfId="1" applyNumberFormat="1" applyFont="1" applyFill="1" applyBorder="1" applyAlignment="1"/>
    <xf numFmtId="41" fontId="12" fillId="3" borderId="3" xfId="1" applyNumberFormat="1" applyFont="1" applyFill="1" applyBorder="1" applyAlignment="1">
      <alignment horizontal="center" wrapText="1"/>
    </xf>
    <xf numFmtId="41" fontId="13" fillId="3" borderId="19" xfId="1" applyNumberFormat="1" applyFont="1" applyFill="1" applyBorder="1" applyAlignment="1">
      <alignment horizontal="left" vertical="center"/>
    </xf>
    <xf numFmtId="41" fontId="8" fillId="10" borderId="0" xfId="0" applyNumberFormat="1" applyFont="1" applyFill="1">
      <alignment vertical="center"/>
    </xf>
    <xf numFmtId="41" fontId="0" fillId="2" borderId="0" xfId="0" applyNumberFormat="1" applyFill="1" applyAlignment="1">
      <alignment horizontal="center" vertical="center"/>
    </xf>
    <xf numFmtId="180" fontId="9" fillId="11" borderId="17" xfId="3" applyNumberFormat="1" applyFont="1" applyFill="1" applyBorder="1" applyAlignment="1" applyProtection="1">
      <alignment horizontal="center" vertical="center"/>
      <protection locked="0"/>
    </xf>
    <xf numFmtId="41" fontId="11" fillId="9" borderId="3" xfId="1" applyNumberFormat="1" applyFont="1" applyFill="1" applyBorder="1" applyAlignment="1">
      <alignment horizontal="center"/>
    </xf>
    <xf numFmtId="41" fontId="11" fillId="9" borderId="3" xfId="1" applyNumberFormat="1" applyFont="1" applyFill="1" applyBorder="1" applyAlignment="1" applyProtection="1"/>
    <xf numFmtId="41" fontId="12" fillId="3" borderId="3" xfId="1" applyNumberFormat="1" applyFont="1" applyFill="1" applyBorder="1" applyAlignment="1" applyProtection="1">
      <alignment horizontal="right" wrapText="1"/>
    </xf>
    <xf numFmtId="41" fontId="12" fillId="3" borderId="3" xfId="1" applyNumberFormat="1" applyFont="1" applyFill="1" applyBorder="1" applyAlignment="1" applyProtection="1">
      <alignment horizontal="center" wrapText="1"/>
    </xf>
    <xf numFmtId="41" fontId="13" fillId="3" borderId="19" xfId="1" applyNumberFormat="1" applyFont="1" applyFill="1" applyBorder="1" applyAlignment="1" applyProtection="1">
      <alignment horizontal="left" vertical="center"/>
    </xf>
    <xf numFmtId="41" fontId="10" fillId="8" borderId="0" xfId="1" applyNumberFormat="1" applyFont="1" applyFill="1" applyBorder="1" applyAlignment="1">
      <alignment horizontal="left" vertical="center" wrapText="1"/>
    </xf>
    <xf numFmtId="180" fontId="0" fillId="0" borderId="0" xfId="0" applyNumberFormat="1" applyAlignment="1" applyProtection="1">
      <alignment horizontal="center" vertical="center"/>
      <protection locked="0"/>
    </xf>
    <xf numFmtId="180" fontId="0" fillId="0" borderId="0" xfId="0" applyNumberFormat="1" applyFont="1" applyAlignment="1" applyProtection="1">
      <alignment horizontal="center" vertical="center"/>
      <protection locked="0"/>
    </xf>
    <xf numFmtId="180" fontId="7" fillId="0" borderId="0" xfId="0" applyNumberFormat="1" applyFont="1" applyAlignment="1" applyProtection="1">
      <alignment horizontal="center" vertical="center"/>
      <protection locked="0"/>
    </xf>
    <xf numFmtId="180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locked="0"/>
    </xf>
    <xf numFmtId="0" fontId="15" fillId="10" borderId="0" xfId="0" applyFont="1" applyFill="1" applyAlignment="1" applyProtection="1">
      <alignment horizontal="center" vertical="center"/>
      <protection locked="0"/>
    </xf>
    <xf numFmtId="0" fontId="7" fillId="2" borderId="0" xfId="0" applyFont="1" applyFill="1" applyProtection="1">
      <alignment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180" fontId="12" fillId="4" borderId="3" xfId="2" applyNumberFormat="1" applyFont="1" applyFill="1" applyBorder="1" applyAlignment="1" applyProtection="1">
      <alignment horizontal="center" wrapText="1"/>
      <protection locked="0"/>
    </xf>
    <xf numFmtId="180" fontId="3" fillId="9" borderId="5" xfId="0" applyNumberFormat="1" applyFont="1" applyFill="1" applyBorder="1" applyAlignment="1" applyProtection="1">
      <alignment horizontal="center"/>
      <protection locked="0"/>
    </xf>
    <xf numFmtId="180" fontId="16" fillId="0" borderId="21" xfId="0" applyNumberFormat="1" applyFont="1" applyBorder="1" applyAlignment="1" applyProtection="1">
      <alignment horizontal="center" vertical="center"/>
      <protection locked="0"/>
    </xf>
    <xf numFmtId="180" fontId="17" fillId="4" borderId="5" xfId="0" applyNumberFormat="1" applyFont="1" applyFill="1" applyBorder="1" applyAlignment="1" applyProtection="1">
      <alignment horizontal="center"/>
      <protection locked="0"/>
    </xf>
    <xf numFmtId="180" fontId="11" fillId="9" borderId="5" xfId="0" applyNumberFormat="1" applyFont="1" applyFill="1" applyBorder="1" applyAlignment="1" applyProtection="1">
      <alignment horizontal="center"/>
      <protection locked="0"/>
    </xf>
    <xf numFmtId="180" fontId="17" fillId="2" borderId="6" xfId="0" applyNumberFormat="1" applyFont="1" applyFill="1" applyBorder="1" applyAlignment="1" applyProtection="1">
      <alignment horizontal="center"/>
      <protection locked="0"/>
    </xf>
    <xf numFmtId="180" fontId="17" fillId="3" borderId="11" xfId="0" applyNumberFormat="1" applyFont="1" applyFill="1" applyBorder="1" applyAlignment="1" applyProtection="1">
      <alignment horizontal="center"/>
      <protection locked="0"/>
    </xf>
    <xf numFmtId="180" fontId="18" fillId="10" borderId="0" xfId="0" applyNumberFormat="1" applyFont="1" applyFill="1" applyAlignment="1" applyProtection="1">
      <alignment horizontal="center" vertical="center"/>
      <protection locked="0"/>
    </xf>
    <xf numFmtId="180" fontId="12" fillId="4" borderId="3" xfId="2" applyNumberFormat="1" applyFont="1" applyFill="1" applyBorder="1" applyAlignment="1" applyProtection="1">
      <alignment horizontal="center" wrapText="1"/>
      <protection hidden="1"/>
    </xf>
    <xf numFmtId="180" fontId="3" fillId="9" borderId="5" xfId="0" applyNumberFormat="1" applyFont="1" applyFill="1" applyBorder="1" applyAlignment="1" applyProtection="1">
      <alignment horizontal="center"/>
      <protection hidden="1"/>
    </xf>
    <xf numFmtId="180" fontId="16" fillId="0" borderId="21" xfId="0" applyNumberFormat="1" applyFont="1" applyBorder="1" applyAlignment="1" applyProtection="1">
      <alignment horizontal="center" vertical="center"/>
      <protection hidden="1"/>
    </xf>
    <xf numFmtId="180" fontId="17" fillId="4" borderId="5" xfId="0" applyNumberFormat="1" applyFont="1" applyFill="1" applyBorder="1" applyAlignment="1" applyProtection="1">
      <alignment horizontal="center"/>
      <protection hidden="1"/>
    </xf>
    <xf numFmtId="180" fontId="11" fillId="9" borderId="5" xfId="0" applyNumberFormat="1" applyFont="1" applyFill="1" applyBorder="1" applyAlignment="1" applyProtection="1">
      <alignment horizontal="center"/>
      <protection hidden="1"/>
    </xf>
    <xf numFmtId="180" fontId="17" fillId="2" borderId="6" xfId="0" applyNumberFormat="1" applyFont="1" applyFill="1" applyBorder="1" applyAlignment="1" applyProtection="1">
      <alignment horizontal="center"/>
      <protection hidden="1"/>
    </xf>
    <xf numFmtId="180" fontId="17" fillId="3" borderId="11" xfId="0" applyNumberFormat="1" applyFont="1" applyFill="1" applyBorder="1" applyAlignment="1" applyProtection="1">
      <alignment horizontal="center"/>
      <protection hidden="1"/>
    </xf>
    <xf numFmtId="180" fontId="19" fillId="0" borderId="0" xfId="0" applyNumberFormat="1" applyFont="1" applyAlignment="1" applyProtection="1">
      <alignment horizontal="center" vertical="center"/>
      <protection locked="0"/>
    </xf>
    <xf numFmtId="180" fontId="0" fillId="2" borderId="0" xfId="0" applyNumberFormat="1" applyFill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  <protection locked="0"/>
    </xf>
    <xf numFmtId="43" fontId="7" fillId="0" borderId="0" xfId="0" applyNumberFormat="1" applyFont="1" applyAlignment="1" applyProtection="1">
      <alignment horizontal="center" vertical="center"/>
      <protection locked="0"/>
    </xf>
    <xf numFmtId="43" fontId="0" fillId="0" borderId="0" xfId="0" applyNumberFormat="1" applyAlignment="1" applyProtection="1">
      <alignment horizontal="center" vertical="center"/>
      <protection locked="0"/>
    </xf>
    <xf numFmtId="180" fontId="12" fillId="4" borderId="3" xfId="2" applyNumberFormat="1" applyFont="1" applyFill="1" applyBorder="1" applyAlignment="1" applyProtection="1">
      <alignment vertical="center" wrapText="1"/>
      <protection locked="0"/>
    </xf>
    <xf numFmtId="180" fontId="3" fillId="9" borderId="5" xfId="0" applyNumberFormat="1" applyFont="1" applyFill="1" applyBorder="1" applyAlignment="1" applyProtection="1">
      <alignment vertical="center"/>
      <protection locked="0"/>
    </xf>
    <xf numFmtId="180" fontId="16" fillId="0" borderId="21" xfId="0" applyNumberFormat="1" applyFont="1" applyBorder="1" applyAlignment="1" applyProtection="1">
      <alignment vertical="center"/>
      <protection locked="0"/>
    </xf>
    <xf numFmtId="180" fontId="11" fillId="9" borderId="5" xfId="0" applyNumberFormat="1" applyFont="1" applyFill="1" applyBorder="1" applyAlignment="1" applyProtection="1">
      <alignment vertical="center"/>
      <protection locked="0"/>
    </xf>
    <xf numFmtId="180" fontId="17" fillId="4" borderId="5" xfId="0" applyNumberFormat="1" applyFont="1" applyFill="1" applyBorder="1" applyAlignment="1" applyProtection="1">
      <alignment vertical="center"/>
      <protection locked="0"/>
    </xf>
    <xf numFmtId="180" fontId="17" fillId="2" borderId="6" xfId="0" applyNumberFormat="1" applyFont="1" applyFill="1" applyBorder="1" applyAlignment="1" applyProtection="1">
      <alignment vertical="center"/>
      <protection locked="0"/>
    </xf>
    <xf numFmtId="180" fontId="17" fillId="3" borderId="11" xfId="0" applyNumberFormat="1" applyFont="1" applyFill="1" applyBorder="1" applyAlignment="1" applyProtection="1">
      <alignment vertical="center"/>
      <protection locked="0"/>
    </xf>
    <xf numFmtId="180" fontId="0" fillId="0" borderId="0" xfId="0" applyNumberFormat="1" applyAlignment="1" applyProtection="1">
      <alignment vertical="center"/>
      <protection locked="0"/>
    </xf>
    <xf numFmtId="180" fontId="7" fillId="12" borderId="0" xfId="0" applyNumberFormat="1" applyFont="1" applyFill="1" applyAlignment="1" applyProtection="1">
      <alignment vertical="center"/>
      <protection locked="0"/>
    </xf>
    <xf numFmtId="180" fontId="7" fillId="0" borderId="0" xfId="0" applyNumberFormat="1" applyFont="1" applyAlignment="1" applyProtection="1">
      <alignment vertical="center"/>
      <protection locked="0"/>
    </xf>
    <xf numFmtId="180" fontId="0" fillId="2" borderId="0" xfId="0" applyNumberFormat="1" applyFill="1" applyAlignment="1" applyProtection="1">
      <alignment vertical="center"/>
      <protection locked="0"/>
    </xf>
    <xf numFmtId="180" fontId="12" fillId="4" borderId="3" xfId="2" applyNumberFormat="1" applyFont="1" applyFill="1" applyBorder="1" applyAlignment="1" applyProtection="1">
      <alignment vertical="center" wrapText="1"/>
      <protection hidden="1"/>
    </xf>
    <xf numFmtId="180" fontId="3" fillId="9" borderId="5" xfId="0" applyNumberFormat="1" applyFont="1" applyFill="1" applyBorder="1" applyAlignment="1" applyProtection="1">
      <alignment vertical="center"/>
      <protection hidden="1"/>
    </xf>
    <xf numFmtId="180" fontId="17" fillId="4" borderId="5" xfId="0" applyNumberFormat="1" applyFont="1" applyFill="1" applyBorder="1" applyAlignment="1" applyProtection="1">
      <alignment vertical="center"/>
      <protection hidden="1"/>
    </xf>
    <xf numFmtId="180" fontId="11" fillId="9" borderId="5" xfId="0" applyNumberFormat="1" applyFont="1" applyFill="1" applyBorder="1" applyAlignment="1" applyProtection="1">
      <alignment vertical="center"/>
      <protection hidden="1"/>
    </xf>
    <xf numFmtId="180" fontId="17" fillId="3" borderId="11" xfId="0" applyNumberFormat="1" applyFont="1" applyFill="1" applyBorder="1" applyAlignment="1" applyProtection="1">
      <alignment vertical="center"/>
      <protection hidden="1"/>
    </xf>
    <xf numFmtId="180" fontId="11" fillId="2" borderId="5" xfId="0" applyNumberFormat="1" applyFont="1" applyFill="1" applyBorder="1" applyAlignment="1" applyProtection="1">
      <alignment horizontal="center"/>
      <protection hidden="1"/>
    </xf>
    <xf numFmtId="180" fontId="16" fillId="2" borderId="21" xfId="0" applyNumberFormat="1" applyFont="1" applyFill="1" applyBorder="1" applyAlignment="1" applyProtection="1">
      <alignment horizontal="center" vertical="center"/>
      <protection hidden="1"/>
    </xf>
    <xf numFmtId="180" fontId="20" fillId="4" borderId="5" xfId="0" applyNumberFormat="1" applyFont="1" applyFill="1" applyBorder="1" applyAlignment="1" applyProtection="1">
      <alignment horizontal="center"/>
      <protection hidden="1"/>
    </xf>
    <xf numFmtId="180" fontId="20" fillId="2" borderId="6" xfId="0" applyNumberFormat="1" applyFont="1" applyFill="1" applyBorder="1" applyAlignment="1" applyProtection="1">
      <alignment horizontal="center"/>
      <protection hidden="1"/>
    </xf>
    <xf numFmtId="180" fontId="20" fillId="3" borderId="11" xfId="0" applyNumberFormat="1" applyFont="1" applyFill="1" applyBorder="1" applyAlignment="1" applyProtection="1">
      <alignment horizontal="center"/>
      <protection hidden="1"/>
    </xf>
    <xf numFmtId="180" fontId="20" fillId="4" borderId="5" xfId="0" applyNumberFormat="1" applyFont="1" applyFill="1" applyBorder="1" applyAlignment="1" applyProtection="1">
      <alignment horizontal="center"/>
      <protection locked="0"/>
    </xf>
    <xf numFmtId="180" fontId="20" fillId="3" borderId="11" xfId="0" applyNumberFormat="1" applyFont="1" applyFill="1" applyBorder="1" applyAlignment="1" applyProtection="1">
      <alignment horizontal="center"/>
      <protection locked="0"/>
    </xf>
    <xf numFmtId="179" fontId="17" fillId="4" borderId="5" xfId="0" applyNumberFormat="1" applyFont="1" applyFill="1" applyBorder="1" applyAlignment="1" applyProtection="1">
      <alignment horizontal="center"/>
      <protection locked="0"/>
    </xf>
    <xf numFmtId="180" fontId="8" fillId="0" borderId="0" xfId="0" applyNumberFormat="1" applyFont="1" applyAlignment="1" applyProtection="1">
      <alignment horizontal="center" vertical="center"/>
      <protection hidden="1"/>
    </xf>
    <xf numFmtId="180" fontId="21" fillId="0" borderId="0" xfId="0" applyNumberFormat="1" applyFont="1" applyAlignment="1" applyProtection="1">
      <alignment horizontal="center" vertical="center"/>
      <protection hidden="1"/>
    </xf>
    <xf numFmtId="180" fontId="3" fillId="2" borderId="5" xfId="0" applyNumberFormat="1" applyFont="1" applyFill="1" applyBorder="1" applyAlignment="1" applyProtection="1">
      <alignment horizontal="center"/>
      <protection hidden="1"/>
    </xf>
    <xf numFmtId="180" fontId="15" fillId="10" borderId="0" xfId="0" applyNumberFormat="1" applyFont="1" applyFill="1" applyAlignment="1" applyProtection="1">
      <alignment horizontal="center" vertical="center"/>
      <protection locked="0"/>
    </xf>
    <xf numFmtId="177" fontId="4" fillId="13" borderId="3" xfId="1" applyNumberFormat="1" applyFont="1" applyFill="1" applyBorder="1" applyAlignment="1" applyProtection="1">
      <protection locked="0"/>
    </xf>
    <xf numFmtId="177" fontId="4" fillId="14" borderId="3" xfId="1" applyNumberFormat="1" applyFont="1" applyFill="1" applyBorder="1" applyAlignment="1" applyProtection="1">
      <protection locked="0"/>
    </xf>
    <xf numFmtId="49" fontId="4" fillId="7" borderId="0" xfId="1" applyNumberFormat="1" applyFont="1" applyFill="1" applyBorder="1" applyAlignment="1" applyProtection="1">
      <protection locked="0"/>
    </xf>
    <xf numFmtId="177" fontId="4" fillId="14" borderId="0" xfId="1" applyNumberFormat="1" applyFont="1" applyFill="1" applyBorder="1" applyAlignment="1" applyProtection="1">
      <protection locked="0"/>
    </xf>
    <xf numFmtId="177" fontId="4" fillId="7" borderId="0" xfId="1" applyNumberFormat="1" applyFont="1" applyFill="1" applyBorder="1" applyAlignment="1" applyProtection="1">
      <protection locked="0"/>
    </xf>
    <xf numFmtId="0" fontId="2" fillId="7" borderId="0" xfId="0" applyFont="1" applyFill="1" applyBorder="1" applyProtection="1">
      <alignment vertical="center"/>
      <protection locked="0"/>
    </xf>
    <xf numFmtId="49" fontId="4" fillId="2" borderId="3" xfId="1" applyNumberFormat="1" applyFont="1" applyFill="1" applyBorder="1" applyAlignment="1" applyProtection="1"/>
    <xf numFmtId="177" fontId="4" fillId="2" borderId="3" xfId="1" applyNumberFormat="1" applyFont="1" applyFill="1" applyBorder="1" applyAlignment="1" applyProtection="1">
      <alignment horizontal="left"/>
    </xf>
    <xf numFmtId="177" fontId="4" fillId="2" borderId="3" xfId="1" applyNumberFormat="1" applyFont="1" applyFill="1" applyBorder="1" applyAlignment="1" applyProtection="1"/>
    <xf numFmtId="177" fontId="1" fillId="2" borderId="3" xfId="1" applyNumberFormat="1" applyFont="1" applyFill="1" applyBorder="1" applyAlignment="1" applyProtection="1"/>
    <xf numFmtId="177" fontId="5" fillId="2" borderId="3" xfId="1" applyNumberFormat="1" applyFont="1" applyFill="1" applyBorder="1" applyAlignment="1" applyProtection="1"/>
    <xf numFmtId="179" fontId="4" fillId="10" borderId="3" xfId="1" applyNumberFormat="1" applyFont="1" applyFill="1" applyBorder="1" applyAlignment="1" applyProtection="1"/>
    <xf numFmtId="0" fontId="2" fillId="0" borderId="3" xfId="0" applyFont="1" applyBorder="1" applyProtection="1">
      <alignment vertical="center"/>
    </xf>
    <xf numFmtId="0" fontId="2" fillId="10" borderId="3" xfId="0" applyFont="1" applyFill="1" applyBorder="1" applyProtection="1">
      <alignment vertical="center"/>
    </xf>
    <xf numFmtId="179" fontId="4" fillId="2" borderId="3" xfId="1" applyNumberFormat="1" applyFont="1" applyFill="1" applyBorder="1" applyAlignment="1" applyProtection="1"/>
    <xf numFmtId="0" fontId="2" fillId="0" borderId="4" xfId="0" applyFont="1" applyBorder="1" applyProtection="1">
      <alignment vertical="center"/>
    </xf>
    <xf numFmtId="177" fontId="4" fillId="10" borderId="3" xfId="1" applyNumberFormat="1" applyFont="1" applyFill="1" applyBorder="1" applyAlignment="1" applyProtection="1"/>
    <xf numFmtId="0" fontId="2" fillId="10" borderId="4" xfId="0" applyFont="1" applyFill="1" applyBorder="1" applyProtection="1">
      <alignment vertical="center"/>
    </xf>
    <xf numFmtId="49" fontId="4" fillId="5" borderId="3" xfId="1" applyNumberFormat="1" applyFont="1" applyFill="1" applyBorder="1" applyAlignment="1" applyProtection="1"/>
    <xf numFmtId="177" fontId="4" fillId="5" borderId="3" xfId="1" applyNumberFormat="1" applyFont="1" applyFill="1" applyBorder="1" applyAlignment="1" applyProtection="1"/>
    <xf numFmtId="177" fontId="4" fillId="5" borderId="4" xfId="1" applyNumberFormat="1" applyFont="1" applyFill="1" applyBorder="1" applyAlignment="1" applyProtection="1"/>
    <xf numFmtId="49" fontId="4" fillId="2" borderId="5" xfId="1" applyNumberFormat="1" applyFont="1" applyFill="1" applyBorder="1" applyAlignment="1" applyProtection="1"/>
    <xf numFmtId="49" fontId="4" fillId="2" borderId="6" xfId="1" applyNumberFormat="1" applyFont="1" applyFill="1" applyBorder="1" applyAlignment="1" applyProtection="1"/>
    <xf numFmtId="49" fontId="4" fillId="2" borderId="7" xfId="1" applyNumberFormat="1" applyFont="1" applyFill="1" applyBorder="1" applyAlignment="1" applyProtection="1"/>
    <xf numFmtId="177" fontId="4" fillId="5" borderId="7" xfId="1" applyNumberFormat="1" applyFont="1" applyFill="1" applyBorder="1" applyAlignment="1" applyProtection="1"/>
    <xf numFmtId="177" fontId="4" fillId="2" borderId="7" xfId="1" applyNumberFormat="1" applyFont="1" applyFill="1" applyBorder="1" applyAlignment="1" applyProtection="1"/>
    <xf numFmtId="177" fontId="4" fillId="5" borderId="16" xfId="1" applyNumberFormat="1" applyFont="1" applyFill="1" applyBorder="1" applyAlignment="1" applyProtection="1"/>
    <xf numFmtId="49" fontId="2" fillId="0" borderId="0" xfId="0" applyNumberFormat="1" applyFont="1" applyProtection="1">
      <alignment vertical="center"/>
    </xf>
    <xf numFmtId="177" fontId="2" fillId="0" borderId="0" xfId="0" applyNumberFormat="1" applyFont="1" applyProtection="1">
      <alignment vertical="center"/>
    </xf>
    <xf numFmtId="0" fontId="2" fillId="0" borderId="0" xfId="0" applyFont="1" applyProtection="1">
      <alignment vertical="center"/>
    </xf>
    <xf numFmtId="49" fontId="4" fillId="7" borderId="3" xfId="1" applyNumberFormat="1" applyFont="1" applyFill="1" applyBorder="1" applyAlignment="1" applyProtection="1"/>
    <xf numFmtId="177" fontId="4" fillId="14" borderId="3" xfId="1" applyNumberFormat="1" applyFont="1" applyFill="1" applyBorder="1" applyAlignment="1" applyProtection="1"/>
    <xf numFmtId="177" fontId="4" fillId="7" borderId="3" xfId="1" applyNumberFormat="1" applyFont="1" applyFill="1" applyBorder="1" applyAlignment="1" applyProtection="1"/>
    <xf numFmtId="0" fontId="2" fillId="7" borderId="3" xfId="0" applyFont="1" applyFill="1" applyBorder="1" applyProtection="1">
      <alignment vertical="center"/>
    </xf>
    <xf numFmtId="177" fontId="4" fillId="13" borderId="3" xfId="1" applyNumberFormat="1" applyFont="1" applyFill="1" applyBorder="1" applyAlignment="1" applyProtection="1"/>
    <xf numFmtId="180" fontId="12" fillId="4" borderId="3" xfId="2" applyNumberFormat="1" applyFont="1" applyFill="1" applyBorder="1" applyAlignment="1">
      <alignment horizontal="right" wrapText="1"/>
    </xf>
    <xf numFmtId="180" fontId="3" fillId="9" borderId="5" xfId="0" applyNumberFormat="1" applyFont="1" applyFill="1" applyBorder="1" applyAlignment="1">
      <alignment horizontal="right"/>
    </xf>
    <xf numFmtId="180" fontId="25" fillId="0" borderId="22" xfId="0" applyNumberFormat="1" applyFont="1" applyBorder="1" applyAlignment="1">
      <alignment horizontal="right" vertical="center"/>
    </xf>
    <xf numFmtId="180" fontId="17" fillId="4" borderId="5" xfId="0" applyNumberFormat="1" applyFont="1" applyFill="1" applyBorder="1" applyAlignment="1">
      <alignment horizontal="right"/>
    </xf>
    <xf numFmtId="180" fontId="11" fillId="9" borderId="5" xfId="0" applyNumberFormat="1" applyFont="1" applyFill="1" applyBorder="1" applyAlignment="1">
      <alignment horizontal="right"/>
    </xf>
    <xf numFmtId="180" fontId="17" fillId="2" borderId="6" xfId="0" applyNumberFormat="1" applyFont="1" applyFill="1" applyBorder="1" applyAlignment="1">
      <alignment horizontal="right"/>
    </xf>
    <xf numFmtId="180" fontId="17" fillId="3" borderId="11" xfId="0" applyNumberFormat="1" applyFont="1" applyFill="1" applyBorder="1" applyAlignment="1">
      <alignment horizontal="right"/>
    </xf>
    <xf numFmtId="177" fontId="4" fillId="2" borderId="23" xfId="1" applyNumberFormat="1" applyFont="1" applyFill="1" applyBorder="1" applyAlignment="1" applyProtection="1">
      <protection locked="0"/>
    </xf>
    <xf numFmtId="177" fontId="4" fillId="5" borderId="23" xfId="1" applyNumberFormat="1" applyFont="1" applyFill="1" applyBorder="1" applyAlignment="1" applyProtection="1">
      <protection locked="0"/>
    </xf>
    <xf numFmtId="177" fontId="4" fillId="2" borderId="23" xfId="1" applyNumberFormat="1" applyFont="1" applyFill="1" applyBorder="1" applyAlignment="1" applyProtection="1"/>
    <xf numFmtId="180" fontId="11" fillId="9" borderId="24" xfId="0" applyNumberFormat="1" applyFont="1" applyFill="1" applyBorder="1" applyAlignment="1" applyProtection="1">
      <alignment vertical="center"/>
      <protection locked="0"/>
    </xf>
    <xf numFmtId="180" fontId="11" fillId="10" borderId="24" xfId="0" applyNumberFormat="1" applyFont="1" applyFill="1" applyBorder="1" applyAlignment="1" applyProtection="1">
      <alignment vertical="center"/>
      <protection locked="0"/>
    </xf>
    <xf numFmtId="180" fontId="17" fillId="4" borderId="24" xfId="0" applyNumberFormat="1" applyFont="1" applyFill="1" applyBorder="1" applyAlignment="1" applyProtection="1">
      <alignment vertical="center"/>
      <protection locked="0"/>
    </xf>
    <xf numFmtId="180" fontId="17" fillId="2" borderId="25" xfId="0" applyNumberFormat="1" applyFont="1" applyFill="1" applyBorder="1" applyAlignment="1" applyProtection="1">
      <alignment vertical="center"/>
      <protection locked="0"/>
    </xf>
    <xf numFmtId="180" fontId="17" fillId="3" borderId="26" xfId="0" applyNumberFormat="1" applyFont="1" applyFill="1" applyBorder="1" applyAlignment="1" applyProtection="1">
      <alignment vertical="center"/>
      <protection locked="0"/>
    </xf>
    <xf numFmtId="180" fontId="3" fillId="2" borderId="5" xfId="0" applyNumberFormat="1" applyFont="1" applyFill="1" applyBorder="1" applyAlignment="1" applyProtection="1">
      <alignment vertical="center"/>
      <protection hidden="1"/>
    </xf>
    <xf numFmtId="177" fontId="4" fillId="8" borderId="3" xfId="1" applyNumberFormat="1" applyFont="1" applyFill="1" applyBorder="1" applyAlignment="1" applyProtection="1">
      <protection locked="0"/>
    </xf>
    <xf numFmtId="177" fontId="11" fillId="9" borderId="23" xfId="1" applyFont="1" applyFill="1" applyBorder="1" applyAlignment="1"/>
    <xf numFmtId="177" fontId="11" fillId="2" borderId="23" xfId="1" applyFont="1" applyFill="1" applyBorder="1" applyAlignment="1"/>
    <xf numFmtId="2" fontId="11" fillId="2" borderId="23" xfId="1" applyNumberFormat="1" applyFont="1" applyFill="1" applyBorder="1" applyAlignment="1"/>
    <xf numFmtId="177" fontId="12" fillId="3" borderId="23" xfId="1" applyFont="1" applyFill="1" applyBorder="1" applyAlignment="1">
      <alignment horizontal="right" wrapText="1"/>
    </xf>
    <xf numFmtId="177" fontId="11" fillId="5" borderId="23" xfId="1" applyFont="1" applyFill="1" applyBorder="1" applyAlignment="1"/>
    <xf numFmtId="43" fontId="14" fillId="2" borderId="23" xfId="1" applyNumberFormat="1" applyFont="1" applyFill="1" applyBorder="1" applyAlignment="1"/>
    <xf numFmtId="43" fontId="26" fillId="3" borderId="23" xfId="1" applyNumberFormat="1" applyFont="1" applyFill="1" applyBorder="1" applyAlignment="1">
      <alignment horizontal="left" vertical="center"/>
    </xf>
    <xf numFmtId="43" fontId="27" fillId="3" borderId="27" xfId="1" applyNumberFormat="1" applyFont="1" applyFill="1" applyBorder="1" applyAlignment="1">
      <alignment horizontal="left" vertical="center"/>
    </xf>
    <xf numFmtId="177" fontId="4" fillId="7" borderId="23" xfId="1" applyNumberFormat="1" applyFont="1" applyFill="1" applyBorder="1" applyAlignment="1" applyProtection="1">
      <protection locked="0"/>
    </xf>
    <xf numFmtId="177" fontId="4" fillId="14" borderId="23" xfId="1" applyNumberFormat="1" applyFont="1" applyFill="1" applyBorder="1" applyAlignment="1" applyProtection="1">
      <protection locked="0"/>
    </xf>
    <xf numFmtId="177" fontId="1" fillId="2" borderId="23" xfId="1" applyNumberFormat="1" applyFont="1" applyFill="1" applyBorder="1" applyAlignment="1" applyProtection="1">
      <protection locked="0"/>
    </xf>
    <xf numFmtId="177" fontId="4" fillId="5" borderId="28" xfId="1" applyNumberFormat="1" applyFont="1" applyFill="1" applyBorder="1" applyAlignment="1" applyProtection="1">
      <protection locked="0"/>
    </xf>
    <xf numFmtId="49" fontId="4" fillId="2" borderId="23" xfId="1" applyNumberFormat="1" applyFont="1" applyFill="1" applyBorder="1" applyAlignment="1" applyProtection="1"/>
    <xf numFmtId="0" fontId="2" fillId="10" borderId="23" xfId="0" applyFont="1" applyFill="1" applyBorder="1" applyProtection="1">
      <alignment vertical="center"/>
    </xf>
    <xf numFmtId="0" fontId="2" fillId="10" borderId="28" xfId="0" applyFont="1" applyFill="1" applyBorder="1" applyProtection="1">
      <alignment vertical="center"/>
    </xf>
    <xf numFmtId="0" fontId="2" fillId="0" borderId="28" xfId="0" applyFont="1" applyBorder="1" applyProtection="1">
      <alignment vertical="center"/>
    </xf>
    <xf numFmtId="177" fontId="4" fillId="5" borderId="28" xfId="1" applyNumberFormat="1" applyFont="1" applyFill="1" applyBorder="1" applyAlignment="1" applyProtection="1"/>
    <xf numFmtId="177" fontId="4" fillId="2" borderId="28" xfId="1" applyNumberFormat="1" applyFont="1" applyFill="1" applyBorder="1" applyAlignment="1" applyProtection="1">
      <protection locked="0"/>
    </xf>
    <xf numFmtId="41" fontId="6" fillId="0" borderId="0" xfId="0" applyNumberFormat="1" applyFont="1" applyAlignment="1">
      <alignment horizontal="center" vertical="center"/>
    </xf>
    <xf numFmtId="43" fontId="10" fillId="0" borderId="22" xfId="1" applyNumberFormat="1" applyFont="1" applyBorder="1" applyAlignment="1">
      <alignment horizontal="center"/>
    </xf>
    <xf numFmtId="43" fontId="10" fillId="15" borderId="22" xfId="1" applyNumberFormat="1" applyFont="1" applyFill="1" applyBorder="1" applyAlignment="1">
      <alignment horizontal="center"/>
    </xf>
    <xf numFmtId="43" fontId="10" fillId="15" borderId="29" xfId="1" applyNumberFormat="1" applyFont="1" applyFill="1" applyBorder="1" applyAlignment="1">
      <alignment horizontal="center"/>
    </xf>
    <xf numFmtId="43" fontId="26" fillId="0" borderId="23" xfId="1" applyNumberFormat="1" applyFont="1" applyFill="1" applyBorder="1" applyAlignment="1">
      <alignment horizontal="left" vertical="center"/>
    </xf>
    <xf numFmtId="43" fontId="10" fillId="0" borderId="0" xfId="1" applyNumberFormat="1" applyFont="1" applyAlignment="1">
      <alignment horizontal="center"/>
    </xf>
    <xf numFmtId="43" fontId="10" fillId="0" borderId="0" xfId="1" applyNumberFormat="1" applyFont="1" applyAlignment="1">
      <alignment horizontal="right"/>
    </xf>
    <xf numFmtId="43" fontId="10" fillId="0" borderId="30" xfId="1" applyNumberFormat="1" applyFont="1" applyBorder="1" applyAlignment="1">
      <alignment horizontal="right"/>
    </xf>
    <xf numFmtId="43" fontId="10" fillId="0" borderId="31" xfId="1" applyNumberFormat="1" applyFont="1" applyBorder="1" applyAlignment="1">
      <alignment horizontal="right" vertical="center" wrapText="1"/>
    </xf>
    <xf numFmtId="182" fontId="16" fillId="0" borderId="31" xfId="0" applyNumberFormat="1" applyFont="1" applyBorder="1" applyAlignment="1">
      <alignment horizontal="right" vertical="center"/>
    </xf>
    <xf numFmtId="43" fontId="10" fillId="0" borderId="31" xfId="1" applyNumberFormat="1" applyFont="1" applyBorder="1" applyAlignment="1">
      <alignment horizontal="center"/>
    </xf>
    <xf numFmtId="43" fontId="10" fillId="0" borderId="31" xfId="1" applyNumberFormat="1" applyFont="1" applyBorder="1" applyAlignment="1">
      <alignment horizontal="right"/>
    </xf>
    <xf numFmtId="43" fontId="10" fillId="0" borderId="32" xfId="1" applyNumberFormat="1" applyFont="1" applyBorder="1" applyAlignment="1">
      <alignment horizontal="right"/>
    </xf>
    <xf numFmtId="43" fontId="10" fillId="0" borderId="33" xfId="1" applyNumberFormat="1" applyFont="1" applyBorder="1" applyAlignment="1">
      <alignment horizontal="right"/>
    </xf>
    <xf numFmtId="43" fontId="10" fillId="0" borderId="34" xfId="1" applyNumberFormat="1" applyFont="1" applyBorder="1" applyAlignment="1">
      <alignment horizontal="center"/>
    </xf>
    <xf numFmtId="43" fontId="10" fillId="15" borderId="34" xfId="1" applyNumberFormat="1" applyFont="1" applyFill="1" applyBorder="1" applyAlignment="1">
      <alignment horizontal="center"/>
    </xf>
    <xf numFmtId="43" fontId="10" fillId="15" borderId="33" xfId="1" applyNumberFormat="1" applyFont="1" applyFill="1" applyBorder="1" applyAlignment="1">
      <alignment horizontal="right"/>
    </xf>
    <xf numFmtId="43" fontId="10" fillId="15" borderId="35" xfId="1" applyNumberFormat="1" applyFont="1" applyFill="1" applyBorder="1" applyAlignment="1">
      <alignment horizontal="right"/>
    </xf>
    <xf numFmtId="43" fontId="10" fillId="15" borderId="0" xfId="1" applyNumberFormat="1" applyFont="1" applyFill="1" applyAlignment="1">
      <alignment horizontal="right"/>
    </xf>
    <xf numFmtId="43" fontId="10" fillId="15" borderId="36" xfId="1" applyNumberFormat="1" applyFont="1" applyFill="1" applyBorder="1" applyAlignment="1">
      <alignment horizontal="right"/>
    </xf>
    <xf numFmtId="43" fontId="10" fillId="15" borderId="37" xfId="1" applyNumberFormat="1" applyFont="1" applyFill="1" applyBorder="1" applyAlignment="1">
      <alignment horizontal="right"/>
    </xf>
    <xf numFmtId="43" fontId="10" fillId="0" borderId="35" xfId="1" applyNumberFormat="1" applyFont="1" applyBorder="1" applyAlignment="1">
      <alignment horizontal="right"/>
    </xf>
    <xf numFmtId="49" fontId="2" fillId="2" borderId="0" xfId="0" applyNumberFormat="1" applyFont="1" applyFill="1" applyAlignment="1" applyProtection="1">
      <alignment vertical="center"/>
      <protection locked="0"/>
    </xf>
    <xf numFmtId="181" fontId="2" fillId="2" borderId="0" xfId="0" applyNumberFormat="1" applyFont="1" applyFill="1" applyAlignment="1" applyProtection="1">
      <alignment vertical="center"/>
      <protection locked="0"/>
    </xf>
    <xf numFmtId="49" fontId="11" fillId="0" borderId="0" xfId="0" applyNumberFormat="1" applyFont="1" applyProtection="1">
      <alignment vertical="center"/>
      <protection locked="0"/>
    </xf>
    <xf numFmtId="49" fontId="28" fillId="2" borderId="0" xfId="0" applyNumberFormat="1" applyFont="1" applyFill="1" applyAlignment="1" applyProtection="1">
      <alignment vertical="center"/>
      <protection locked="0"/>
    </xf>
    <xf numFmtId="43" fontId="4" fillId="3" borderId="1" xfId="3" applyNumberFormat="1" applyFont="1" applyFill="1" applyBorder="1" applyAlignment="1" applyProtection="1">
      <alignment horizontal="center" vertical="center"/>
      <protection locked="0"/>
    </xf>
    <xf numFmtId="43" fontId="4" fillId="3" borderId="2" xfId="3" applyNumberFormat="1" applyFont="1" applyFill="1" applyBorder="1" applyAlignment="1" applyProtection="1">
      <alignment horizontal="center" vertical="center"/>
      <protection locked="0"/>
    </xf>
    <xf numFmtId="9" fontId="30" fillId="4" borderId="3" xfId="2" applyFont="1" applyFill="1" applyBorder="1" applyAlignment="1" applyProtection="1">
      <alignment horizontal="left" wrapText="1"/>
      <protection locked="0"/>
    </xf>
    <xf numFmtId="176" fontId="30" fillId="4" borderId="3" xfId="2" applyNumberFormat="1" applyFont="1" applyFill="1" applyBorder="1" applyAlignment="1" applyProtection="1">
      <alignment horizontal="left" wrapText="1"/>
      <protection locked="0"/>
    </xf>
    <xf numFmtId="176" fontId="30" fillId="4" borderId="4" xfId="2" applyNumberFormat="1" applyFont="1" applyFill="1" applyBorder="1" applyAlignment="1" applyProtection="1">
      <alignment horizontal="left" wrapText="1"/>
      <protection locked="0"/>
    </xf>
    <xf numFmtId="177" fontId="30" fillId="4" borderId="3" xfId="2" applyNumberFormat="1" applyFont="1" applyFill="1" applyBorder="1" applyAlignment="1" applyProtection="1">
      <alignment horizontal="left" wrapText="1"/>
      <protection locked="0"/>
    </xf>
    <xf numFmtId="43" fontId="2" fillId="2" borderId="0" xfId="0" applyNumberFormat="1" applyFont="1" applyFill="1" applyAlignment="1" applyProtection="1">
      <alignment vertical="center"/>
      <protection locked="0"/>
    </xf>
    <xf numFmtId="177" fontId="30" fillId="4" borderId="4" xfId="2" applyNumberFormat="1" applyFont="1" applyFill="1" applyBorder="1" applyAlignment="1" applyProtection="1">
      <alignment horizontal="left" wrapText="1"/>
      <protection locked="0"/>
    </xf>
    <xf numFmtId="0" fontId="4" fillId="3" borderId="8" xfId="0" applyFont="1" applyFill="1" applyBorder="1" applyAlignment="1" applyProtection="1">
      <alignment horizontal="left"/>
      <protection locked="0"/>
    </xf>
    <xf numFmtId="177" fontId="4" fillId="3" borderId="8" xfId="0" applyNumberFormat="1" applyFont="1" applyFill="1" applyBorder="1" applyAlignment="1" applyProtection="1">
      <alignment horizontal="left"/>
      <protection locked="0"/>
    </xf>
    <xf numFmtId="177" fontId="4" fillId="3" borderId="9" xfId="0" applyNumberFormat="1" applyFont="1" applyFill="1" applyBorder="1" applyAlignment="1" applyProtection="1">
      <alignment horizontal="left"/>
      <protection locked="0"/>
    </xf>
    <xf numFmtId="9" fontId="30" fillId="2" borderId="3" xfId="2" applyFont="1" applyFill="1" applyBorder="1" applyAlignment="1" applyProtection="1">
      <alignment horizontal="left" wrapText="1"/>
      <protection locked="0"/>
    </xf>
    <xf numFmtId="177" fontId="2" fillId="2" borderId="3" xfId="2" applyNumberFormat="1" applyFont="1" applyFill="1" applyBorder="1" applyAlignment="1" applyProtection="1">
      <alignment horizontal="left" wrapText="1"/>
      <protection locked="0"/>
    </xf>
    <xf numFmtId="177" fontId="2" fillId="2" borderId="4" xfId="2" applyNumberFormat="1" applyFont="1" applyFill="1" applyBorder="1" applyAlignment="1" applyProtection="1">
      <alignment horizontal="left" wrapText="1"/>
      <protection locked="0"/>
    </xf>
    <xf numFmtId="177" fontId="2" fillId="2" borderId="6" xfId="2" applyNumberFormat="1" applyFont="1" applyFill="1" applyBorder="1" applyAlignment="1" applyProtection="1">
      <alignment horizontal="left" wrapText="1"/>
      <protection locked="0"/>
    </xf>
    <xf numFmtId="177" fontId="2" fillId="2" borderId="10" xfId="2" applyNumberFormat="1" applyFont="1" applyFill="1" applyBorder="1" applyAlignment="1" applyProtection="1">
      <alignment horizontal="left" wrapText="1"/>
      <protection locked="0"/>
    </xf>
    <xf numFmtId="0" fontId="4" fillId="3" borderId="11" xfId="0" applyFont="1" applyFill="1" applyBorder="1" applyAlignment="1" applyProtection="1">
      <alignment horizontal="left"/>
      <protection locked="0"/>
    </xf>
    <xf numFmtId="177" fontId="4" fillId="3" borderId="11" xfId="0" applyNumberFormat="1" applyFont="1" applyFill="1" applyBorder="1" applyAlignment="1" applyProtection="1">
      <alignment horizontal="left"/>
      <protection locked="0"/>
    </xf>
    <xf numFmtId="177" fontId="4" fillId="3" borderId="12" xfId="0" applyNumberFormat="1" applyFont="1" applyFill="1" applyBorder="1" applyAlignment="1" applyProtection="1">
      <alignment horizontal="left"/>
      <protection locked="0"/>
    </xf>
    <xf numFmtId="0" fontId="4" fillId="2" borderId="13" xfId="0" applyFont="1" applyFill="1" applyBorder="1" applyAlignment="1" applyProtection="1">
      <alignment horizontal="left"/>
      <protection locked="0"/>
    </xf>
    <xf numFmtId="177" fontId="4" fillId="2" borderId="13" xfId="0" applyNumberFormat="1" applyFont="1" applyFill="1" applyBorder="1" applyAlignment="1" applyProtection="1">
      <alignment horizontal="left"/>
      <protection locked="0"/>
    </xf>
    <xf numFmtId="177" fontId="31" fillId="2" borderId="13" xfId="0" applyNumberFormat="1" applyFont="1" applyFill="1" applyBorder="1" applyAlignment="1" applyProtection="1">
      <alignment horizontal="left"/>
      <protection locked="0"/>
    </xf>
    <xf numFmtId="177" fontId="4" fillId="2" borderId="0" xfId="0" applyNumberFormat="1" applyFont="1" applyFill="1" applyBorder="1" applyAlignment="1" applyProtection="1">
      <alignment horizontal="left"/>
      <protection locked="0"/>
    </xf>
    <xf numFmtId="43" fontId="4" fillId="6" borderId="14" xfId="3" applyNumberFormat="1" applyFont="1" applyFill="1" applyBorder="1" applyAlignment="1" applyProtection="1">
      <alignment horizontal="center" vertical="center"/>
      <protection locked="0"/>
    </xf>
    <xf numFmtId="43" fontId="4" fillId="6" borderId="15" xfId="3" applyNumberFormat="1" applyFont="1" applyFill="1" applyBorder="1" applyAlignment="1" applyProtection="1">
      <alignment horizontal="center" vertical="center"/>
      <protection locked="0"/>
    </xf>
    <xf numFmtId="43" fontId="4" fillId="3" borderId="1" xfId="3" applyNumberFormat="1" applyFont="1" applyFill="1" applyBorder="1" applyAlignment="1" applyProtection="1">
      <alignment horizontal="center" vertical="center"/>
    </xf>
    <xf numFmtId="43" fontId="4" fillId="3" borderId="2" xfId="3" applyNumberFormat="1" applyFont="1" applyFill="1" applyBorder="1" applyAlignment="1" applyProtection="1">
      <alignment horizontal="center" vertical="center"/>
    </xf>
    <xf numFmtId="9" fontId="30" fillId="4" borderId="3" xfId="2" applyFont="1" applyFill="1" applyBorder="1" applyAlignment="1" applyProtection="1">
      <alignment horizontal="left" wrapText="1"/>
    </xf>
    <xf numFmtId="176" fontId="30" fillId="4" borderId="3" xfId="2" applyNumberFormat="1" applyFont="1" applyFill="1" applyBorder="1" applyAlignment="1" applyProtection="1">
      <alignment horizontal="left" wrapText="1"/>
    </xf>
    <xf numFmtId="176" fontId="30" fillId="4" borderId="4" xfId="2" applyNumberFormat="1" applyFont="1" applyFill="1" applyBorder="1" applyAlignment="1" applyProtection="1">
      <alignment horizontal="left" wrapText="1"/>
    </xf>
    <xf numFmtId="177" fontId="30" fillId="4" borderId="3" xfId="2" applyNumberFormat="1" applyFont="1" applyFill="1" applyBorder="1" applyAlignment="1" applyProtection="1">
      <alignment horizontal="left" wrapText="1"/>
    </xf>
    <xf numFmtId="177" fontId="30" fillId="4" borderId="4" xfId="2" applyNumberFormat="1" applyFont="1" applyFill="1" applyBorder="1" applyAlignment="1" applyProtection="1">
      <alignment horizontal="left" wrapText="1"/>
    </xf>
    <xf numFmtId="0" fontId="4" fillId="3" borderId="8" xfId="0" applyFont="1" applyFill="1" applyBorder="1" applyAlignment="1" applyProtection="1">
      <alignment horizontal="left"/>
    </xf>
    <xf numFmtId="177" fontId="4" fillId="3" borderId="8" xfId="0" applyNumberFormat="1" applyFont="1" applyFill="1" applyBorder="1" applyAlignment="1" applyProtection="1">
      <alignment horizontal="left"/>
    </xf>
    <xf numFmtId="177" fontId="4" fillId="3" borderId="9" xfId="0" applyNumberFormat="1" applyFont="1" applyFill="1" applyBorder="1" applyAlignment="1" applyProtection="1">
      <alignment horizontal="left"/>
    </xf>
    <xf numFmtId="9" fontId="30" fillId="2" borderId="3" xfId="2" applyFont="1" applyFill="1" applyBorder="1" applyAlignment="1" applyProtection="1">
      <alignment horizontal="left" wrapText="1"/>
    </xf>
    <xf numFmtId="177" fontId="2" fillId="2" borderId="3" xfId="2" applyNumberFormat="1" applyFont="1" applyFill="1" applyBorder="1" applyAlignment="1" applyProtection="1">
      <alignment horizontal="left" wrapText="1"/>
    </xf>
    <xf numFmtId="177" fontId="2" fillId="2" borderId="4" xfId="2" applyNumberFormat="1" applyFont="1" applyFill="1" applyBorder="1" applyAlignment="1" applyProtection="1">
      <alignment horizontal="left" wrapText="1"/>
    </xf>
    <xf numFmtId="177" fontId="2" fillId="2" borderId="6" xfId="2" applyNumberFormat="1" applyFont="1" applyFill="1" applyBorder="1" applyAlignment="1" applyProtection="1">
      <alignment horizontal="left" wrapText="1"/>
    </xf>
    <xf numFmtId="177" fontId="2" fillId="2" borderId="10" xfId="2" applyNumberFormat="1" applyFont="1" applyFill="1" applyBorder="1" applyAlignment="1" applyProtection="1">
      <alignment horizontal="left" wrapText="1"/>
    </xf>
    <xf numFmtId="0" fontId="4" fillId="3" borderId="11" xfId="0" applyFont="1" applyFill="1" applyBorder="1" applyAlignment="1" applyProtection="1">
      <alignment horizontal="left"/>
    </xf>
    <xf numFmtId="177" fontId="4" fillId="3" borderId="11" xfId="0" applyNumberFormat="1" applyFont="1" applyFill="1" applyBorder="1" applyAlignment="1" applyProtection="1">
      <alignment horizontal="left"/>
    </xf>
    <xf numFmtId="177" fontId="4" fillId="3" borderId="12" xfId="0" applyNumberFormat="1" applyFont="1" applyFill="1" applyBorder="1" applyAlignment="1" applyProtection="1">
      <alignment horizontal="left"/>
    </xf>
    <xf numFmtId="0" fontId="4" fillId="2" borderId="13" xfId="0" applyFont="1" applyFill="1" applyBorder="1" applyAlignment="1" applyProtection="1">
      <alignment horizontal="left"/>
    </xf>
    <xf numFmtId="177" fontId="4" fillId="2" borderId="13" xfId="0" applyNumberFormat="1" applyFont="1" applyFill="1" applyBorder="1" applyAlignment="1" applyProtection="1">
      <alignment horizontal="left"/>
    </xf>
    <xf numFmtId="177" fontId="31" fillId="2" borderId="13" xfId="0" applyNumberFormat="1" applyFont="1" applyFill="1" applyBorder="1" applyAlignment="1" applyProtection="1">
      <alignment horizontal="left"/>
    </xf>
    <xf numFmtId="177" fontId="4" fillId="2" borderId="0" xfId="0" applyNumberFormat="1" applyFont="1" applyFill="1" applyBorder="1" applyAlignment="1" applyProtection="1">
      <alignment horizontal="left"/>
    </xf>
    <xf numFmtId="43" fontId="4" fillId="6" borderId="14" xfId="3" applyNumberFormat="1" applyFont="1" applyFill="1" applyBorder="1" applyAlignment="1" applyProtection="1">
      <alignment horizontal="center" vertical="center"/>
    </xf>
    <xf numFmtId="43" fontId="4" fillId="6" borderId="15" xfId="3" applyNumberFormat="1" applyFont="1" applyFill="1" applyBorder="1" applyAlignment="1" applyProtection="1">
      <alignment horizontal="center" vertical="center"/>
    </xf>
    <xf numFmtId="180" fontId="12" fillId="4" borderId="23" xfId="2" applyNumberFormat="1" applyFont="1" applyFill="1" applyBorder="1" applyAlignment="1">
      <alignment horizontal="right" wrapText="1"/>
    </xf>
    <xf numFmtId="180" fontId="3" fillId="9" borderId="24" xfId="0" applyNumberFormat="1" applyFont="1" applyFill="1" applyBorder="1" applyAlignment="1">
      <alignment horizontal="right"/>
    </xf>
    <xf numFmtId="180" fontId="17" fillId="4" borderId="24" xfId="0" applyNumberFormat="1" applyFont="1" applyFill="1" applyBorder="1" applyAlignment="1">
      <alignment horizontal="right"/>
    </xf>
    <xf numFmtId="180" fontId="11" fillId="9" borderId="24" xfId="0" applyNumberFormat="1" applyFont="1" applyFill="1" applyBorder="1" applyAlignment="1">
      <alignment horizontal="right"/>
    </xf>
    <xf numFmtId="180" fontId="17" fillId="2" borderId="25" xfId="0" applyNumberFormat="1" applyFont="1" applyFill="1" applyBorder="1" applyAlignment="1">
      <alignment horizontal="right"/>
    </xf>
    <xf numFmtId="180" fontId="17" fillId="3" borderId="26" xfId="0" applyNumberFormat="1" applyFont="1" applyFill="1" applyBorder="1" applyAlignment="1">
      <alignment horizontal="right"/>
    </xf>
    <xf numFmtId="180" fontId="17" fillId="4" borderId="24" xfId="0" applyNumberFormat="1" applyFont="1" applyFill="1" applyBorder="1" applyAlignment="1" applyProtection="1">
      <alignment horizontal="center"/>
      <protection locked="0"/>
    </xf>
    <xf numFmtId="41" fontId="11" fillId="0" borderId="3" xfId="1" applyNumberFormat="1" applyFont="1" applyFill="1" applyBorder="1" applyAlignment="1" applyProtection="1"/>
    <xf numFmtId="180" fontId="16" fillId="0" borderId="38" xfId="0" applyNumberFormat="1" applyFont="1" applyBorder="1" applyAlignment="1" applyProtection="1">
      <alignment horizontal="center" vertical="center"/>
      <protection hidden="1"/>
    </xf>
    <xf numFmtId="180" fontId="25" fillId="0" borderId="39" xfId="0" applyNumberFormat="1" applyFont="1" applyBorder="1" applyAlignment="1">
      <alignment horizontal="right" vertical="center"/>
    </xf>
    <xf numFmtId="177" fontId="11" fillId="9" borderId="3" xfId="1" applyFont="1" applyFill="1" applyBorder="1" applyAlignment="1"/>
    <xf numFmtId="177" fontId="12" fillId="3" borderId="3" xfId="1" applyFont="1" applyFill="1" applyBorder="1" applyAlignment="1">
      <alignment horizontal="right" wrapText="1"/>
    </xf>
    <xf numFmtId="43" fontId="26" fillId="0" borderId="3" xfId="1" applyNumberFormat="1" applyFont="1" applyFill="1" applyBorder="1" applyAlignment="1">
      <alignment horizontal="left" vertical="center"/>
    </xf>
    <xf numFmtId="43" fontId="26" fillId="3" borderId="3" xfId="1" applyNumberFormat="1" applyFont="1" applyFill="1" applyBorder="1" applyAlignment="1">
      <alignment horizontal="left" vertical="center"/>
    </xf>
    <xf numFmtId="43" fontId="27" fillId="3" borderId="19" xfId="1" applyNumberFormat="1" applyFont="1" applyFill="1" applyBorder="1" applyAlignment="1">
      <alignment horizontal="left" vertical="center"/>
    </xf>
    <xf numFmtId="49" fontId="4" fillId="2" borderId="23" xfId="1" applyNumberFormat="1" applyFont="1" applyFill="1" applyBorder="1" applyAlignment="1" applyProtection="1">
      <protection locked="0"/>
    </xf>
    <xf numFmtId="0" fontId="2" fillId="0" borderId="23" xfId="0" applyFont="1" applyBorder="1" applyProtection="1">
      <alignment vertical="center"/>
      <protection locked="0"/>
    </xf>
    <xf numFmtId="0" fontId="2" fillId="0" borderId="28" xfId="0" applyFont="1" applyBorder="1" applyProtection="1">
      <alignment vertical="center"/>
      <protection locked="0"/>
    </xf>
    <xf numFmtId="41" fontId="10" fillId="0" borderId="23" xfId="1" applyNumberFormat="1" applyFont="1" applyFill="1" applyBorder="1" applyAlignment="1">
      <alignment horizontal="left" vertical="center"/>
    </xf>
    <xf numFmtId="41" fontId="11" fillId="9" borderId="23" xfId="1" applyNumberFormat="1" applyFont="1" applyFill="1" applyBorder="1" applyAlignment="1" applyProtection="1"/>
    <xf numFmtId="41" fontId="12" fillId="3" borderId="23" xfId="1" applyNumberFormat="1" applyFont="1" applyFill="1" applyBorder="1" applyAlignment="1" applyProtection="1">
      <alignment horizontal="right" wrapText="1"/>
    </xf>
    <xf numFmtId="41" fontId="12" fillId="3" borderId="23" xfId="1" applyNumberFormat="1" applyFont="1" applyFill="1" applyBorder="1" applyAlignment="1" applyProtection="1">
      <alignment horizontal="center" wrapText="1"/>
    </xf>
    <xf numFmtId="41" fontId="10" fillId="0" borderId="23" xfId="1" applyNumberFormat="1" applyFont="1" applyBorder="1" applyAlignment="1">
      <alignment horizontal="left" vertical="center" wrapText="1"/>
    </xf>
    <xf numFmtId="41" fontId="13" fillId="3" borderId="27" xfId="1" applyNumberFormat="1" applyFont="1" applyFill="1" applyBorder="1" applyAlignment="1">
      <alignment horizontal="left" vertical="center"/>
    </xf>
    <xf numFmtId="41" fontId="13" fillId="3" borderId="27" xfId="1" applyNumberFormat="1" applyFont="1" applyFill="1" applyBorder="1" applyAlignment="1" applyProtection="1">
      <alignment horizontal="left" vertical="center"/>
    </xf>
    <xf numFmtId="41" fontId="32" fillId="3" borderId="17" xfId="3" applyNumberFormat="1" applyFont="1" applyFill="1" applyBorder="1" applyAlignment="1">
      <alignment horizontal="center" vertical="center"/>
    </xf>
    <xf numFmtId="41" fontId="32" fillId="3" borderId="18" xfId="3" applyNumberFormat="1" applyFont="1" applyFill="1" applyBorder="1" applyAlignment="1">
      <alignment horizontal="center" vertical="center"/>
    </xf>
    <xf numFmtId="180" fontId="32" fillId="3" borderId="17" xfId="3" applyNumberFormat="1" applyFont="1" applyFill="1" applyBorder="1" applyAlignment="1" applyProtection="1">
      <alignment horizontal="center" vertical="center"/>
      <protection locked="0"/>
    </xf>
    <xf numFmtId="180" fontId="32" fillId="11" borderId="17" xfId="3" applyNumberFormat="1" applyFont="1" applyFill="1" applyBorder="1" applyAlignment="1" applyProtection="1">
      <alignment horizontal="center" vertical="center"/>
      <protection locked="0"/>
    </xf>
    <xf numFmtId="41" fontId="33" fillId="0" borderId="0" xfId="0" applyNumberFormat="1" applyFont="1">
      <alignment vertical="center"/>
    </xf>
    <xf numFmtId="58" fontId="21" fillId="0" borderId="0" xfId="0" applyNumberFormat="1" applyFont="1">
      <alignment vertical="center"/>
    </xf>
    <xf numFmtId="43" fontId="11" fillId="9" borderId="23" xfId="1" applyNumberFormat="1" applyFont="1" applyFill="1" applyBorder="1" applyAlignment="1" applyProtection="1"/>
    <xf numFmtId="41" fontId="27" fillId="3" borderId="23" xfId="1" applyNumberFormat="1" applyFont="1" applyFill="1" applyBorder="1" applyAlignment="1" applyProtection="1">
      <alignment horizontal="left" vertical="center"/>
    </xf>
    <xf numFmtId="41" fontId="13" fillId="3" borderId="40" xfId="1" applyNumberFormat="1" applyFont="1" applyFill="1" applyBorder="1" applyAlignment="1">
      <alignment horizontal="left" vertical="center"/>
    </xf>
    <xf numFmtId="183" fontId="0" fillId="0" borderId="0" xfId="0" applyNumberFormat="1">
      <alignment vertical="center"/>
    </xf>
    <xf numFmtId="180" fontId="12" fillId="4" borderId="23" xfId="2" applyNumberFormat="1" applyFont="1" applyFill="1" applyBorder="1" applyAlignment="1" applyProtection="1">
      <alignment horizontal="center" wrapText="1"/>
      <protection hidden="1"/>
    </xf>
    <xf numFmtId="180" fontId="3" fillId="9" borderId="24" xfId="0" applyNumberFormat="1" applyFont="1" applyFill="1" applyBorder="1" applyAlignment="1" applyProtection="1">
      <alignment horizontal="center"/>
      <protection hidden="1"/>
    </xf>
    <xf numFmtId="180" fontId="16" fillId="0" borderId="41" xfId="0" applyNumberFormat="1" applyFont="1" applyBorder="1" applyAlignment="1" applyProtection="1">
      <alignment horizontal="center" vertical="center"/>
      <protection hidden="1"/>
    </xf>
    <xf numFmtId="180" fontId="17" fillId="4" borderId="24" xfId="0" applyNumberFormat="1" applyFont="1" applyFill="1" applyBorder="1" applyAlignment="1" applyProtection="1">
      <alignment horizontal="center"/>
      <protection hidden="1"/>
    </xf>
    <xf numFmtId="180" fontId="11" fillId="9" borderId="24" xfId="0" applyNumberFormat="1" applyFont="1" applyFill="1" applyBorder="1" applyAlignment="1" applyProtection="1">
      <alignment horizontal="center"/>
      <protection hidden="1"/>
    </xf>
    <xf numFmtId="180" fontId="17" fillId="2" borderId="25" xfId="0" applyNumberFormat="1" applyFont="1" applyFill="1" applyBorder="1" applyAlignment="1" applyProtection="1">
      <alignment horizontal="center"/>
      <protection hidden="1"/>
    </xf>
    <xf numFmtId="180" fontId="17" fillId="3" borderId="26" xfId="0" applyNumberFormat="1" applyFont="1" applyFill="1" applyBorder="1" applyAlignment="1" applyProtection="1">
      <alignment horizontal="center"/>
      <protection hidden="1"/>
    </xf>
    <xf numFmtId="180" fontId="17" fillId="3" borderId="26" xfId="0" applyNumberFormat="1" applyFont="1" applyFill="1" applyBorder="1" applyAlignment="1" applyProtection="1">
      <alignment horizontal="center"/>
      <protection locked="0"/>
    </xf>
    <xf numFmtId="177" fontId="4" fillId="10" borderId="23" xfId="1" applyNumberFormat="1" applyFont="1" applyFill="1" applyBorder="1" applyAlignment="1" applyProtection="1">
      <protection locked="0"/>
    </xf>
    <xf numFmtId="180" fontId="8" fillId="2" borderId="0" xfId="0" applyNumberFormat="1" applyFont="1" applyFill="1" applyAlignment="1" applyProtection="1">
      <alignment horizontal="center" vertical="center"/>
      <protection locked="0"/>
    </xf>
    <xf numFmtId="177" fontId="4" fillId="10" borderId="3" xfId="1" applyNumberFormat="1" applyFont="1" applyFill="1" applyBorder="1" applyAlignment="1" applyProtection="1">
      <protection locked="0"/>
    </xf>
    <xf numFmtId="41" fontId="10" fillId="0" borderId="28" xfId="1" applyNumberFormat="1" applyFont="1" applyFill="1" applyBorder="1" applyAlignment="1">
      <alignment horizontal="left" vertical="center"/>
    </xf>
    <xf numFmtId="41" fontId="10" fillId="0" borderId="28" xfId="1" applyNumberFormat="1" applyFont="1" applyBorder="1" applyAlignment="1">
      <alignment horizontal="left" vertical="center" wrapText="1"/>
    </xf>
    <xf numFmtId="41" fontId="13" fillId="3" borderId="42" xfId="1" applyNumberFormat="1" applyFont="1" applyFill="1" applyBorder="1" applyAlignment="1">
      <alignment horizontal="left" vertical="center"/>
    </xf>
    <xf numFmtId="0" fontId="7" fillId="0" borderId="0" xfId="0" applyFont="1">
      <alignment vertical="center"/>
    </xf>
    <xf numFmtId="43" fontId="7" fillId="0" borderId="43" xfId="0" applyNumberFormat="1" applyFont="1" applyBorder="1">
      <alignment vertical="center"/>
    </xf>
    <xf numFmtId="177" fontId="4" fillId="0" borderId="23" xfId="1" applyNumberFormat="1" applyFont="1" applyFill="1" applyBorder="1" applyAlignment="1" applyProtection="1">
      <protection locked="0"/>
    </xf>
    <xf numFmtId="43" fontId="0" fillId="0" borderId="0" xfId="0" applyNumberFormat="1">
      <alignment vertical="center"/>
    </xf>
    <xf numFmtId="43" fontId="7" fillId="0" borderId="0" xfId="0" applyNumberFormat="1" applyFont="1">
      <alignment vertical="center"/>
    </xf>
    <xf numFmtId="177" fontId="4" fillId="10" borderId="23" xfId="1" applyNumberFormat="1" applyFont="1" applyFill="1" applyBorder="1" applyAlignment="1" applyProtection="1">
      <alignment horizontal="left"/>
      <protection locked="0"/>
    </xf>
    <xf numFmtId="177" fontId="4" fillId="10" borderId="23" xfId="1" applyNumberFormat="1" applyFont="1" applyFill="1" applyBorder="1" applyAlignment="1" applyProtection="1"/>
    <xf numFmtId="49" fontId="4" fillId="2" borderId="40" xfId="1" applyNumberFormat="1" applyFont="1" applyFill="1" applyBorder="1" applyAlignment="1" applyProtection="1">
      <protection locked="0"/>
    </xf>
    <xf numFmtId="177" fontId="4" fillId="5" borderId="40" xfId="1" applyNumberFormat="1" applyFont="1" applyFill="1" applyBorder="1" applyAlignment="1" applyProtection="1">
      <protection locked="0"/>
    </xf>
    <xf numFmtId="177" fontId="4" fillId="2" borderId="40" xfId="1" applyNumberFormat="1" applyFont="1" applyFill="1" applyBorder="1" applyAlignment="1" applyProtection="1">
      <protection locked="0"/>
    </xf>
    <xf numFmtId="177" fontId="4" fillId="5" borderId="44" xfId="1" applyNumberFormat="1" applyFont="1" applyFill="1" applyBorder="1" applyAlignment="1" applyProtection="1">
      <protection locked="0"/>
    </xf>
    <xf numFmtId="177" fontId="4" fillId="10" borderId="7" xfId="1" applyNumberFormat="1" applyFont="1" applyFill="1" applyBorder="1" applyAlignment="1" applyProtection="1">
      <protection locked="0"/>
    </xf>
    <xf numFmtId="177" fontId="4" fillId="10" borderId="40" xfId="1" applyNumberFormat="1" applyFont="1" applyFill="1" applyBorder="1" applyAlignment="1" applyProtection="1">
      <protection locked="0"/>
    </xf>
    <xf numFmtId="177" fontId="4" fillId="0" borderId="7" xfId="1" applyNumberFormat="1" applyFont="1" applyFill="1" applyBorder="1" applyAlignment="1" applyProtection="1">
      <protection locked="0"/>
    </xf>
    <xf numFmtId="177" fontId="2" fillId="10" borderId="3" xfId="1" applyNumberFormat="1" applyFont="1" applyFill="1" applyBorder="1" applyAlignment="1" applyProtection="1">
      <protection locked="0"/>
    </xf>
    <xf numFmtId="177" fontId="5" fillId="10" borderId="23" xfId="1" applyNumberFormat="1" applyFont="1" applyFill="1" applyBorder="1" applyAlignment="1" applyProtection="1">
      <protection locked="0"/>
    </xf>
    <xf numFmtId="177" fontId="5" fillId="5" borderId="23" xfId="1" applyNumberFormat="1" applyFont="1" applyFill="1" applyBorder="1" applyAlignment="1" applyProtection="1">
      <protection locked="0"/>
    </xf>
    <xf numFmtId="184" fontId="5" fillId="10" borderId="3" xfId="1" applyNumberFormat="1" applyFont="1" applyFill="1" applyBorder="1" applyAlignment="1" applyProtection="1">
      <protection locked="0"/>
    </xf>
    <xf numFmtId="177" fontId="5" fillId="16" borderId="23" xfId="1" applyNumberFormat="1" applyFont="1" applyFill="1" applyBorder="1" applyAlignment="1" applyProtection="1">
      <protection locked="0"/>
    </xf>
    <xf numFmtId="0" fontId="8" fillId="0" borderId="0" xfId="0" applyFont="1">
      <alignment vertical="center"/>
    </xf>
    <xf numFmtId="41" fontId="0" fillId="0" borderId="0" xfId="0" applyNumberForma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41" fontId="10" fillId="0" borderId="25" xfId="1" applyNumberFormat="1" applyFont="1" applyBorder="1" applyAlignment="1">
      <alignment horizontal="center" vertical="center" textRotation="255" wrapText="1"/>
    </xf>
    <xf numFmtId="41" fontId="10" fillId="0" borderId="13" xfId="1" applyNumberFormat="1" applyFont="1" applyBorder="1" applyAlignment="1">
      <alignment horizontal="center" vertical="center" textRotation="255" wrapText="1"/>
    </xf>
    <xf numFmtId="41" fontId="10" fillId="0" borderId="20" xfId="1" applyNumberFormat="1" applyFont="1" applyBorder="1" applyAlignment="1">
      <alignment horizontal="center" vertical="center" textRotation="255" wrapText="1"/>
    </xf>
    <xf numFmtId="41" fontId="10" fillId="0" borderId="25" xfId="1" applyNumberFormat="1" applyFont="1" applyFill="1" applyBorder="1" applyAlignment="1">
      <alignment horizontal="center" vertical="center" textRotation="255"/>
    </xf>
    <xf numFmtId="41" fontId="10" fillId="0" borderId="13" xfId="1" applyNumberFormat="1" applyFont="1" applyFill="1" applyBorder="1" applyAlignment="1">
      <alignment horizontal="center" vertical="center" textRotation="255"/>
    </xf>
    <xf numFmtId="41" fontId="10" fillId="0" borderId="20" xfId="1" applyNumberFormat="1" applyFont="1" applyFill="1" applyBorder="1" applyAlignment="1">
      <alignment horizontal="center" vertical="center" textRotation="255"/>
    </xf>
    <xf numFmtId="41" fontId="10" fillId="0" borderId="25" xfId="1" applyNumberFormat="1" applyFont="1" applyBorder="1" applyAlignment="1">
      <alignment horizontal="center" vertical="top" textRotation="255" wrapText="1"/>
    </xf>
    <xf numFmtId="41" fontId="10" fillId="0" borderId="13" xfId="1" applyNumberFormat="1" applyFont="1" applyBorder="1" applyAlignment="1">
      <alignment horizontal="center" vertical="top" textRotation="255" wrapText="1"/>
    </xf>
    <xf numFmtId="41" fontId="10" fillId="0" borderId="20" xfId="1" applyNumberFormat="1" applyFont="1" applyBorder="1" applyAlignment="1">
      <alignment horizontal="center" vertical="top" textRotation="255" wrapText="1"/>
    </xf>
    <xf numFmtId="49" fontId="29" fillId="2" borderId="9" xfId="0" applyNumberFormat="1" applyFont="1" applyFill="1" applyBorder="1" applyAlignment="1" applyProtection="1">
      <alignment horizontal="center" vertical="center"/>
      <protection locked="0"/>
    </xf>
    <xf numFmtId="49" fontId="28" fillId="2" borderId="9" xfId="0" applyNumberFormat="1" applyFont="1" applyFill="1" applyBorder="1" applyAlignment="1" applyProtection="1">
      <alignment horizontal="center" vertical="center"/>
    </xf>
  </cellXfs>
  <cellStyles count="4">
    <cellStyle name="百分比" xfId="2" builtinId="5"/>
    <cellStyle name="常规" xfId="0" builtinId="0"/>
    <cellStyle name="千位分隔" xfId="1" builtinId="3"/>
    <cellStyle name="千位分隔 2" xfId="3"/>
  </cellStyles>
  <dxfs count="1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30;&#21153;&#25253;&#21578;/&#20844;&#21496;&#36130;&#21153;&#20998;&#26512;&#21450;&#39044;&#31639;&#25253;&#21578;/&#20998;&#26512;2016/4&#26376;/&#32771;&#26680;&#25968;&#25454;&#35843;&#25972;&#34920;2016&#24180;04&#26376;&#65288;&#28145;&#20998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累计利润调整表"/>
      <sheetName val="累计考核费用"/>
      <sheetName val="考核调整事项表"/>
      <sheetName val="Sheet1"/>
    </sheetNames>
    <sheetDataSet>
      <sheetData sheetId="0"/>
      <sheetData sheetId="1"/>
      <sheetData sheetId="2">
        <row r="1">
          <cell r="K1" t="str">
            <v>其他</v>
          </cell>
        </row>
        <row r="2">
          <cell r="K2" t="str">
            <v>总部中后台</v>
          </cell>
        </row>
        <row r="3">
          <cell r="K3" t="str">
            <v>经纪业务部</v>
          </cell>
        </row>
        <row r="4">
          <cell r="K4" t="str">
            <v>资产管理部</v>
          </cell>
        </row>
        <row r="5">
          <cell r="K5" t="str">
            <v>固定收益部</v>
          </cell>
        </row>
        <row r="6">
          <cell r="K6" t="str">
            <v>证券投资部</v>
          </cell>
        </row>
        <row r="7">
          <cell r="K7" t="str">
            <v>金融衍生品投资部</v>
          </cell>
        </row>
        <row r="8">
          <cell r="K8" t="str">
            <v>风险管理部</v>
          </cell>
        </row>
        <row r="9">
          <cell r="K9" t="str">
            <v>深圳管理部</v>
          </cell>
        </row>
        <row r="10">
          <cell r="K10" t="str">
            <v>金融工程部</v>
          </cell>
        </row>
        <row r="11">
          <cell r="K11" t="str">
            <v>中小企业融资部</v>
          </cell>
        </row>
        <row r="12">
          <cell r="K12" t="str">
            <v>财务顾问部</v>
          </cell>
        </row>
        <row r="13">
          <cell r="K13" t="str">
            <v>债券融资部</v>
          </cell>
        </row>
        <row r="14">
          <cell r="K14" t="str">
            <v>股权融资部</v>
          </cell>
        </row>
        <row r="15">
          <cell r="K15" t="str">
            <v>投资银行总部</v>
          </cell>
        </row>
        <row r="16">
          <cell r="K16" t="str">
            <v>浙江总部</v>
          </cell>
        </row>
        <row r="17">
          <cell r="K17" t="str">
            <v>综合业务部</v>
          </cell>
        </row>
        <row r="18">
          <cell r="K18" t="str">
            <v>网络金融部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22"/>
  <sheetViews>
    <sheetView tabSelected="1" workbookViewId="0">
      <pane xSplit="1" ySplit="3" topLeftCell="K61" activePane="bottomRight" state="frozen"/>
      <selection pane="topRight"/>
      <selection pane="bottomLeft"/>
      <selection pane="bottomRight" activeCell="L76" sqref="L76"/>
    </sheetView>
  </sheetViews>
  <sheetFormatPr defaultColWidth="9" defaultRowHeight="13.5"/>
  <cols>
    <col min="1" max="1" width="34.875" style="51" customWidth="1"/>
    <col min="2" max="2" width="18" style="51" customWidth="1"/>
    <col min="3" max="3" width="17.375" style="51" customWidth="1"/>
    <col min="4" max="4" width="15.125" style="51" customWidth="1"/>
    <col min="5" max="5" width="16.875" style="51" customWidth="1"/>
    <col min="6" max="6" width="17.875" style="51" customWidth="1"/>
    <col min="7" max="7" width="17.25" style="51" customWidth="1"/>
    <col min="8" max="8" width="17.875" style="51" customWidth="1"/>
    <col min="9" max="9" width="15.75" style="51" customWidth="1"/>
    <col min="10" max="11" width="17.25" style="51" customWidth="1"/>
    <col min="12" max="12" width="14.125" style="51" customWidth="1"/>
    <col min="13" max="13" width="12" style="51" customWidth="1"/>
    <col min="14" max="14" width="15.125" style="51" customWidth="1"/>
    <col min="15" max="15" width="15.75" style="51" customWidth="1"/>
    <col min="16" max="17" width="16.125" style="51" customWidth="1"/>
    <col min="18" max="18" width="12" style="51" customWidth="1"/>
    <col min="19" max="19" width="16.125" style="51" customWidth="1"/>
    <col min="20" max="21" width="12" style="51" customWidth="1"/>
    <col min="22" max="22" width="16.375" style="51" customWidth="1"/>
    <col min="23" max="25" width="12" style="51" customWidth="1"/>
    <col min="26" max="16384" width="9" style="51"/>
  </cols>
  <sheetData>
    <row r="1" spans="1:27" ht="22.5" customHeight="1">
      <c r="A1" s="318" t="s">
        <v>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  <c r="V1" s="318"/>
      <c r="W1" s="318"/>
      <c r="X1" s="318"/>
      <c r="Y1" s="318"/>
    </row>
    <row r="2" spans="1:27" ht="14.25" thickBot="1">
      <c r="A2" s="52" t="s">
        <v>1</v>
      </c>
      <c r="B2" s="53" t="s">
        <v>2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</row>
    <row r="3" spans="1:27" s="47" customFormat="1" ht="14.25" customHeight="1">
      <c r="A3" s="34" t="s">
        <v>3</v>
      </c>
      <c r="B3" s="34" t="s">
        <v>4</v>
      </c>
      <c r="C3" s="34" t="s">
        <v>5</v>
      </c>
      <c r="D3" s="34" t="s">
        <v>6</v>
      </c>
      <c r="E3" s="34" t="s">
        <v>218</v>
      </c>
      <c r="F3" s="34" t="s">
        <v>8</v>
      </c>
      <c r="G3" s="34" t="s">
        <v>9</v>
      </c>
      <c r="H3" s="40" t="s">
        <v>10</v>
      </c>
      <c r="I3" s="40" t="s">
        <v>353</v>
      </c>
      <c r="J3" s="40" t="s">
        <v>11</v>
      </c>
      <c r="K3" s="40" t="s">
        <v>239</v>
      </c>
      <c r="L3" s="40" t="s">
        <v>12</v>
      </c>
      <c r="M3" s="40" t="s">
        <v>13</v>
      </c>
      <c r="N3" s="40" t="s">
        <v>14</v>
      </c>
      <c r="O3" s="40" t="s">
        <v>15</v>
      </c>
      <c r="P3" s="34" t="s">
        <v>16</v>
      </c>
      <c r="Q3" s="34" t="s">
        <v>17</v>
      </c>
      <c r="R3" s="40" t="s">
        <v>18</v>
      </c>
      <c r="S3" s="40" t="s">
        <v>19</v>
      </c>
      <c r="T3" s="40" t="s">
        <v>206</v>
      </c>
      <c r="U3" s="40" t="s">
        <v>187</v>
      </c>
      <c r="V3" s="34" t="s">
        <v>21</v>
      </c>
      <c r="W3" s="40" t="s">
        <v>22</v>
      </c>
      <c r="X3" s="40" t="s">
        <v>23</v>
      </c>
      <c r="Y3" s="34" t="s">
        <v>357</v>
      </c>
      <c r="Z3" s="34" t="s">
        <v>240</v>
      </c>
    </row>
    <row r="4" spans="1:27" s="47" customFormat="1">
      <c r="A4" s="55" t="s">
        <v>25</v>
      </c>
      <c r="B4" s="138">
        <v>1272541011.3100004</v>
      </c>
      <c r="C4" s="138">
        <v>2913710.54</v>
      </c>
      <c r="D4" s="138">
        <v>-232266193.34999999</v>
      </c>
      <c r="E4" s="138">
        <v>1084271263.6699998</v>
      </c>
      <c r="F4" s="138">
        <v>-81652426.079999998</v>
      </c>
      <c r="G4" s="138">
        <v>45603669.88000004</v>
      </c>
      <c r="H4" s="138">
        <v>166343027.31000003</v>
      </c>
      <c r="I4" s="138">
        <v>0</v>
      </c>
      <c r="J4" s="138">
        <v>-106127778.3</v>
      </c>
      <c r="K4" s="248">
        <v>0</v>
      </c>
      <c r="L4" s="138">
        <v>5583183.0700000003</v>
      </c>
      <c r="M4" s="138">
        <v>0</v>
      </c>
      <c r="N4" s="138">
        <v>5630.8799999999992</v>
      </c>
      <c r="O4" s="138">
        <v>-20200393.080000002</v>
      </c>
      <c r="P4" s="138">
        <v>37734433.759999998</v>
      </c>
      <c r="Q4" s="138">
        <v>415935048.95000005</v>
      </c>
      <c r="R4" s="138">
        <v>0</v>
      </c>
      <c r="S4" s="138">
        <v>348793350.72000003</v>
      </c>
      <c r="T4" s="138">
        <v>67141698.230000004</v>
      </c>
      <c r="U4" s="138">
        <v>0</v>
      </c>
      <c r="V4" s="138">
        <v>1694.85</v>
      </c>
      <c r="W4" s="138">
        <v>1694.85</v>
      </c>
      <c r="X4" s="138">
        <v>0</v>
      </c>
      <c r="Y4" s="138">
        <v>-199.84000000000003</v>
      </c>
      <c r="Z4" s="75">
        <v>8.93</v>
      </c>
      <c r="AA4" s="47">
        <v>0</v>
      </c>
    </row>
    <row r="5" spans="1:27" s="47" customFormat="1">
      <c r="A5" s="56" t="s">
        <v>26</v>
      </c>
      <c r="B5" s="139">
        <v>1091921992.4300001</v>
      </c>
      <c r="C5" s="139">
        <v>0</v>
      </c>
      <c r="D5" s="139">
        <v>-785383.67999989132</v>
      </c>
      <c r="E5" s="139">
        <v>564845062.7299999</v>
      </c>
      <c r="F5" s="139">
        <v>68354050.180000007</v>
      </c>
      <c r="G5" s="139">
        <v>5839160.330000001</v>
      </c>
      <c r="H5" s="139">
        <v>5542969.9200000009</v>
      </c>
      <c r="I5" s="139">
        <v>0</v>
      </c>
      <c r="J5" s="139">
        <v>0</v>
      </c>
      <c r="K5" s="249">
        <v>0</v>
      </c>
      <c r="L5" s="139">
        <v>35530.800000000003</v>
      </c>
      <c r="M5" s="139">
        <v>0</v>
      </c>
      <c r="N5" s="139">
        <v>-3820</v>
      </c>
      <c r="O5" s="139">
        <v>264479.61</v>
      </c>
      <c r="P5" s="139">
        <v>37734433.759999998</v>
      </c>
      <c r="Q5" s="139">
        <v>415935048.95000005</v>
      </c>
      <c r="R5" s="139">
        <v>0</v>
      </c>
      <c r="S5" s="139">
        <v>348793350.72000003</v>
      </c>
      <c r="T5" s="139">
        <v>67141698.230000004</v>
      </c>
      <c r="U5" s="139">
        <v>0</v>
      </c>
      <c r="V5" s="139">
        <v>-180</v>
      </c>
      <c r="W5" s="139">
        <v>-180</v>
      </c>
      <c r="X5" s="139">
        <v>0</v>
      </c>
      <c r="Y5" s="139">
        <v>-199.84000000000003</v>
      </c>
      <c r="Z5" s="76">
        <v>0</v>
      </c>
      <c r="AA5" s="47">
        <v>0</v>
      </c>
    </row>
    <row r="6" spans="1:27" s="48" customFormat="1">
      <c r="A6" s="57" t="s">
        <v>27</v>
      </c>
      <c r="B6" s="140">
        <v>561558941.46000004</v>
      </c>
      <c r="C6" s="140">
        <v>0</v>
      </c>
      <c r="D6" s="140">
        <v>-353218.25999999838</v>
      </c>
      <c r="E6" s="140">
        <v>561501782.97000003</v>
      </c>
      <c r="F6" s="140">
        <v>110366.34</v>
      </c>
      <c r="G6" s="140">
        <v>300010.41000000003</v>
      </c>
      <c r="H6" s="140">
        <v>0</v>
      </c>
      <c r="I6" s="257">
        <v>0</v>
      </c>
      <c r="J6" s="140">
        <v>0</v>
      </c>
      <c r="K6" s="140">
        <v>0</v>
      </c>
      <c r="L6" s="140">
        <v>35530.800000000003</v>
      </c>
      <c r="M6" s="140">
        <v>0</v>
      </c>
      <c r="N6" s="140">
        <v>0</v>
      </c>
      <c r="O6" s="140">
        <v>264479.61</v>
      </c>
      <c r="P6" s="140">
        <v>0</v>
      </c>
      <c r="Q6" s="140">
        <v>0</v>
      </c>
      <c r="R6" s="140">
        <v>0</v>
      </c>
      <c r="S6" s="140">
        <v>0</v>
      </c>
      <c r="T6" s="140">
        <v>0</v>
      </c>
      <c r="U6" s="140">
        <v>0</v>
      </c>
      <c r="V6" s="140">
        <v>0</v>
      </c>
      <c r="W6" s="140">
        <v>0</v>
      </c>
      <c r="X6" s="140">
        <v>0</v>
      </c>
      <c r="Y6" s="140">
        <v>0</v>
      </c>
      <c r="Z6" s="77">
        <v>0</v>
      </c>
      <c r="AA6" s="48">
        <v>0</v>
      </c>
    </row>
    <row r="7" spans="1:27" s="48" customFormat="1">
      <c r="A7" s="57" t="s">
        <v>28</v>
      </c>
      <c r="B7" s="140">
        <v>453431982.71000004</v>
      </c>
      <c r="C7" s="140">
        <v>0</v>
      </c>
      <c r="D7" s="140">
        <v>-7.2759576141834259E-8</v>
      </c>
      <c r="E7" s="140">
        <v>0</v>
      </c>
      <c r="F7" s="140">
        <v>0</v>
      </c>
      <c r="G7" s="140">
        <v>0</v>
      </c>
      <c r="H7" s="140">
        <v>0</v>
      </c>
      <c r="I7" s="257">
        <v>0</v>
      </c>
      <c r="J7" s="140">
        <v>0</v>
      </c>
      <c r="K7" s="140">
        <v>0</v>
      </c>
      <c r="L7" s="140">
        <v>0</v>
      </c>
      <c r="M7" s="140">
        <v>0</v>
      </c>
      <c r="N7" s="140">
        <v>0</v>
      </c>
      <c r="O7" s="140">
        <v>0</v>
      </c>
      <c r="P7" s="140">
        <v>37734433.759999998</v>
      </c>
      <c r="Q7" s="140">
        <v>415697548.95000005</v>
      </c>
      <c r="R7" s="140">
        <v>0</v>
      </c>
      <c r="S7" s="140">
        <v>348555850.72000003</v>
      </c>
      <c r="T7" s="140">
        <v>67141698.230000004</v>
      </c>
      <c r="U7" s="140">
        <v>0</v>
      </c>
      <c r="V7" s="140">
        <v>0</v>
      </c>
      <c r="W7" s="140">
        <v>0</v>
      </c>
      <c r="X7" s="140">
        <v>0</v>
      </c>
      <c r="Y7" s="140">
        <v>0</v>
      </c>
      <c r="Z7" s="77">
        <v>0</v>
      </c>
      <c r="AA7" s="48">
        <v>0</v>
      </c>
    </row>
    <row r="8" spans="1:27" s="48" customFormat="1">
      <c r="A8" s="57" t="s">
        <v>29</v>
      </c>
      <c r="B8" s="140">
        <v>68244349.840000004</v>
      </c>
      <c r="C8" s="140">
        <v>0</v>
      </c>
      <c r="D8" s="140">
        <v>0</v>
      </c>
      <c r="E8" s="140">
        <v>0</v>
      </c>
      <c r="F8" s="140">
        <v>68244349.840000004</v>
      </c>
      <c r="G8" s="140">
        <v>0</v>
      </c>
      <c r="H8" s="140">
        <v>0</v>
      </c>
      <c r="I8" s="257">
        <v>0</v>
      </c>
      <c r="J8" s="140">
        <v>0</v>
      </c>
      <c r="K8" s="140">
        <v>0</v>
      </c>
      <c r="L8" s="140">
        <v>0</v>
      </c>
      <c r="M8" s="140">
        <v>0</v>
      </c>
      <c r="N8" s="140">
        <v>0</v>
      </c>
      <c r="O8" s="140">
        <v>0</v>
      </c>
      <c r="P8" s="140">
        <v>0</v>
      </c>
      <c r="Q8" s="140">
        <v>0</v>
      </c>
      <c r="R8" s="140">
        <v>0</v>
      </c>
      <c r="S8" s="140">
        <v>0</v>
      </c>
      <c r="T8" s="140">
        <v>0</v>
      </c>
      <c r="U8" s="140">
        <v>0</v>
      </c>
      <c r="V8" s="140">
        <v>0</v>
      </c>
      <c r="W8" s="140">
        <v>0</v>
      </c>
      <c r="X8" s="140">
        <v>0</v>
      </c>
      <c r="Y8" s="140">
        <v>0</v>
      </c>
      <c r="Z8" s="77">
        <v>0</v>
      </c>
      <c r="AA8" s="48">
        <v>0</v>
      </c>
    </row>
    <row r="9" spans="1:27" s="47" customFormat="1">
      <c r="A9" s="56" t="s">
        <v>30</v>
      </c>
      <c r="B9" s="139">
        <v>287264199.19</v>
      </c>
      <c r="C9" s="139">
        <v>2913710.54</v>
      </c>
      <c r="D9" s="139">
        <v>-233644013.24000007</v>
      </c>
      <c r="E9" s="139">
        <v>514804858.18000007</v>
      </c>
      <c r="F9" s="139">
        <v>237121.52</v>
      </c>
      <c r="G9" s="139">
        <v>2950638.4100000006</v>
      </c>
      <c r="H9" s="139">
        <v>-6655232.7000000002</v>
      </c>
      <c r="I9" s="139">
        <v>0</v>
      </c>
      <c r="J9" s="139">
        <v>8603542.8900000006</v>
      </c>
      <c r="K9" s="249">
        <v>0</v>
      </c>
      <c r="L9" s="139">
        <v>60354.42</v>
      </c>
      <c r="M9" s="139">
        <v>0</v>
      </c>
      <c r="N9" s="139">
        <v>9450.8799999999992</v>
      </c>
      <c r="O9" s="139">
        <v>932522.92000000016</v>
      </c>
      <c r="P9" s="139">
        <v>0</v>
      </c>
      <c r="Q9" s="139">
        <v>0</v>
      </c>
      <c r="R9" s="139">
        <v>0</v>
      </c>
      <c r="S9" s="139">
        <v>0</v>
      </c>
      <c r="T9" s="139">
        <v>0</v>
      </c>
      <c r="U9" s="139">
        <v>0</v>
      </c>
      <c r="V9" s="139">
        <v>1874.85</v>
      </c>
      <c r="W9" s="139">
        <v>1874.85</v>
      </c>
      <c r="X9" s="139">
        <v>0</v>
      </c>
      <c r="Y9" s="139">
        <v>0</v>
      </c>
      <c r="Z9" s="76">
        <v>8.93</v>
      </c>
      <c r="AA9" s="47">
        <v>0</v>
      </c>
    </row>
    <row r="10" spans="1:27" s="47" customFormat="1">
      <c r="A10" s="56" t="s">
        <v>31</v>
      </c>
      <c r="B10" s="139">
        <v>-40159995.25</v>
      </c>
      <c r="C10" s="139">
        <v>0</v>
      </c>
      <c r="D10" s="139">
        <v>2332021.1999999629</v>
      </c>
      <c r="E10" s="139">
        <v>-2247929.7000000002</v>
      </c>
      <c r="F10" s="139">
        <v>-150243597.78</v>
      </c>
      <c r="G10" s="139">
        <v>109999511.03000003</v>
      </c>
      <c r="H10" s="139">
        <v>238008786.08000001</v>
      </c>
      <c r="I10" s="139">
        <v>0</v>
      </c>
      <c r="J10" s="139">
        <v>-114798372.28</v>
      </c>
      <c r="K10" s="249">
        <v>0</v>
      </c>
      <c r="L10" s="139">
        <v>4710304.01</v>
      </c>
      <c r="M10" s="139">
        <v>0</v>
      </c>
      <c r="N10" s="139">
        <v>0</v>
      </c>
      <c r="O10" s="139">
        <v>-17921206.780000001</v>
      </c>
      <c r="P10" s="139">
        <v>0</v>
      </c>
      <c r="Q10" s="139">
        <v>0</v>
      </c>
      <c r="R10" s="139">
        <v>0</v>
      </c>
      <c r="S10" s="139">
        <v>0</v>
      </c>
      <c r="T10" s="139">
        <v>0</v>
      </c>
      <c r="U10" s="139">
        <v>0</v>
      </c>
      <c r="V10" s="139">
        <v>0</v>
      </c>
      <c r="W10" s="139">
        <v>0</v>
      </c>
      <c r="X10" s="139">
        <v>0</v>
      </c>
      <c r="Y10" s="139">
        <v>0</v>
      </c>
      <c r="Z10" s="76">
        <v>0</v>
      </c>
      <c r="AA10" s="47">
        <v>0</v>
      </c>
    </row>
    <row r="11" spans="1:27" s="47" customFormat="1">
      <c r="A11" s="56" t="s">
        <v>32</v>
      </c>
      <c r="B11" s="139">
        <v>0</v>
      </c>
      <c r="C11" s="139">
        <v>0</v>
      </c>
      <c r="D11" s="139">
        <v>0</v>
      </c>
      <c r="E11" s="139">
        <v>0</v>
      </c>
      <c r="F11" s="139">
        <v>0</v>
      </c>
      <c r="G11" s="139">
        <v>0</v>
      </c>
      <c r="H11" s="139">
        <v>0</v>
      </c>
      <c r="I11" s="139">
        <v>0</v>
      </c>
      <c r="J11" s="139">
        <v>0</v>
      </c>
      <c r="K11" s="249">
        <v>0</v>
      </c>
      <c r="L11" s="139">
        <v>0</v>
      </c>
      <c r="M11" s="139">
        <v>0</v>
      </c>
      <c r="N11" s="139">
        <v>0</v>
      </c>
      <c r="O11" s="139">
        <v>0</v>
      </c>
      <c r="P11" s="139">
        <v>0</v>
      </c>
      <c r="Q11" s="139">
        <v>0</v>
      </c>
      <c r="R11" s="139">
        <v>0</v>
      </c>
      <c r="S11" s="139">
        <v>0</v>
      </c>
      <c r="T11" s="139">
        <v>0</v>
      </c>
      <c r="U11" s="139">
        <v>0</v>
      </c>
      <c r="V11" s="139">
        <v>0</v>
      </c>
      <c r="W11" s="139">
        <v>0</v>
      </c>
      <c r="X11" s="139">
        <v>0</v>
      </c>
      <c r="Y11" s="139">
        <v>0</v>
      </c>
      <c r="Z11" s="76">
        <v>0</v>
      </c>
      <c r="AA11" s="47">
        <v>0</v>
      </c>
    </row>
    <row r="12" spans="1:27" s="47" customFormat="1">
      <c r="A12" s="56" t="s">
        <v>33</v>
      </c>
      <c r="B12" s="139">
        <v>-73257821.609999999</v>
      </c>
      <c r="C12" s="139">
        <v>0</v>
      </c>
      <c r="D12" s="139">
        <v>-72181.720000007772</v>
      </c>
      <c r="E12" s="139">
        <v>0</v>
      </c>
      <c r="F12" s="139">
        <v>0</v>
      </c>
      <c r="G12" s="139">
        <v>-73185639.889999986</v>
      </c>
      <c r="H12" s="139">
        <v>-70553495.989999995</v>
      </c>
      <c r="I12" s="139">
        <v>0</v>
      </c>
      <c r="J12" s="139">
        <v>67051.09</v>
      </c>
      <c r="K12" s="249">
        <v>0</v>
      </c>
      <c r="L12" s="139">
        <v>776993.84</v>
      </c>
      <c r="M12" s="139">
        <v>0</v>
      </c>
      <c r="N12" s="139">
        <v>0</v>
      </c>
      <c r="O12" s="139">
        <v>-3476188.8299999996</v>
      </c>
      <c r="P12" s="139">
        <v>0</v>
      </c>
      <c r="Q12" s="139">
        <v>0</v>
      </c>
      <c r="R12" s="139">
        <v>0</v>
      </c>
      <c r="S12" s="139">
        <v>0</v>
      </c>
      <c r="T12" s="139">
        <v>0</v>
      </c>
      <c r="U12" s="139">
        <v>0</v>
      </c>
      <c r="V12" s="139">
        <v>0</v>
      </c>
      <c r="W12" s="139">
        <v>0</v>
      </c>
      <c r="X12" s="139">
        <v>0</v>
      </c>
      <c r="Y12" s="139">
        <v>0</v>
      </c>
      <c r="Z12" s="76">
        <v>0</v>
      </c>
      <c r="AA12" s="47">
        <v>0</v>
      </c>
    </row>
    <row r="13" spans="1:27" s="47" customFormat="1">
      <c r="A13" s="56" t="s">
        <v>34</v>
      </c>
      <c r="B13" s="139">
        <v>909251.33000000007</v>
      </c>
      <c r="C13" s="139">
        <v>0</v>
      </c>
      <c r="D13" s="139">
        <v>-101164.21000000002</v>
      </c>
      <c r="E13" s="139">
        <v>1010415.54</v>
      </c>
      <c r="F13" s="139">
        <v>0</v>
      </c>
      <c r="G13" s="139">
        <v>0</v>
      </c>
      <c r="H13" s="139">
        <v>0</v>
      </c>
      <c r="I13" s="139">
        <v>0</v>
      </c>
      <c r="J13" s="139">
        <v>0</v>
      </c>
      <c r="K13" s="249">
        <v>0</v>
      </c>
      <c r="L13" s="139">
        <v>0</v>
      </c>
      <c r="M13" s="139">
        <v>0</v>
      </c>
      <c r="N13" s="139">
        <v>0</v>
      </c>
      <c r="O13" s="139">
        <v>0</v>
      </c>
      <c r="P13" s="139">
        <v>0</v>
      </c>
      <c r="Q13" s="139">
        <v>0</v>
      </c>
      <c r="R13" s="139">
        <v>0</v>
      </c>
      <c r="S13" s="139">
        <v>0</v>
      </c>
      <c r="T13" s="139">
        <v>0</v>
      </c>
      <c r="U13" s="139">
        <v>0</v>
      </c>
      <c r="V13" s="139">
        <v>0</v>
      </c>
      <c r="W13" s="139">
        <v>0</v>
      </c>
      <c r="X13" s="139">
        <v>0</v>
      </c>
      <c r="Y13" s="139">
        <v>0</v>
      </c>
      <c r="Z13" s="76">
        <v>0</v>
      </c>
      <c r="AA13" s="47">
        <v>0</v>
      </c>
    </row>
    <row r="14" spans="1:27" s="47" customFormat="1">
      <c r="A14" s="56" t="s">
        <v>35</v>
      </c>
      <c r="B14" s="139">
        <v>5863385.2199999997</v>
      </c>
      <c r="C14" s="139">
        <v>0</v>
      </c>
      <c r="D14" s="139">
        <v>4528.3000000006268</v>
      </c>
      <c r="E14" s="139">
        <v>5858856.9199999999</v>
      </c>
      <c r="F14" s="139">
        <v>0</v>
      </c>
      <c r="G14" s="139">
        <v>0</v>
      </c>
      <c r="H14" s="139">
        <v>0</v>
      </c>
      <c r="I14" s="139">
        <v>0</v>
      </c>
      <c r="J14" s="139">
        <v>0</v>
      </c>
      <c r="K14" s="249">
        <v>0</v>
      </c>
      <c r="L14" s="139">
        <v>0</v>
      </c>
      <c r="M14" s="139">
        <v>0</v>
      </c>
      <c r="N14" s="139">
        <v>0</v>
      </c>
      <c r="O14" s="139">
        <v>0</v>
      </c>
      <c r="P14" s="139">
        <v>0</v>
      </c>
      <c r="Q14" s="139">
        <v>0</v>
      </c>
      <c r="R14" s="139">
        <v>0</v>
      </c>
      <c r="S14" s="139">
        <v>0</v>
      </c>
      <c r="T14" s="139">
        <v>0</v>
      </c>
      <c r="U14" s="139">
        <v>0</v>
      </c>
      <c r="V14" s="139">
        <v>0</v>
      </c>
      <c r="W14" s="139">
        <v>0</v>
      </c>
      <c r="X14" s="139">
        <v>0</v>
      </c>
      <c r="Y14" s="139">
        <v>0</v>
      </c>
      <c r="Z14" s="76">
        <v>0</v>
      </c>
      <c r="AA14" s="47">
        <v>0</v>
      </c>
    </row>
    <row r="15" spans="1:27" s="47" customFormat="1">
      <c r="A15" s="58" t="s">
        <v>36</v>
      </c>
      <c r="B15" s="141">
        <v>802724464.82000005</v>
      </c>
      <c r="C15" s="141">
        <v>41414.609999999993</v>
      </c>
      <c r="D15" s="141">
        <v>245259249.00999996</v>
      </c>
      <c r="E15" s="141">
        <v>327266026.14000005</v>
      </c>
      <c r="F15" s="141">
        <v>10650473.359999999</v>
      </c>
      <c r="G15" s="141">
        <v>35406736.149999999</v>
      </c>
      <c r="H15" s="141">
        <v>14946457.130000001</v>
      </c>
      <c r="I15" s="141">
        <v>0</v>
      </c>
      <c r="J15" s="141">
        <v>3962399.0999999996</v>
      </c>
      <c r="K15" s="250">
        <v>1023492.77</v>
      </c>
      <c r="L15" s="141">
        <v>4427071.18</v>
      </c>
      <c r="M15" s="141">
        <v>0</v>
      </c>
      <c r="N15" s="141">
        <v>5654507.5499999998</v>
      </c>
      <c r="O15" s="141">
        <v>5392808.4199999999</v>
      </c>
      <c r="P15" s="141">
        <v>15195595.739999998</v>
      </c>
      <c r="Q15" s="141">
        <v>152269568.47</v>
      </c>
      <c r="R15" s="141">
        <v>0</v>
      </c>
      <c r="S15" s="141">
        <v>117288909.63000001</v>
      </c>
      <c r="T15" s="141">
        <v>31397456.830000002</v>
      </c>
      <c r="U15" s="141">
        <v>3583202.01</v>
      </c>
      <c r="V15" s="141">
        <v>5450343.1100000013</v>
      </c>
      <c r="W15" s="141">
        <v>4486950.13</v>
      </c>
      <c r="X15" s="141">
        <v>963392.98</v>
      </c>
      <c r="Y15" s="141">
        <v>11044042.540000001</v>
      </c>
      <c r="Z15" s="79">
        <v>141015.69</v>
      </c>
      <c r="AA15" s="47">
        <v>0</v>
      </c>
    </row>
    <row r="16" spans="1:27" s="48" customFormat="1">
      <c r="A16" s="59" t="s">
        <v>37</v>
      </c>
      <c r="B16" s="142">
        <v>45573317.490000002</v>
      </c>
      <c r="C16" s="142">
        <v>-353.83</v>
      </c>
      <c r="D16" s="142">
        <v>174201.96000000395</v>
      </c>
      <c r="E16" s="142">
        <v>24044931.91</v>
      </c>
      <c r="F16" s="142">
        <v>1027787.08</v>
      </c>
      <c r="G16" s="142">
        <v>4757462.7</v>
      </c>
      <c r="H16" s="142">
        <v>4868569.16</v>
      </c>
      <c r="I16" s="142">
        <v>0</v>
      </c>
      <c r="J16" s="142">
        <v>-51695.69</v>
      </c>
      <c r="K16" s="251">
        <v>-94.83</v>
      </c>
      <c r="L16" s="142">
        <v>146551.84</v>
      </c>
      <c r="M16" s="142">
        <v>0</v>
      </c>
      <c r="N16" s="142">
        <v>-0.33</v>
      </c>
      <c r="O16" s="142">
        <v>-205867.45</v>
      </c>
      <c r="P16" s="142">
        <v>612443.38</v>
      </c>
      <c r="Q16" s="142">
        <v>14960487.65</v>
      </c>
      <c r="R16" s="142">
        <v>0</v>
      </c>
      <c r="S16" s="142">
        <v>12788026.27</v>
      </c>
      <c r="T16" s="142">
        <v>2174988.79</v>
      </c>
      <c r="U16" s="142">
        <v>-2527.41</v>
      </c>
      <c r="V16" s="142">
        <v>1269.21</v>
      </c>
      <c r="W16" s="142">
        <v>1269.21</v>
      </c>
      <c r="X16" s="142">
        <v>0</v>
      </c>
      <c r="Y16" s="142">
        <v>-4912.57</v>
      </c>
      <c r="Z16" s="78">
        <v>0</v>
      </c>
      <c r="AA16" s="48">
        <v>0</v>
      </c>
    </row>
    <row r="17" spans="1:27" s="48" customFormat="1">
      <c r="A17" s="59" t="s">
        <v>38</v>
      </c>
      <c r="B17" s="142">
        <v>752410517.23000002</v>
      </c>
      <c r="C17" s="142">
        <v>41768.44</v>
      </c>
      <c r="D17" s="142">
        <v>245949404.22</v>
      </c>
      <c r="E17" s="142">
        <v>297616106.96000004</v>
      </c>
      <c r="F17" s="142">
        <v>9622686.2799999993</v>
      </c>
      <c r="G17" s="142">
        <v>30649273.449999999</v>
      </c>
      <c r="H17" s="142">
        <v>10077887.970000001</v>
      </c>
      <c r="I17" s="142">
        <v>0</v>
      </c>
      <c r="J17" s="142">
        <v>4014094.7899999996</v>
      </c>
      <c r="K17" s="251">
        <v>1023587.6000000001</v>
      </c>
      <c r="L17" s="142">
        <v>4280519.34</v>
      </c>
      <c r="M17" s="142">
        <v>0</v>
      </c>
      <c r="N17" s="142">
        <v>5654507.8799999999</v>
      </c>
      <c r="O17" s="142">
        <v>5598675.8699999992</v>
      </c>
      <c r="P17" s="142">
        <v>14583152.359999999</v>
      </c>
      <c r="Q17" s="142">
        <v>137309080.82000002</v>
      </c>
      <c r="R17" s="142">
        <v>0</v>
      </c>
      <c r="S17" s="142">
        <v>104500883.36000001</v>
      </c>
      <c r="T17" s="142">
        <v>29222468.039999999</v>
      </c>
      <c r="U17" s="142">
        <v>3585729.42</v>
      </c>
      <c r="V17" s="142">
        <v>5449073.9000000004</v>
      </c>
      <c r="W17" s="142">
        <v>4485680.92</v>
      </c>
      <c r="X17" s="142">
        <v>963392.98</v>
      </c>
      <c r="Y17" s="142">
        <v>11048955.109999999</v>
      </c>
      <c r="Z17" s="78">
        <v>141015.69</v>
      </c>
      <c r="AA17" s="48">
        <v>0</v>
      </c>
    </row>
    <row r="18" spans="1:27" s="48" customFormat="1">
      <c r="A18" s="59" t="s">
        <v>39</v>
      </c>
      <c r="B18" s="142">
        <v>-864357.17000000016</v>
      </c>
      <c r="C18" s="142">
        <v>0</v>
      </c>
      <c r="D18" s="142">
        <v>-864357.17000000016</v>
      </c>
      <c r="E18" s="142">
        <v>0</v>
      </c>
      <c r="F18" s="142">
        <v>0</v>
      </c>
      <c r="G18" s="142">
        <v>0</v>
      </c>
      <c r="H18" s="142">
        <v>0</v>
      </c>
      <c r="I18" s="142">
        <v>0</v>
      </c>
      <c r="J18" s="142">
        <v>0</v>
      </c>
      <c r="K18" s="251">
        <v>0</v>
      </c>
      <c r="L18" s="142">
        <v>0</v>
      </c>
      <c r="M18" s="142">
        <v>0</v>
      </c>
      <c r="N18" s="142">
        <v>0</v>
      </c>
      <c r="O18" s="142">
        <v>0</v>
      </c>
      <c r="P18" s="142">
        <v>0</v>
      </c>
      <c r="Q18" s="142">
        <v>0</v>
      </c>
      <c r="R18" s="142">
        <v>0</v>
      </c>
      <c r="S18" s="142">
        <v>0</v>
      </c>
      <c r="T18" s="142">
        <v>0</v>
      </c>
      <c r="U18" s="142">
        <v>0</v>
      </c>
      <c r="V18" s="142">
        <v>0</v>
      </c>
      <c r="W18" s="142">
        <v>0</v>
      </c>
      <c r="X18" s="142">
        <v>0</v>
      </c>
      <c r="Y18" s="142">
        <v>0</v>
      </c>
      <c r="Z18" s="78">
        <v>0</v>
      </c>
      <c r="AA18" s="48">
        <v>0</v>
      </c>
    </row>
    <row r="19" spans="1:27" s="48" customFormat="1">
      <c r="A19" s="59" t="s">
        <v>40</v>
      </c>
      <c r="B19" s="142">
        <v>5604987.2699999996</v>
      </c>
      <c r="C19" s="142">
        <v>0</v>
      </c>
      <c r="D19" s="142">
        <v>0</v>
      </c>
      <c r="E19" s="149">
        <v>5604987.2699999996</v>
      </c>
      <c r="F19" s="142">
        <v>0</v>
      </c>
      <c r="G19" s="142">
        <v>0</v>
      </c>
      <c r="H19" s="142">
        <v>0</v>
      </c>
      <c r="I19" s="142">
        <v>0</v>
      </c>
      <c r="J19" s="142">
        <v>0</v>
      </c>
      <c r="K19" s="251">
        <v>0</v>
      </c>
      <c r="L19" s="142">
        <v>0</v>
      </c>
      <c r="M19" s="142">
        <v>0</v>
      </c>
      <c r="N19" s="142">
        <v>0</v>
      </c>
      <c r="O19" s="142">
        <v>0</v>
      </c>
      <c r="P19" s="142">
        <v>0</v>
      </c>
      <c r="Q19" s="142">
        <v>0</v>
      </c>
      <c r="R19" s="142">
        <v>0</v>
      </c>
      <c r="S19" s="142">
        <v>0</v>
      </c>
      <c r="T19" s="142">
        <v>0</v>
      </c>
      <c r="U19" s="142">
        <v>0</v>
      </c>
      <c r="V19" s="142">
        <v>0</v>
      </c>
      <c r="W19" s="142">
        <v>0</v>
      </c>
      <c r="X19" s="142">
        <v>0</v>
      </c>
      <c r="Y19" s="142">
        <v>0</v>
      </c>
      <c r="Z19" s="78">
        <v>0</v>
      </c>
      <c r="AA19" s="48">
        <v>0</v>
      </c>
    </row>
    <row r="20" spans="1:27" s="47" customFormat="1">
      <c r="A20" s="58" t="s">
        <v>41</v>
      </c>
      <c r="B20" s="141">
        <v>469816546.49000031</v>
      </c>
      <c r="C20" s="141">
        <v>2872295.93</v>
      </c>
      <c r="D20" s="141">
        <v>-477525442.35999995</v>
      </c>
      <c r="E20" s="150">
        <v>757005237.52999985</v>
      </c>
      <c r="F20" s="141">
        <v>-92302899.439999998</v>
      </c>
      <c r="G20" s="141">
        <v>10196933.730000041</v>
      </c>
      <c r="H20" s="141">
        <v>151396570.18000004</v>
      </c>
      <c r="I20" s="141">
        <v>0</v>
      </c>
      <c r="J20" s="141">
        <v>-110090177.39999999</v>
      </c>
      <c r="K20" s="250">
        <v>-1023492.77</v>
      </c>
      <c r="L20" s="141">
        <v>1156111.8900000001</v>
      </c>
      <c r="M20" s="141">
        <v>0</v>
      </c>
      <c r="N20" s="141">
        <v>-5648876.6699999999</v>
      </c>
      <c r="O20" s="141">
        <v>-25593201.500000004</v>
      </c>
      <c r="P20" s="141">
        <v>22538838.02</v>
      </c>
      <c r="Q20" s="141">
        <v>263665480.48000005</v>
      </c>
      <c r="R20" s="141">
        <v>0</v>
      </c>
      <c r="S20" s="141">
        <v>231504441.09</v>
      </c>
      <c r="T20" s="141">
        <v>35744241.399999999</v>
      </c>
      <c r="U20" s="141">
        <v>-3583202.01</v>
      </c>
      <c r="V20" s="141">
        <v>-5448648.2600000007</v>
      </c>
      <c r="W20" s="141">
        <v>-4485255.2799999993</v>
      </c>
      <c r="X20" s="141">
        <v>-963392.98</v>
      </c>
      <c r="Y20" s="141">
        <v>-11044242.380000001</v>
      </c>
      <c r="Z20" s="79">
        <v>-141006.76</v>
      </c>
      <c r="AA20" s="47">
        <v>0</v>
      </c>
    </row>
    <row r="21" spans="1:27" s="48" customFormat="1">
      <c r="A21" s="59" t="s">
        <v>42</v>
      </c>
      <c r="B21" s="142">
        <v>1257806.76</v>
      </c>
      <c r="C21" s="142">
        <v>0</v>
      </c>
      <c r="D21" s="142">
        <v>407987.40999999992</v>
      </c>
      <c r="E21" s="148">
        <v>103688.35</v>
      </c>
      <c r="F21" s="142">
        <v>0</v>
      </c>
      <c r="G21" s="142">
        <v>446131</v>
      </c>
      <c r="H21" s="142">
        <v>0</v>
      </c>
      <c r="I21" s="142">
        <v>0</v>
      </c>
      <c r="J21" s="142">
        <v>0</v>
      </c>
      <c r="K21" s="251">
        <v>0</v>
      </c>
      <c r="L21" s="142">
        <v>0</v>
      </c>
      <c r="M21" s="142">
        <v>0</v>
      </c>
      <c r="N21" s="142">
        <v>446131</v>
      </c>
      <c r="O21" s="142">
        <v>0</v>
      </c>
      <c r="P21" s="142">
        <v>0</v>
      </c>
      <c r="Q21" s="142">
        <v>300000</v>
      </c>
      <c r="R21" s="142">
        <v>0</v>
      </c>
      <c r="S21" s="142">
        <v>0</v>
      </c>
      <c r="T21" s="142">
        <v>300000</v>
      </c>
      <c r="U21" s="142">
        <v>0</v>
      </c>
      <c r="V21" s="142">
        <v>0</v>
      </c>
      <c r="W21" s="142">
        <v>0</v>
      </c>
      <c r="X21" s="142">
        <v>0</v>
      </c>
      <c r="Y21" s="142">
        <v>0</v>
      </c>
      <c r="Z21" s="78">
        <v>0</v>
      </c>
      <c r="AA21" s="48">
        <v>0</v>
      </c>
    </row>
    <row r="22" spans="1:27" s="48" customFormat="1">
      <c r="A22" s="59" t="s">
        <v>43</v>
      </c>
      <c r="B22" s="142">
        <v>1286760.95</v>
      </c>
      <c r="C22" s="142">
        <v>0</v>
      </c>
      <c r="D22" s="142">
        <v>208628.74000000017</v>
      </c>
      <c r="E22" s="148">
        <v>1021523.19</v>
      </c>
      <c r="F22" s="142">
        <v>775</v>
      </c>
      <c r="G22" s="142">
        <v>3348.4599999999996</v>
      </c>
      <c r="H22" s="142">
        <v>0</v>
      </c>
      <c r="I22" s="142">
        <v>0</v>
      </c>
      <c r="J22" s="142">
        <v>1398.46</v>
      </c>
      <c r="K22" s="251">
        <v>0</v>
      </c>
      <c r="L22" s="142">
        <v>1950</v>
      </c>
      <c r="M22" s="142">
        <v>0</v>
      </c>
      <c r="N22" s="142">
        <v>0</v>
      </c>
      <c r="O22" s="142">
        <v>0</v>
      </c>
      <c r="P22" s="142">
        <v>51338.74</v>
      </c>
      <c r="Q22" s="142">
        <v>1146.82</v>
      </c>
      <c r="R22" s="142">
        <v>0</v>
      </c>
      <c r="S22" s="142">
        <v>0</v>
      </c>
      <c r="T22" s="142">
        <v>0</v>
      </c>
      <c r="U22" s="142">
        <v>1146.82</v>
      </c>
      <c r="V22" s="142">
        <v>0</v>
      </c>
      <c r="W22" s="142">
        <v>0</v>
      </c>
      <c r="X22" s="142">
        <v>0</v>
      </c>
      <c r="Y22" s="142">
        <v>0</v>
      </c>
      <c r="Z22" s="78">
        <v>0</v>
      </c>
      <c r="AA22" s="48">
        <v>0</v>
      </c>
    </row>
    <row r="23" spans="1:27" s="47" customFormat="1">
      <c r="A23" s="58" t="s">
        <v>44</v>
      </c>
      <c r="B23" s="141">
        <v>469787592.30000031</v>
      </c>
      <c r="C23" s="141">
        <v>2872295.93</v>
      </c>
      <c r="D23" s="141">
        <v>-477326083.68999994</v>
      </c>
      <c r="E23" s="150">
        <v>756087402.68999982</v>
      </c>
      <c r="F23" s="141">
        <v>-92303674.439999998</v>
      </c>
      <c r="G23" s="141">
        <v>10639716.270000042</v>
      </c>
      <c r="H23" s="141">
        <v>151396570.18000004</v>
      </c>
      <c r="I23" s="141">
        <v>0</v>
      </c>
      <c r="J23" s="141">
        <v>-110091575.86</v>
      </c>
      <c r="K23" s="250">
        <v>-1023492.77</v>
      </c>
      <c r="L23" s="141">
        <v>1154161.8900000004</v>
      </c>
      <c r="M23" s="141">
        <v>0</v>
      </c>
      <c r="N23" s="141">
        <v>-5202745.669999999</v>
      </c>
      <c r="O23" s="141">
        <v>-25593201.500000004</v>
      </c>
      <c r="P23" s="141">
        <v>22487499.279999997</v>
      </c>
      <c r="Q23" s="141">
        <v>263964333.66000006</v>
      </c>
      <c r="R23" s="141">
        <v>0</v>
      </c>
      <c r="S23" s="141">
        <v>231504441.09</v>
      </c>
      <c r="T23" s="141">
        <v>36044241.399999999</v>
      </c>
      <c r="U23" s="141">
        <v>-3584348.83</v>
      </c>
      <c r="V23" s="141">
        <v>-5448648.2600000007</v>
      </c>
      <c r="W23" s="141">
        <v>-4485255.2799999993</v>
      </c>
      <c r="X23" s="141">
        <v>-963392.98</v>
      </c>
      <c r="Y23" s="141">
        <v>-11044242.380000001</v>
      </c>
      <c r="Z23" s="79">
        <v>-141006.76</v>
      </c>
      <c r="AA23" s="47">
        <v>0</v>
      </c>
    </row>
    <row r="24" spans="1:27" s="48" customFormat="1">
      <c r="A24" s="59" t="s">
        <v>45</v>
      </c>
      <c r="B24" s="142">
        <v>69417290.260000005</v>
      </c>
      <c r="C24" s="142">
        <v>0</v>
      </c>
      <c r="D24" s="142">
        <v>69417290.260000005</v>
      </c>
      <c r="E24" s="148">
        <v>0</v>
      </c>
      <c r="F24" s="142">
        <v>0</v>
      </c>
      <c r="G24" s="142">
        <v>0</v>
      </c>
      <c r="H24" s="142">
        <v>0</v>
      </c>
      <c r="I24" s="142">
        <v>0</v>
      </c>
      <c r="J24" s="142">
        <v>0</v>
      </c>
      <c r="K24" s="251">
        <v>0</v>
      </c>
      <c r="L24" s="142">
        <v>0</v>
      </c>
      <c r="M24" s="142">
        <v>0</v>
      </c>
      <c r="N24" s="142">
        <v>0</v>
      </c>
      <c r="O24" s="142">
        <v>0</v>
      </c>
      <c r="P24" s="142">
        <v>0</v>
      </c>
      <c r="Q24" s="142">
        <v>0</v>
      </c>
      <c r="R24" s="142">
        <v>0</v>
      </c>
      <c r="S24" s="142">
        <v>0</v>
      </c>
      <c r="T24" s="142">
        <v>0</v>
      </c>
      <c r="U24" s="142">
        <v>0</v>
      </c>
      <c r="V24" s="142">
        <v>0</v>
      </c>
      <c r="W24" s="142">
        <v>0</v>
      </c>
      <c r="X24" s="142">
        <v>0</v>
      </c>
      <c r="Y24" s="142">
        <v>0</v>
      </c>
      <c r="Z24" s="78">
        <v>0</v>
      </c>
      <c r="AA24" s="48">
        <v>0</v>
      </c>
    </row>
    <row r="25" spans="1:27" s="47" customFormat="1">
      <c r="A25" s="58" t="s">
        <v>46</v>
      </c>
      <c r="B25" s="141">
        <v>400370302.04000032</v>
      </c>
      <c r="C25" s="141">
        <v>2872295.93</v>
      </c>
      <c r="D25" s="141">
        <v>-546743373.94999993</v>
      </c>
      <c r="E25" s="150">
        <v>756087402.68999982</v>
      </c>
      <c r="F25" s="141">
        <v>-92303674.439999998</v>
      </c>
      <c r="G25" s="141">
        <v>10639716.270000042</v>
      </c>
      <c r="H25" s="141">
        <v>151396570.18000004</v>
      </c>
      <c r="I25" s="141">
        <v>0</v>
      </c>
      <c r="J25" s="141">
        <v>-110091575.86</v>
      </c>
      <c r="K25" s="250">
        <v>-1023492.77</v>
      </c>
      <c r="L25" s="141">
        <v>1154161.8900000004</v>
      </c>
      <c r="M25" s="141">
        <v>0</v>
      </c>
      <c r="N25" s="141">
        <v>-5202745.669999999</v>
      </c>
      <c r="O25" s="141">
        <v>-25593201.500000004</v>
      </c>
      <c r="P25" s="141">
        <v>22487499.279999997</v>
      </c>
      <c r="Q25" s="141">
        <v>263964333.66000006</v>
      </c>
      <c r="R25" s="141">
        <v>0</v>
      </c>
      <c r="S25" s="141">
        <v>231504441.09</v>
      </c>
      <c r="T25" s="141">
        <v>36044241.399999999</v>
      </c>
      <c r="U25" s="141">
        <v>-3584348.83</v>
      </c>
      <c r="V25" s="141">
        <v>-5448648.2600000007</v>
      </c>
      <c r="W25" s="141">
        <v>-4485255.2799999993</v>
      </c>
      <c r="X25" s="141">
        <v>-963392.98</v>
      </c>
      <c r="Y25" s="141">
        <v>-11044242.380000001</v>
      </c>
      <c r="Z25" s="79">
        <v>-141006.76</v>
      </c>
      <c r="AA25" s="47">
        <v>0</v>
      </c>
    </row>
    <row r="26" spans="1:27" s="47" customFormat="1">
      <c r="A26" s="60" t="s">
        <v>47</v>
      </c>
      <c r="B26" s="143">
        <v>-96242324.910000011</v>
      </c>
      <c r="C26" s="143">
        <v>0</v>
      </c>
      <c r="D26" s="143">
        <v>0</v>
      </c>
      <c r="E26" s="151">
        <v>-484631.42</v>
      </c>
      <c r="F26" s="143">
        <v>-55673491.770000003</v>
      </c>
      <c r="G26" s="143">
        <v>-40084201.720000006</v>
      </c>
      <c r="H26" s="143">
        <v>-24371224.550000001</v>
      </c>
      <c r="I26" s="143">
        <v>0</v>
      </c>
      <c r="J26" s="143">
        <v>-17788273.289999999</v>
      </c>
      <c r="K26" s="252">
        <v>0</v>
      </c>
      <c r="L26" s="143">
        <v>0</v>
      </c>
      <c r="M26" s="143">
        <v>0</v>
      </c>
      <c r="N26" s="143">
        <v>0</v>
      </c>
      <c r="O26" s="143">
        <v>2075296.12</v>
      </c>
      <c r="P26" s="143">
        <v>0</v>
      </c>
      <c r="Q26" s="143">
        <v>0</v>
      </c>
      <c r="R26" s="143">
        <v>0</v>
      </c>
      <c r="S26" s="143">
        <v>0</v>
      </c>
      <c r="T26" s="143">
        <v>0</v>
      </c>
      <c r="U26" s="143">
        <v>0</v>
      </c>
      <c r="V26" s="143">
        <v>0</v>
      </c>
      <c r="W26" s="143">
        <v>0</v>
      </c>
      <c r="X26" s="143">
        <v>0</v>
      </c>
      <c r="Y26" s="143">
        <v>0</v>
      </c>
      <c r="Z26" s="80">
        <v>0</v>
      </c>
      <c r="AA26" s="47">
        <v>0</v>
      </c>
    </row>
    <row r="27" spans="1:27" s="47" customFormat="1" ht="14.25" thickBot="1">
      <c r="A27" s="61" t="s">
        <v>48</v>
      </c>
      <c r="B27" s="144">
        <v>304127977.13000029</v>
      </c>
      <c r="C27" s="144">
        <v>2872295.93</v>
      </c>
      <c r="D27" s="144">
        <v>-546743373.94999993</v>
      </c>
      <c r="E27" s="152">
        <v>755602771.26999998</v>
      </c>
      <c r="F27" s="144">
        <v>-147977166.21000001</v>
      </c>
      <c r="G27" s="144">
        <v>-29444485.449999966</v>
      </c>
      <c r="H27" s="144">
        <v>127025345.63000003</v>
      </c>
      <c r="I27" s="144">
        <v>0</v>
      </c>
      <c r="J27" s="144">
        <v>-127879849.14999999</v>
      </c>
      <c r="K27" s="253">
        <v>-1023492.77</v>
      </c>
      <c r="L27" s="144">
        <v>1154161.8900000004</v>
      </c>
      <c r="M27" s="144">
        <v>0</v>
      </c>
      <c r="N27" s="144">
        <v>-5202745.669999999</v>
      </c>
      <c r="O27" s="144">
        <v>-23517905.380000006</v>
      </c>
      <c r="P27" s="144">
        <v>22487499.279999997</v>
      </c>
      <c r="Q27" s="144">
        <v>263964333.66000006</v>
      </c>
      <c r="R27" s="144">
        <v>0</v>
      </c>
      <c r="S27" s="144">
        <v>231504441.09</v>
      </c>
      <c r="T27" s="144">
        <v>36044241.399999999</v>
      </c>
      <c r="U27" s="144">
        <v>-3584348.83</v>
      </c>
      <c r="V27" s="144">
        <v>-5448648.2600000007</v>
      </c>
      <c r="W27" s="144">
        <v>-4485255.2799999993</v>
      </c>
      <c r="X27" s="144">
        <v>-963392.98</v>
      </c>
      <c r="Y27" s="144">
        <v>-11044242.380000001</v>
      </c>
      <c r="Z27" s="81">
        <v>-141006.76</v>
      </c>
      <c r="AA27" s="47">
        <v>0</v>
      </c>
    </row>
    <row r="28" spans="1:27" s="47" customFormat="1">
      <c r="B28" s="82"/>
      <c r="C28" s="82"/>
      <c r="D28" s="82"/>
      <c r="E28" s="82"/>
      <c r="F28" s="82"/>
      <c r="G28" s="82"/>
      <c r="H28" s="82">
        <v>3882140.97</v>
      </c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</row>
    <row r="29" spans="1:27" s="49" customFormat="1" ht="12">
      <c r="A29" s="49" t="s">
        <v>49</v>
      </c>
      <c r="B29" s="83">
        <f>B23-SUM(C23:G23)-P23-Q23-V23-Y23-Z23</f>
        <v>3.2433308660984039E-7</v>
      </c>
      <c r="C29" s="83">
        <f>C17-累计考核费用!D52</f>
        <v>0</v>
      </c>
      <c r="D29" s="83">
        <f>D17-累计考核费用!E52</f>
        <v>-0.21999996900558472</v>
      </c>
      <c r="E29" s="84">
        <v>10000</v>
      </c>
      <c r="F29" s="84"/>
      <c r="G29" s="84">
        <f>G26/0.75</f>
        <v>-53445602.293333344</v>
      </c>
      <c r="H29" s="84">
        <f>H26/0.75</f>
        <v>-32494966.066666666</v>
      </c>
      <c r="I29" s="84">
        <f>I26/0.75</f>
        <v>0</v>
      </c>
      <c r="J29" s="84">
        <f t="shared" ref="J29:O29" si="0">J26/0.75</f>
        <v>-23717697.719999999</v>
      </c>
      <c r="K29" s="84"/>
      <c r="L29" s="84">
        <f t="shared" si="0"/>
        <v>0</v>
      </c>
      <c r="M29" s="84">
        <f t="shared" si="0"/>
        <v>0</v>
      </c>
      <c r="N29" s="84">
        <f t="shared" si="0"/>
        <v>0</v>
      </c>
      <c r="O29" s="84">
        <f t="shared" si="0"/>
        <v>2767061.4933333336</v>
      </c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</row>
    <row r="30" spans="1:27" s="47" customFormat="1">
      <c r="A30" s="49"/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</row>
    <row r="31" spans="1:27" s="47" customFormat="1" ht="14.25" thickBot="1">
      <c r="A31" s="62" t="s">
        <v>50</v>
      </c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</row>
    <row r="32" spans="1:27" s="47" customFormat="1" ht="14.25" customHeight="1">
      <c r="A32" s="34" t="s">
        <v>3</v>
      </c>
      <c r="B32" s="34" t="str">
        <f>B3</f>
        <v>合计</v>
      </c>
      <c r="C32" s="34" t="str">
        <f t="shared" ref="C32:Y32" si="1">C3</f>
        <v>其他</v>
      </c>
      <c r="D32" s="34" t="str">
        <f t="shared" si="1"/>
        <v>总部中后台</v>
      </c>
      <c r="E32" s="34" t="str">
        <f t="shared" si="1"/>
        <v>经纪业务部</v>
      </c>
      <c r="F32" s="34" t="str">
        <f t="shared" si="1"/>
        <v>资产管理部</v>
      </c>
      <c r="G32" s="34" t="str">
        <f t="shared" si="1"/>
        <v>深分公司合计</v>
      </c>
      <c r="H32" s="40" t="str">
        <f t="shared" si="1"/>
        <v>固定收益部</v>
      </c>
      <c r="I32" s="40" t="str">
        <f>I3</f>
        <v>投顾业务部</v>
      </c>
      <c r="J32" s="40" t="str">
        <f t="shared" si="1"/>
        <v>证券投资部</v>
      </c>
      <c r="K32" s="40" t="str">
        <f>K3</f>
        <v>做市业务部</v>
      </c>
      <c r="L32" s="40" t="str">
        <f t="shared" si="1"/>
        <v>金融衍生品投资部</v>
      </c>
      <c r="M32" s="40" t="str">
        <f t="shared" si="1"/>
        <v>风险管理部</v>
      </c>
      <c r="N32" s="40" t="str">
        <f t="shared" si="1"/>
        <v>深圳管理部</v>
      </c>
      <c r="O32" s="40" t="str">
        <f t="shared" si="1"/>
        <v>金融工程部</v>
      </c>
      <c r="P32" s="34" t="str">
        <f t="shared" si="1"/>
        <v>中小企业融资部</v>
      </c>
      <c r="Q32" s="34" t="str">
        <f t="shared" si="1"/>
        <v>投资银行合计</v>
      </c>
      <c r="R32" s="40" t="str">
        <f t="shared" si="1"/>
        <v>财务顾问部</v>
      </c>
      <c r="S32" s="40" t="str">
        <f t="shared" si="1"/>
        <v>债券融资部</v>
      </c>
      <c r="T32" s="40" t="str">
        <f>T3</f>
        <v>股权融资部</v>
      </c>
      <c r="U32" s="40" t="str">
        <f t="shared" si="1"/>
        <v>投资银行总部</v>
      </c>
      <c r="V32" s="34" t="str">
        <f t="shared" si="1"/>
        <v>浙江分公司小计</v>
      </c>
      <c r="W32" s="40" t="str">
        <f t="shared" si="1"/>
        <v>浙分总部</v>
      </c>
      <c r="X32" s="40" t="str">
        <f t="shared" si="1"/>
        <v>综合业务部</v>
      </c>
      <c r="Y32" s="34" t="str">
        <f t="shared" si="1"/>
        <v>网络金融部</v>
      </c>
      <c r="Z32" s="34" t="str">
        <f t="shared" ref="Z32" si="2">Z3</f>
        <v>广东分公司</v>
      </c>
    </row>
    <row r="33" spans="1:26" s="50" customFormat="1">
      <c r="A33" s="63" t="s">
        <v>25</v>
      </c>
      <c r="B33" s="86">
        <f>B34+B38+B39+B41+B42+B43</f>
        <v>-128323099.93666668</v>
      </c>
      <c r="C33" s="86">
        <f t="shared" ref="C33:Y33" si="3">C34+C38+C39+C41+C42+C43</f>
        <v>-50853983.290000007</v>
      </c>
      <c r="D33" s="86">
        <f t="shared" si="3"/>
        <v>-957892.04788258299</v>
      </c>
      <c r="E33" s="86">
        <f t="shared" si="3"/>
        <v>36789368.24333334</v>
      </c>
      <c r="F33" s="86">
        <f t="shared" si="3"/>
        <v>-72890778.370000005</v>
      </c>
      <c r="G33" s="86">
        <f>G34+G38+G39+G41+G42+G43</f>
        <v>-45530114.203073397</v>
      </c>
      <c r="H33" s="86">
        <f t="shared" ref="H33:P33" si="4">H34+H38+H39+H41+H42+H43</f>
        <v>-7391693.1697903601</v>
      </c>
      <c r="I33" s="86">
        <f>I34+I38+I39+I41+I42+I43</f>
        <v>0</v>
      </c>
      <c r="J33" s="86">
        <f t="shared" si="4"/>
        <v>-42794777.866679266</v>
      </c>
      <c r="K33" s="86">
        <f t="shared" ref="K33" si="5">K34+K38+K39+K41+K42+K43</f>
        <v>0</v>
      </c>
      <c r="L33" s="86">
        <f t="shared" si="4"/>
        <v>182705.41999999998</v>
      </c>
      <c r="M33" s="86">
        <f t="shared" si="4"/>
        <v>0</v>
      </c>
      <c r="N33" s="86">
        <f t="shared" si="4"/>
        <v>0</v>
      </c>
      <c r="O33" s="86">
        <f t="shared" si="4"/>
        <v>4473651.4133962262</v>
      </c>
      <c r="P33" s="86">
        <f t="shared" si="4"/>
        <v>-1437587.5565283019</v>
      </c>
      <c r="Q33" s="86">
        <f t="shared" si="3"/>
        <v>5000396.7174842739</v>
      </c>
      <c r="R33" s="86">
        <f>R34+R38+R39+R41+R42+R43</f>
        <v>0</v>
      </c>
      <c r="S33" s="86">
        <f>S34+S38+S39+S41+S42+S43</f>
        <v>-1124528.29</v>
      </c>
      <c r="T33" s="86">
        <f>T34+T38+T39+T41+T42+T43</f>
        <v>1141612.6441509402</v>
      </c>
      <c r="U33" s="86">
        <f>U34+U38+U39+U41+U42+U43</f>
        <v>4983312.3633333333</v>
      </c>
      <c r="V33" s="86">
        <f t="shared" si="3"/>
        <v>1557490.57</v>
      </c>
      <c r="W33" s="86">
        <f t="shared" si="3"/>
        <v>0</v>
      </c>
      <c r="X33" s="86">
        <f t="shared" si="3"/>
        <v>1557490.57</v>
      </c>
      <c r="Y33" s="86">
        <f t="shared" si="3"/>
        <v>0</v>
      </c>
      <c r="Z33" s="86">
        <f t="shared" ref="Z33" si="6">Z34+Z38+Z39+Z41+Z42+Z43</f>
        <v>0</v>
      </c>
    </row>
    <row r="34" spans="1:26" s="50" customFormat="1">
      <c r="A34" s="64" t="s">
        <v>26</v>
      </c>
      <c r="B34" s="87">
        <f t="shared" ref="B34:B43" si="7">SUM(C34:G34)+P34+Q34+V34+Y34+Z34</f>
        <v>-2.3283064365386963E-10</v>
      </c>
      <c r="C34" s="87">
        <f>SUM(C35:C37)</f>
        <v>58500.870000000112</v>
      </c>
      <c r="D34" s="87">
        <f t="shared" ref="D34:H34" si="8">SUM(D35:D37)</f>
        <v>0</v>
      </c>
      <c r="E34" s="87">
        <f t="shared" si="8"/>
        <v>6343276.5899999999</v>
      </c>
      <c r="F34" s="87">
        <f t="shared" si="8"/>
        <v>-6257867.2000000002</v>
      </c>
      <c r="G34" s="87">
        <f>SUM(G35:G37)</f>
        <v>600000</v>
      </c>
      <c r="H34" s="87">
        <f t="shared" si="8"/>
        <v>0</v>
      </c>
      <c r="I34" s="87">
        <f t="shared" ref="I34:P34" si="9">SUM(I35:I37)</f>
        <v>0</v>
      </c>
      <c r="J34" s="87">
        <f t="shared" si="9"/>
        <v>600000</v>
      </c>
      <c r="K34" s="87">
        <f t="shared" si="9"/>
        <v>0</v>
      </c>
      <c r="L34" s="87">
        <f t="shared" si="9"/>
        <v>0</v>
      </c>
      <c r="M34" s="87">
        <f t="shared" si="9"/>
        <v>0</v>
      </c>
      <c r="N34" s="87">
        <f t="shared" si="9"/>
        <v>0</v>
      </c>
      <c r="O34" s="87">
        <f t="shared" si="9"/>
        <v>0</v>
      </c>
      <c r="P34" s="87">
        <f t="shared" si="9"/>
        <v>-1901400.83</v>
      </c>
      <c r="Q34" s="87">
        <f>SUM(R34:U34)</f>
        <v>0</v>
      </c>
      <c r="R34" s="87">
        <f>SUM(R35:R37)</f>
        <v>0</v>
      </c>
      <c r="S34" s="87">
        <f>SUM(S35:S37)</f>
        <v>-1124528.29</v>
      </c>
      <c r="T34" s="87">
        <f>SUM(T35:T37)</f>
        <v>-834339.62</v>
      </c>
      <c r="U34" s="87">
        <f>SUM(U35:U37)</f>
        <v>1958867.9100000001</v>
      </c>
      <c r="V34" s="87">
        <f>SUM(W34:X34)</f>
        <v>1157490.57</v>
      </c>
      <c r="W34" s="87">
        <f>SUM(W35:W37)</f>
        <v>0</v>
      </c>
      <c r="X34" s="87">
        <f>SUM(X35:X37)</f>
        <v>1157490.57</v>
      </c>
      <c r="Y34" s="87">
        <f>SUM(Y35:Y37)</f>
        <v>0</v>
      </c>
      <c r="Z34" s="87">
        <f>SUM(Z35:Z37)</f>
        <v>0</v>
      </c>
    </row>
    <row r="35" spans="1:26" s="100" customFormat="1">
      <c r="A35" s="65" t="s">
        <v>27</v>
      </c>
      <c r="B35" s="87">
        <f t="shared" si="7"/>
        <v>0</v>
      </c>
      <c r="C35" s="89">
        <f>SUMIFS(考核调整事项表!$C:$C,考核调整事项表!$B:$B,累计利润调整表!$A35,考核调整事项表!$D:$D,C$3)+SUMIFS(考核调整事项表!$E:$E,考核调整事项表!$B:$B,累计利润调整表!$A35,考核调整事项表!$F:$F,C$3)</f>
        <v>-824350.51</v>
      </c>
      <c r="D35" s="89">
        <f>SUMIFS(考核调整事项表!$C:$C,考核调整事项表!$B:$B,累计利润调整表!$A35,考核调整事项表!$D:$D,D$3)+SUMIFS(考核调整事项表!$E:$E,考核调整事项表!$B:$B,累计利润调整表!$A35,考核调整事项表!$F:$F,D$3)</f>
        <v>0</v>
      </c>
      <c r="E35" s="89">
        <f>SUMIFS(考核调整事项表!$C:$C,考核调整事项表!$B:$B,累计利润调整表!$A35,考核调整事项表!$D:$D,E$3)+SUMIFS(考核调整事项表!$E:$E,考核调整事项表!$B:$B,累计利润调整表!$A35,考核调整事项表!$F:$F,E$3)</f>
        <v>824350.51</v>
      </c>
      <c r="F35" s="89">
        <f>SUMIFS(考核调整事项表!$C:$C,考核调整事项表!$B:$B,累计利润调整表!$A35,考核调整事项表!$D:$D,F$3)+SUMIFS(考核调整事项表!$E:$E,考核调整事项表!$B:$B,累计利润调整表!$A35,考核调整事项表!$F:$F,F$3)</f>
        <v>0</v>
      </c>
      <c r="G35" s="87">
        <f t="shared" ref="G35:G43" si="10">SUM(H35:O35)</f>
        <v>0</v>
      </c>
      <c r="H35" s="89">
        <f>SUMIFS(考核调整事项表!$C:$C,考核调整事项表!$B:$B,累计利润调整表!$A35,考核调整事项表!$D:$D,H$3)+SUMIFS(考核调整事项表!$E:$E,考核调整事项表!$B:$B,累计利润调整表!$A35,考核调整事项表!$F:$F,H$3)</f>
        <v>0</v>
      </c>
      <c r="I35" s="89">
        <f>SUMIFS(考核调整事项表!$C:$C,考核调整事项表!$B:$B,累计利润调整表!$A35,考核调整事项表!$D:$D,I$3)+SUMIFS(考核调整事项表!$E:$E,考核调整事项表!$B:$B,累计利润调整表!$A35,考核调整事项表!$F:$F,I$3)</f>
        <v>0</v>
      </c>
      <c r="J35" s="89">
        <f>SUMIFS(考核调整事项表!$C:$C,考核调整事项表!$B:$B,累计利润调整表!$A35,考核调整事项表!$D:$D,J$3)+SUMIFS(考核调整事项表!$E:$E,考核调整事项表!$B:$B,累计利润调整表!$A35,考核调整事项表!$F:$F,J$3)</f>
        <v>0</v>
      </c>
      <c r="K35" s="89">
        <f>SUMIFS(考核调整事项表!$C:$C,考核调整事项表!$B:$B,累计利润调整表!$A35,考核调整事项表!$D:$D,K$3)+SUMIFS(考核调整事项表!$E:$E,考核调整事项表!$B:$B,累计利润调整表!$A35,考核调整事项表!$F:$F,K$3)</f>
        <v>0</v>
      </c>
      <c r="L35" s="89">
        <f>SUMIFS(考核调整事项表!$C:$C,考核调整事项表!$B:$B,累计利润调整表!$A35,考核调整事项表!$D:$D,L$3)+SUMIFS(考核调整事项表!$E:$E,考核调整事项表!$B:$B,累计利润调整表!$A35,考核调整事项表!$F:$F,L$3)</f>
        <v>0</v>
      </c>
      <c r="M35" s="89">
        <f>SUMIFS(考核调整事项表!$C:$C,考核调整事项表!$B:$B,累计利润调整表!$A35,考核调整事项表!$D:$D,M$3)+SUMIFS(考核调整事项表!$E:$E,考核调整事项表!$B:$B,累计利润调整表!$A35,考核调整事项表!$F:$F,M$3)</f>
        <v>0</v>
      </c>
      <c r="N35" s="89">
        <f>SUMIFS(考核调整事项表!$C:$C,考核调整事项表!$B:$B,累计利润调整表!$A35,考核调整事项表!$D:$D,N$3)+SUMIFS(考核调整事项表!$E:$E,考核调整事项表!$B:$B,累计利润调整表!$A35,考核调整事项表!$F:$F,N$3)</f>
        <v>0</v>
      </c>
      <c r="O35" s="89">
        <f>SUMIFS(考核调整事项表!$C:$C,考核调整事项表!$B:$B,累计利润调整表!$A35,考核调整事项表!$D:$D,O$3)+SUMIFS(考核调整事项表!$E:$E,考核调整事项表!$B:$B,累计利润调整表!$A35,考核调整事项表!$F:$F,O$3)</f>
        <v>0</v>
      </c>
      <c r="P35" s="89">
        <f>SUMIFS(考核调整事项表!$C:$C,考核调整事项表!$B:$B,累计利润调整表!$A35,考核调整事项表!$D:$D,P$3)+SUMIFS(考核调整事项表!$E:$E,考核调整事项表!$B:$B,累计利润调整表!$A35,考核调整事项表!$F:$F,P$3)</f>
        <v>0</v>
      </c>
      <c r="Q35" s="89">
        <f t="shared" ref="Q35:Q53" si="11">SUM(R35:U35)</f>
        <v>0</v>
      </c>
      <c r="R35" s="89">
        <f>SUMIFS(考核调整事项表!$C:$C,考核调整事项表!$B:$B,累计利润调整表!$A35,考核调整事项表!$D:$D,R$3)+SUMIFS(考核调整事项表!$E:$E,考核调整事项表!$B:$B,累计利润调整表!$A35,考核调整事项表!$F:$F,R$3)</f>
        <v>0</v>
      </c>
      <c r="S35" s="89">
        <f>SUMIFS(考核调整事项表!$C:$C,考核调整事项表!$B:$B,累计利润调整表!$A35,考核调整事项表!$D:$D,S$3)+SUMIFS(考核调整事项表!$E:$E,考核调整事项表!$B:$B,累计利润调整表!$A35,考核调整事项表!$F:$F,S$3)</f>
        <v>0</v>
      </c>
      <c r="T35" s="89">
        <f>SUMIFS(考核调整事项表!$C:$C,考核调整事项表!$B:$B,累计利润调整表!$A35,考核调整事项表!$D:$D,T$3)+SUMIFS(考核调整事项表!$E:$E,考核调整事项表!$B:$B,累计利润调整表!$A35,考核调整事项表!$F:$F,T$3)</f>
        <v>0</v>
      </c>
      <c r="U35" s="89">
        <f>SUMIFS(考核调整事项表!$C:$C,考核调整事项表!$B:$B,累计利润调整表!$A35,考核调整事项表!$D:$D,U$3)+SUMIFS(考核调整事项表!$E:$E,考核调整事项表!$B:$B,累计利润调整表!$A35,考核调整事项表!$F:$F,U$3)</f>
        <v>0</v>
      </c>
      <c r="V35" s="87">
        <f t="shared" ref="V35:V55" si="12">SUM(W35:X35)</f>
        <v>0</v>
      </c>
      <c r="W35" s="89">
        <f>SUMIFS(考核调整事项表!$C:$C,考核调整事项表!$B:$B,累计利润调整表!$A35,考核调整事项表!$D:$D,W$3)+SUMIFS(考核调整事项表!$E:$E,考核调整事项表!$B:$B,累计利润调整表!$A35,考核调整事项表!$F:$F,W$3)</f>
        <v>0</v>
      </c>
      <c r="X35" s="89">
        <f>SUMIFS(考核调整事项表!$C:$C,考核调整事项表!$B:$B,累计利润调整表!$A35,考核调整事项表!$D:$D,X$3)+SUMIFS(考核调整事项表!$E:$E,考核调整事项表!$B:$B,累计利润调整表!$A35,考核调整事项表!$F:$F,X$3)</f>
        <v>0</v>
      </c>
      <c r="Y35" s="89">
        <f>SUMIFS(考核调整事项表!$C:$C,考核调整事项表!$B:$B,累计利润调整表!$A35,考核调整事项表!$D:$D,Y$3)+SUMIFS(考核调整事项表!$E:$E,考核调整事项表!$B:$B,累计利润调整表!$A35,考核调整事项表!$F:$F,Y$3)</f>
        <v>0</v>
      </c>
      <c r="Z35" s="89">
        <f>SUMIFS(考核调整事项表!$C:$C,考核调整事项表!$B:$B,累计利润调整表!$A35,考核调整事项表!$D:$D,Z$3)+SUMIFS(考核调整事项表!$E:$E,考核调整事项表!$B:$B,累计利润调整表!$A35,考核调整事项表!$F:$F,Z$3)</f>
        <v>0</v>
      </c>
    </row>
    <row r="36" spans="1:26" s="100" customFormat="1">
      <c r="A36" s="65" t="s">
        <v>28</v>
      </c>
      <c r="B36" s="87">
        <f t="shared" si="7"/>
        <v>-2.3283064365386963E-10</v>
      </c>
      <c r="C36" s="89">
        <f>SUMIFS(考核调整事项表!$C:$C,考核调整事项表!$B:$B,累计利润调整表!$A36,考核调整事项表!$D:$D,C$3)+SUMIFS(考核调整事项表!$E:$E,考核调整事项表!$B:$B,累计利润调整表!$A36,考核调整事项表!$F:$F,C$3)</f>
        <v>-5073015.09</v>
      </c>
      <c r="D36" s="89">
        <f>SUMIFS(考核调整事项表!$C:$C,考核调整事项表!$B:$B,累计利润调整表!$A36,考核调整事项表!$D:$D,D$3)+SUMIFS(考核调整事项表!$E:$E,考核调整事项表!$B:$B,累计利润调整表!$A36,考核调整事项表!$F:$F,D$3)</f>
        <v>0</v>
      </c>
      <c r="E36" s="89">
        <f>SUMIFS(考核调整事项表!$C:$C,考核调整事项表!$B:$B,累计利润调整表!$A36,考核调整事项表!$D:$D,E$3)+SUMIFS(考核调整事项表!$E:$E,考核调整事项表!$B:$B,累计利润调整表!$A36,考核调整事项表!$F:$F,E$3)</f>
        <v>5216925.3499999996</v>
      </c>
      <c r="F36" s="89">
        <f>SUMIFS(考核调整事项表!$C:$C,考核调整事项表!$B:$B,累计利润调整表!$A36,考核调整事项表!$D:$D,F$3)+SUMIFS(考核调整事项表!$E:$E,考核调整事项表!$B:$B,累计利润调整表!$A36,考核调整事项表!$F:$F,F$3)</f>
        <v>0</v>
      </c>
      <c r="G36" s="87">
        <f t="shared" si="10"/>
        <v>600000</v>
      </c>
      <c r="H36" s="89">
        <f>SUMIFS(考核调整事项表!$C:$C,考核调整事项表!$B:$B,累计利润调整表!$A36,考核调整事项表!$D:$D,H$3)+SUMIFS(考核调整事项表!$E:$E,考核调整事项表!$B:$B,累计利润调整表!$A36,考核调整事项表!$F:$F,H$3)</f>
        <v>0</v>
      </c>
      <c r="I36" s="89">
        <f>SUMIFS(考核调整事项表!$C:$C,考核调整事项表!$B:$B,累计利润调整表!$A36,考核调整事项表!$D:$D,I$3)+SUMIFS(考核调整事项表!$E:$E,考核调整事项表!$B:$B,累计利润调整表!$A36,考核调整事项表!$F:$F,I$3)</f>
        <v>0</v>
      </c>
      <c r="J36" s="89">
        <f>SUMIFS(考核调整事项表!$C:$C,考核调整事项表!$B:$B,累计利润调整表!$A36,考核调整事项表!$D:$D,J$3)+SUMIFS(考核调整事项表!$E:$E,考核调整事项表!$B:$B,累计利润调整表!$A36,考核调整事项表!$F:$F,J$3)</f>
        <v>600000</v>
      </c>
      <c r="K36" s="89">
        <f>SUMIFS(考核调整事项表!$C:$C,考核调整事项表!$B:$B,累计利润调整表!$A36,考核调整事项表!$D:$D,K$3)+SUMIFS(考核调整事项表!$E:$E,考核调整事项表!$B:$B,累计利润调整表!$A36,考核调整事项表!$F:$F,K$3)</f>
        <v>0</v>
      </c>
      <c r="L36" s="89">
        <f>SUMIFS(考核调整事项表!$C:$C,考核调整事项表!$B:$B,累计利润调整表!$A36,考核调整事项表!$D:$D,L$3)+SUMIFS(考核调整事项表!$E:$E,考核调整事项表!$B:$B,累计利润调整表!$A36,考核调整事项表!$F:$F,L$3)</f>
        <v>0</v>
      </c>
      <c r="M36" s="89">
        <f>SUMIFS(考核调整事项表!$C:$C,考核调整事项表!$B:$B,累计利润调整表!$A36,考核调整事项表!$D:$D,M$3)+SUMIFS(考核调整事项表!$E:$E,考核调整事项表!$B:$B,累计利润调整表!$A36,考核调整事项表!$F:$F,M$3)</f>
        <v>0</v>
      </c>
      <c r="N36" s="89">
        <f>SUMIFS(考核调整事项表!$C:$C,考核调整事项表!$B:$B,累计利润调整表!$A36,考核调整事项表!$D:$D,N$3)+SUMIFS(考核调整事项表!$E:$E,考核调整事项表!$B:$B,累计利润调整表!$A36,考核调整事项表!$F:$F,N$3)</f>
        <v>0</v>
      </c>
      <c r="O36" s="89">
        <f>SUMIFS(考核调整事项表!$C:$C,考核调整事项表!$B:$B,累计利润调整表!$A36,考核调整事项表!$D:$D,O$3)+SUMIFS(考核调整事项表!$E:$E,考核调整事项表!$B:$B,累计利润调整表!$A36,考核调整事项表!$F:$F,O$3)</f>
        <v>0</v>
      </c>
      <c r="P36" s="89">
        <f>SUMIFS(考核调整事项表!$C:$C,考核调整事项表!$B:$B,累计利润调整表!$A36,考核调整事项表!$D:$D,P$3)+SUMIFS(考核调整事项表!$E:$E,考核调整事项表!$B:$B,累计利润调整表!$A36,考核调整事项表!$F:$F,P$3)</f>
        <v>-1901400.83</v>
      </c>
      <c r="Q36" s="89">
        <f t="shared" si="11"/>
        <v>0</v>
      </c>
      <c r="R36" s="89">
        <f>SUMIFS(考核调整事项表!$C:$C,考核调整事项表!$B:$B,累计利润调整表!$A36,考核调整事项表!$D:$D,R$3)+SUMIFS(考核调整事项表!$E:$E,考核调整事项表!$B:$B,累计利润调整表!$A36,考核调整事项表!$F:$F,R$3)</f>
        <v>0</v>
      </c>
      <c r="S36" s="89">
        <f>SUMIFS(考核调整事项表!$C:$C,考核调整事项表!$B:$B,累计利润调整表!$A36,考核调整事项表!$D:$D,S$3)+SUMIFS(考核调整事项表!$E:$E,考核调整事项表!$B:$B,累计利润调整表!$A36,考核调整事项表!$F:$F,S$3)</f>
        <v>-1124528.29</v>
      </c>
      <c r="T36" s="89">
        <f>SUMIFS(考核调整事项表!$C:$C,考核调整事项表!$B:$B,累计利润调整表!$A36,考核调整事项表!$D:$D,T$3)+SUMIFS(考核调整事项表!$E:$E,考核调整事项表!$B:$B,累计利润调整表!$A36,考核调整事项表!$F:$F,T$3)</f>
        <v>-834339.62</v>
      </c>
      <c r="U36" s="89">
        <f>SUMIFS(考核调整事项表!$C:$C,考核调整事项表!$B:$B,累计利润调整表!$A36,考核调整事项表!$D:$D,U$3)+SUMIFS(考核调整事项表!$E:$E,考核调整事项表!$B:$B,累计利润调整表!$A36,考核调整事项表!$F:$F,U$3)</f>
        <v>1958867.9100000001</v>
      </c>
      <c r="V36" s="87">
        <f t="shared" si="12"/>
        <v>1157490.57</v>
      </c>
      <c r="W36" s="89">
        <f>SUMIFS(考核调整事项表!$C:$C,考核调整事项表!$B:$B,累计利润调整表!$A36,考核调整事项表!$D:$D,W$3)+SUMIFS(考核调整事项表!$E:$E,考核调整事项表!$B:$B,累计利润调整表!$A36,考核调整事项表!$F:$F,W$3)</f>
        <v>0</v>
      </c>
      <c r="X36" s="89">
        <f>SUMIFS(考核调整事项表!$C:$C,考核调整事项表!$B:$B,累计利润调整表!$A36,考核调整事项表!$D:$D,X$3)+SUMIFS(考核调整事项表!$E:$E,考核调整事项表!$B:$B,累计利润调整表!$A36,考核调整事项表!$F:$F,X$3)</f>
        <v>1157490.57</v>
      </c>
      <c r="Y36" s="89">
        <f>SUMIFS(考核调整事项表!$C:$C,考核调整事项表!$B:$B,累计利润调整表!$A36,考核调整事项表!$D:$D,Y$3)+SUMIFS(考核调整事项表!$E:$E,考核调整事项表!$B:$B,累计利润调整表!$A36,考核调整事项表!$F:$F,Y$3)</f>
        <v>0</v>
      </c>
      <c r="Z36" s="89">
        <f>SUMIFS(考核调整事项表!$C:$C,考核调整事项表!$B:$B,累计利润调整表!$A36,考核调整事项表!$D:$D,Z$3)+SUMIFS(考核调整事项表!$E:$E,考核调整事项表!$B:$B,累计利润调整表!$A36,考核调整事项表!$F:$F,Z$3)</f>
        <v>0</v>
      </c>
    </row>
    <row r="37" spans="1:26" s="100" customFormat="1">
      <c r="A37" s="65" t="s">
        <v>29</v>
      </c>
      <c r="B37" s="87">
        <f t="shared" si="7"/>
        <v>-9.3132257461547852E-10</v>
      </c>
      <c r="C37" s="89">
        <f>SUMIFS(考核调整事项表!$C:$C,考核调整事项表!$B:$B,累计利润调整表!$A37,考核调整事项表!$D:$D,C$3)+SUMIFS(考核调整事项表!$E:$E,考核调整事项表!$B:$B,累计利润调整表!$A37,考核调整事项表!$F:$F,C$3)</f>
        <v>5955866.4699999997</v>
      </c>
      <c r="D37" s="89">
        <f>SUMIFS(考核调整事项表!$C:$C,考核调整事项表!$B:$B,累计利润调整表!$A37,考核调整事项表!$D:$D,D$3)+SUMIFS(考核调整事项表!$E:$E,考核调整事项表!$B:$B,累计利润调整表!$A37,考核调整事项表!$F:$F,D$3)</f>
        <v>0</v>
      </c>
      <c r="E37" s="89">
        <f>SUMIFS(考核调整事项表!$C:$C,考核调整事项表!$B:$B,累计利润调整表!$A37,考核调整事项表!$D:$D,E$3)+SUMIFS(考核调整事项表!$E:$E,考核调整事项表!$B:$B,累计利润调整表!$A37,考核调整事项表!$F:$F,E$3)</f>
        <v>302000.73</v>
      </c>
      <c r="F37" s="89">
        <f>SUMIFS(考核调整事项表!$C:$C,考核调整事项表!$B:$B,累计利润调整表!$A37,考核调整事项表!$D:$D,F$3)+SUMIFS(考核调整事项表!$E:$E,考核调整事项表!$B:$B,累计利润调整表!$A37,考核调整事项表!$F:$F,F$3)</f>
        <v>-6257867.2000000002</v>
      </c>
      <c r="G37" s="87">
        <f t="shared" si="10"/>
        <v>0</v>
      </c>
      <c r="H37" s="89">
        <f>SUMIFS(考核调整事项表!$C:$C,考核调整事项表!$B:$B,累计利润调整表!$A37,考核调整事项表!$D:$D,H$3)+SUMIFS(考核调整事项表!$E:$E,考核调整事项表!$B:$B,累计利润调整表!$A37,考核调整事项表!$F:$F,H$3)</f>
        <v>0</v>
      </c>
      <c r="I37" s="89">
        <f>SUMIFS(考核调整事项表!$C:$C,考核调整事项表!$B:$B,累计利润调整表!$A37,考核调整事项表!$D:$D,I$3)+SUMIFS(考核调整事项表!$E:$E,考核调整事项表!$B:$B,累计利润调整表!$A37,考核调整事项表!$F:$F,I$3)</f>
        <v>0</v>
      </c>
      <c r="J37" s="89">
        <f>SUMIFS(考核调整事项表!$C:$C,考核调整事项表!$B:$B,累计利润调整表!$A37,考核调整事项表!$D:$D,J$3)+SUMIFS(考核调整事项表!$E:$E,考核调整事项表!$B:$B,累计利润调整表!$A37,考核调整事项表!$F:$F,J$3)</f>
        <v>0</v>
      </c>
      <c r="K37" s="89">
        <f>SUMIFS(考核调整事项表!$C:$C,考核调整事项表!$B:$B,累计利润调整表!$A37,考核调整事项表!$D:$D,K$3)+SUMIFS(考核调整事项表!$E:$E,考核调整事项表!$B:$B,累计利润调整表!$A37,考核调整事项表!$F:$F,K$3)</f>
        <v>0</v>
      </c>
      <c r="L37" s="89">
        <f>SUMIFS(考核调整事项表!$C:$C,考核调整事项表!$B:$B,累计利润调整表!$A37,考核调整事项表!$D:$D,L$3)+SUMIFS(考核调整事项表!$E:$E,考核调整事项表!$B:$B,累计利润调整表!$A37,考核调整事项表!$F:$F,L$3)</f>
        <v>0</v>
      </c>
      <c r="M37" s="89">
        <f>SUMIFS(考核调整事项表!$C:$C,考核调整事项表!$B:$B,累计利润调整表!$A37,考核调整事项表!$D:$D,M$3)+SUMIFS(考核调整事项表!$E:$E,考核调整事项表!$B:$B,累计利润调整表!$A37,考核调整事项表!$F:$F,M$3)</f>
        <v>0</v>
      </c>
      <c r="N37" s="89">
        <f>SUMIFS(考核调整事项表!$C:$C,考核调整事项表!$B:$B,累计利润调整表!$A37,考核调整事项表!$D:$D,N$3)+SUMIFS(考核调整事项表!$E:$E,考核调整事项表!$B:$B,累计利润调整表!$A37,考核调整事项表!$F:$F,N$3)</f>
        <v>0</v>
      </c>
      <c r="O37" s="89">
        <f>SUMIFS(考核调整事项表!$C:$C,考核调整事项表!$B:$B,累计利润调整表!$A37,考核调整事项表!$D:$D,O$3)+SUMIFS(考核调整事项表!$E:$E,考核调整事项表!$B:$B,累计利润调整表!$A37,考核调整事项表!$F:$F,O$3)</f>
        <v>0</v>
      </c>
      <c r="P37" s="89">
        <f>SUMIFS(考核调整事项表!$C:$C,考核调整事项表!$B:$B,累计利润调整表!$A37,考核调整事项表!$D:$D,P$3)+SUMIFS(考核调整事项表!$E:$E,考核调整事项表!$B:$B,累计利润调整表!$A37,考核调整事项表!$F:$F,P$3)</f>
        <v>0</v>
      </c>
      <c r="Q37" s="89">
        <f t="shared" si="11"/>
        <v>0</v>
      </c>
      <c r="R37" s="89">
        <f>SUMIFS(考核调整事项表!$C:$C,考核调整事项表!$B:$B,累计利润调整表!$A37,考核调整事项表!$D:$D,R$3)+SUMIFS(考核调整事项表!$E:$E,考核调整事项表!$B:$B,累计利润调整表!$A37,考核调整事项表!$F:$F,R$3)</f>
        <v>0</v>
      </c>
      <c r="S37" s="89">
        <f>SUMIFS(考核调整事项表!$C:$C,考核调整事项表!$B:$B,累计利润调整表!$A37,考核调整事项表!$D:$D,S$3)+SUMIFS(考核调整事项表!$E:$E,考核调整事项表!$B:$B,累计利润调整表!$A37,考核调整事项表!$F:$F,S$3)</f>
        <v>0</v>
      </c>
      <c r="T37" s="89">
        <f>SUMIFS(考核调整事项表!$C:$C,考核调整事项表!$B:$B,累计利润调整表!$A37,考核调整事项表!$D:$D,T$3)+SUMIFS(考核调整事项表!$E:$E,考核调整事项表!$B:$B,累计利润调整表!$A37,考核调整事项表!$F:$F,T$3)</f>
        <v>0</v>
      </c>
      <c r="U37" s="89">
        <f>SUMIFS(考核调整事项表!$C:$C,考核调整事项表!$B:$B,累计利润调整表!$A37,考核调整事项表!$D:$D,U$3)+SUMIFS(考核调整事项表!$E:$E,考核调整事项表!$B:$B,累计利润调整表!$A37,考核调整事项表!$F:$F,U$3)</f>
        <v>0</v>
      </c>
      <c r="V37" s="87">
        <f t="shared" si="12"/>
        <v>0</v>
      </c>
      <c r="W37" s="89">
        <f>SUMIFS(考核调整事项表!$C:$C,考核调整事项表!$B:$B,累计利润调整表!$A37,考核调整事项表!$D:$D,W$3)+SUMIFS(考核调整事项表!$E:$E,考核调整事项表!$B:$B,累计利润调整表!$A37,考核调整事项表!$F:$F,W$3)</f>
        <v>0</v>
      </c>
      <c r="X37" s="89">
        <f>SUMIFS(考核调整事项表!$C:$C,考核调整事项表!$B:$B,累计利润调整表!$A37,考核调整事项表!$D:$D,X$3)+SUMIFS(考核调整事项表!$E:$E,考核调整事项表!$B:$B,累计利润调整表!$A37,考核调整事项表!$F:$F,X$3)</f>
        <v>0</v>
      </c>
      <c r="Y37" s="89">
        <f>SUMIFS(考核调整事项表!$C:$C,考核调整事项表!$B:$B,累计利润调整表!$A37,考核调整事项表!$D:$D,Y$3)+SUMIFS(考核调整事项表!$E:$E,考核调整事项表!$B:$B,累计利润调整表!$A37,考核调整事项表!$F:$F,Y$3)</f>
        <v>0</v>
      </c>
      <c r="Z37" s="89">
        <f>SUMIFS(考核调整事项表!$C:$C,考核调整事项表!$B:$B,累计利润调整表!$A37,考核调整事项表!$D:$D,Z$3)+SUMIFS(考核调整事项表!$E:$E,考核调整事项表!$B:$B,累计利润调整表!$A37,考核调整事项表!$F:$F,Z$3)</f>
        <v>0</v>
      </c>
    </row>
    <row r="38" spans="1:26" s="50" customFormat="1">
      <c r="A38" s="64" t="s">
        <v>30</v>
      </c>
      <c r="B38" s="87">
        <f t="shared" si="7"/>
        <v>5.1222741603851318E-9</v>
      </c>
      <c r="C38" s="87">
        <f>SUMIFS(考核调整事项表!$C:$C,考核调整事项表!$B:$B,累计利润调整表!$A38,考核调整事项表!$D:$D,C$3)+SUMIFS(考核调整事项表!$E:$E,考核调整事项表!$B:$B,累计利润调整表!$A38,考核调整事项表!$F:$F,C$3)</f>
        <v>-10984424.310000001</v>
      </c>
      <c r="D38" s="87">
        <f>SUMIFS(考核调整事项表!$C:$C,考核调整事项表!$B:$B,累计利润调整表!$A38,考核调整事项表!$D:$D,D$3)+SUMIFS(考核调整事项表!$E:$E,考核调整事项表!$B:$B,累计利润调整表!$A38,考核调整事项表!$F:$F,D$3)</f>
        <v>-14312704.253333334</v>
      </c>
      <c r="E38" s="87">
        <f>SUMIFS(考核调整事项表!$C:$C,考核调整事项表!$B:$B,累计利润调整表!$A38,考核调整事项表!$D:$D,E$3)+SUMIFS(考核调整事项表!$E:$E,考核调整事项表!$B:$B,累计利润调整表!$A38,考核调整事项表!$F:$F,E$3)</f>
        <v>26979615.500000004</v>
      </c>
      <c r="F38" s="87">
        <f>SUMIFS(考核调整事项表!$C:$C,考核调整事项表!$B:$B,累计利润调整表!$A38,考核调整事项表!$D:$D,F$3)+SUMIFS(考核调整事项表!$E:$E,考核调整事项表!$B:$B,累计利润调整表!$A38,考核调整事项表!$F:$F,F$3)</f>
        <v>0</v>
      </c>
      <c r="G38" s="87">
        <f t="shared" si="10"/>
        <v>-4706931.3899999997</v>
      </c>
      <c r="H38" s="87">
        <f>SUMIFS(考核调整事项表!$C:$C,考核调整事项表!$B:$B,累计利润调整表!$A38,考核调整事项表!$D:$D,H$3)+SUMIFS(考核调整事项表!$E:$E,考核调整事项表!$B:$B,累计利润调整表!$A38,考核调整事项表!$F:$F,H$3)</f>
        <v>278914.06</v>
      </c>
      <c r="I38" s="87">
        <f>SUMIFS(考核调整事项表!$C:$C,考核调整事项表!$B:$B,累计利润调整表!$A38,考核调整事项表!$D:$D,I$3)+SUMIFS(考核调整事项表!$E:$E,考核调整事项表!$B:$B,累计利润调整表!$A38,考核调整事项表!$F:$F,I$3)</f>
        <v>0</v>
      </c>
      <c r="J38" s="87">
        <f>SUMIFS(考核调整事项表!$C:$C,考核调整事项表!$B:$B,累计利润调整表!$A38,考核调整事项表!$D:$D,J$3)+SUMIFS(考核调整事项表!$E:$E,考核调整事项表!$B:$B,累计利润调整表!$A38,考核调整事项表!$F:$F,J$3)</f>
        <v>-4346734.84</v>
      </c>
      <c r="K38" s="87">
        <f>SUMIFS(考核调整事项表!$C:$C,考核调整事项表!$B:$B,累计利润调整表!$A38,考核调整事项表!$D:$D,K$3)+SUMIFS(考核调整事项表!$E:$E,考核调整事项表!$B:$B,累计利润调整表!$A38,考核调整事项表!$F:$F,K$3)</f>
        <v>0</v>
      </c>
      <c r="L38" s="87">
        <f>SUMIFS(考核调整事项表!$C:$C,考核调整事项表!$B:$B,累计利润调整表!$A38,考核调整事项表!$D:$D,L$3)+SUMIFS(考核调整事项表!$E:$E,考核调整事项表!$B:$B,累计利润调整表!$A38,考核调整事项表!$F:$F,L$3)</f>
        <v>-342747.81</v>
      </c>
      <c r="M38" s="87">
        <f>SUMIFS(考核调整事项表!$C:$C,考核调整事项表!$B:$B,累计利润调整表!$A38,考核调整事项表!$D:$D,M$3)+SUMIFS(考核调整事项表!$E:$E,考核调整事项表!$B:$B,累计利润调整表!$A38,考核调整事项表!$F:$F,M$3)</f>
        <v>0</v>
      </c>
      <c r="N38" s="87">
        <f>SUMIFS(考核调整事项表!$C:$C,考核调整事项表!$B:$B,累计利润调整表!$A38,考核调整事项表!$D:$D,N$3)+SUMIFS(考核调整事项表!$E:$E,考核调整事项表!$B:$B,累计利润调整表!$A38,考核调整事项表!$F:$F,N$3)</f>
        <v>0</v>
      </c>
      <c r="O38" s="87">
        <f>SUMIFS(考核调整事项表!$C:$C,考核调整事项表!$B:$B,累计利润调整表!$A38,考核调整事项表!$D:$D,O$3)+SUMIFS(考核调整事项表!$E:$E,考核调整事项表!$B:$B,累计利润调整表!$A38,考核调整事项表!$F:$F,O$3)</f>
        <v>-296362.80000000016</v>
      </c>
      <c r="P38" s="87">
        <f>SUMIFS(考核调整事项表!$C:$C,考核调整事项表!$B:$B,累计利润调整表!$A38,考核调整事项表!$D:$D,P$3)+SUMIFS(考核调整事项表!$E:$E,考核调整事项表!$B:$B,累计利润调整表!$A38,考核调整事项表!$F:$F,P$3)</f>
        <v>0</v>
      </c>
      <c r="Q38" s="87">
        <f t="shared" si="11"/>
        <v>3024444.4533333336</v>
      </c>
      <c r="R38" s="87">
        <f>SUMIFS(考核调整事项表!$C:$C,考核调整事项表!$B:$B,累计利润调整表!$A38,考核调整事项表!$D:$D,R$3)+SUMIFS(考核调整事项表!$E:$E,考核调整事项表!$B:$B,累计利润调整表!$A38,考核调整事项表!$F:$F,R$3)</f>
        <v>0</v>
      </c>
      <c r="S38" s="87">
        <f>SUMIFS(考核调整事项表!$C:$C,考核调整事项表!$B:$B,累计利润调整表!$A38,考核调整事项表!$D:$D,S$3)+SUMIFS(考核调整事项表!$E:$E,考核调整事项表!$B:$B,累计利润调整表!$A38,考核调整事项表!$F:$F,S$3)</f>
        <v>0</v>
      </c>
      <c r="T38" s="87">
        <f>SUMIFS(考核调整事项表!$C:$C,考核调整事项表!$B:$B,累计利润调整表!$A38,考核调整事项表!$D:$D,T$3)+SUMIFS(考核调整事项表!$E:$E,考核调整事项表!$B:$B,累计利润调整表!$A38,考核调整事项表!$F:$F,T$3)</f>
        <v>0</v>
      </c>
      <c r="U38" s="87">
        <f>SUMIFS(考核调整事项表!$C:$C,考核调整事项表!$B:$B,累计利润调整表!$A38,考核调整事项表!$D:$D,U$3)+SUMIFS(考核调整事项表!$E:$E,考核调整事项表!$B:$B,累计利润调整表!$A38,考核调整事项表!$F:$F,U$3)</f>
        <v>3024444.4533333336</v>
      </c>
      <c r="V38" s="87">
        <f t="shared" si="12"/>
        <v>0</v>
      </c>
      <c r="W38" s="87">
        <f>SUMIFS(考核调整事项表!$C:$C,考核调整事项表!$B:$B,累计利润调整表!$A38,考核调整事项表!$D:$D,W$3)+SUMIFS(考核调整事项表!$E:$E,考核调整事项表!$B:$B,累计利润调整表!$A38,考核调整事项表!$F:$F,W$3)</f>
        <v>0</v>
      </c>
      <c r="X38" s="87">
        <f>SUMIFS(考核调整事项表!$C:$C,考核调整事项表!$B:$B,累计利润调整表!$A38,考核调整事项表!$D:$D,X$3)+SUMIFS(考核调整事项表!$E:$E,考核调整事项表!$B:$B,累计利润调整表!$A38,考核调整事项表!$F:$F,X$3)</f>
        <v>0</v>
      </c>
      <c r="Y38" s="87">
        <f>SUMIFS(考核调整事项表!$C:$C,考核调整事项表!$B:$B,累计利润调整表!$A38,考核调整事项表!$D:$D,Y$3)+SUMIFS(考核调整事项表!$E:$E,考核调整事项表!$B:$B,累计利润调整表!$A38,考核调整事项表!$F:$F,Y$3)</f>
        <v>0</v>
      </c>
      <c r="Z38" s="87">
        <f>SUMIFS(考核调整事项表!$C:$C,考核调整事项表!$B:$B,累计利润调整表!$A38,考核调整事项表!$D:$D,Z$3)+SUMIFS(考核调整事项表!$E:$E,考核调整事项表!$B:$B,累计利润调整表!$A38,考核调整事项表!$F:$F,Z$3)</f>
        <v>0</v>
      </c>
    </row>
    <row r="39" spans="1:26" s="50" customFormat="1">
      <c r="A39" s="64" t="s">
        <v>31</v>
      </c>
      <c r="B39" s="87">
        <f t="shared" si="7"/>
        <v>-3.9581209421157837E-9</v>
      </c>
      <c r="C39" s="87">
        <f>SUMIFS(考核调整事项表!$C:$C,考核调整事项表!$B:$B,累计利润调整表!$A39,考核调整事项表!$D:$D,C$3)+SUMIFS(考核调整事项表!$E:$E,考核调整事项表!$B:$B,累计利润调整表!$A39,考核调整事项表!$F:$F,C$3)</f>
        <v>-6787932.1799999997</v>
      </c>
      <c r="D39" s="87">
        <f>SUMIFS(考核调整事项表!$C:$C,考核调整事项表!$B:$B,累计利润调整表!$A39,考核调整事项表!$D:$D,D$3)+SUMIFS(考核调整事项表!$E:$E,考核调整事项表!$B:$B,累计利润调整表!$A39,考核调整事项表!$F:$F,D$3)</f>
        <v>13354812.205450751</v>
      </c>
      <c r="E39" s="87">
        <f>SUMIFS(考核调整事项表!$C:$C,考核调整事项表!$B:$B,累计利润调整表!$A39,考核调整事项表!$D:$D,E$3)+SUMIFS(考核调整事项表!$E:$E,考核调整事项表!$B:$B,累计利润调整表!$A39,考核调整事项表!$F:$F,E$3)</f>
        <v>2915714.54</v>
      </c>
      <c r="F39" s="153">
        <f>SUMIFS(考核调整事项表!$C:$C,考核调整事项表!$B:$B,累计利润调整表!$A39,考核调整事项表!$D:$D,F$3)+SUMIFS(考核调整事项表!$E:$E,考核调整事项表!$B:$B,累计利润调整表!$A39,考核调整事项表!$F:$F,F$3)</f>
        <v>5547236.7399999993</v>
      </c>
      <c r="G39" s="87">
        <f t="shared" si="10"/>
        <v>-16954871.845073391</v>
      </c>
      <c r="H39" s="87">
        <f>SUMIFS(考核调整事项表!$C:$C,考核调整事项表!$B:$B,累计利润调整表!$A39,考核调整事项表!$D:$D,H$3)+SUMIFS(考核调整事项表!$E:$E,考核调整事项表!$B:$B,累计利润调整表!$A39,考核调整事项表!$F:$F,H$3)</f>
        <v>-6737723.0197903626</v>
      </c>
      <c r="I39" s="87">
        <f>SUMIFS(考核调整事项表!$C:$C,考核调整事项表!$B:$B,累计利润调整表!$A39,考核调整事项表!$D:$D,I$3)+SUMIFS(考核调整事项表!$E:$E,考核调整事项表!$B:$B,累计利润调整表!$A39,考核调整事项表!$F:$F,I$3)</f>
        <v>0</v>
      </c>
      <c r="J39" s="87">
        <f>SUMIFS(考核调整事项表!$C:$C,考核调整事项表!$B:$B,累计利润调整表!$A39,考核调整事项表!$D:$D,J$3)+SUMIFS(考核调整事项表!$E:$E,考核调整事项表!$B:$B,累计利润调整表!$A39,考核调整事项表!$F:$F,J$3)</f>
        <v>-7822089.5586792519</v>
      </c>
      <c r="K39" s="87">
        <f>SUMIFS(考核调整事项表!$C:$C,考核调整事项表!$B:$B,累计利润调整表!$A39,考核调整事项表!$D:$D,K$3)+SUMIFS(考核调整事项表!$E:$E,考核调整事项表!$B:$B,累计利润调整表!$A39,考核调整事项表!$F:$F,K$3)</f>
        <v>0</v>
      </c>
      <c r="L39" s="87">
        <f>SUMIFS(考核调整事项表!$C:$C,考核调整事项表!$B:$B,累计利润调整表!$A39,考核调整事项表!$D:$D,L$3)+SUMIFS(考核调整事项表!$E:$E,考核调整事项表!$B:$B,累计利润调整表!$A39,考核调整事项表!$F:$F,L$3)</f>
        <v>0</v>
      </c>
      <c r="M39" s="87">
        <f>SUMIFS(考核调整事项表!$C:$C,考核调整事项表!$B:$B,累计利润调整表!$A39,考核调整事项表!$D:$D,M$3)+SUMIFS(考核调整事项表!$E:$E,考核调整事项表!$B:$B,累计利润调整表!$A39,考核调整事项表!$F:$F,M$3)</f>
        <v>0</v>
      </c>
      <c r="N39" s="87">
        <f>SUMIFS(考核调整事项表!$C:$C,考核调整事项表!$B:$B,累计利润调整表!$A39,考核调整事项表!$D:$D,N$3)+SUMIFS(考核调整事项表!$E:$E,考核调整事项表!$B:$B,累计利润调整表!$A39,考核调整事项表!$F:$F,N$3)</f>
        <v>0</v>
      </c>
      <c r="O39" s="87">
        <f>SUMIFS(考核调整事项表!$C:$C,考核调整事项表!$B:$B,累计利润调整表!$A39,考核调整事项表!$D:$D,O$3)+SUMIFS(考核调整事项表!$E:$E,考核调整事项表!$B:$B,累计利润调整表!$A39,考核调整事项表!$F:$F,O$3)</f>
        <v>-2395059.2666037739</v>
      </c>
      <c r="P39" s="87">
        <f>SUMIFS(考核调整事项表!$C:$C,考核调整事项表!$B:$B,累计利润调整表!$A39,考核调整事项表!$D:$D,P$3)+SUMIFS(考核调整事项表!$E:$E,考核调整事项表!$B:$B,累计利润调整表!$A39,考核调整事项表!$F:$F,P$3)</f>
        <v>-50911.7245283019</v>
      </c>
      <c r="Q39" s="87">
        <f t="shared" si="11"/>
        <v>1975952.2641509401</v>
      </c>
      <c r="R39" s="87">
        <f>SUMIFS(考核调整事项表!$C:$C,考核调整事项表!$B:$B,累计利润调整表!$A39,考核调整事项表!$D:$D,R$3)+SUMIFS(考核调整事项表!$E:$E,考核调整事项表!$B:$B,累计利润调整表!$A39,考核调整事项表!$F:$F,R$3)</f>
        <v>0</v>
      </c>
      <c r="S39" s="87">
        <f>SUMIFS(考核调整事项表!$C:$C,考核调整事项表!$B:$B,累计利润调整表!$A39,考核调整事项表!$D:$D,S$3)+SUMIFS(考核调整事项表!$E:$E,考核调整事项表!$B:$B,累计利润调整表!$A39,考核调整事项表!$F:$F,S$3)</f>
        <v>0</v>
      </c>
      <c r="T39" s="87">
        <f>SUMIFS(考核调整事项表!$C:$C,考核调整事项表!$B:$B,累计利润调整表!$A39,考核调整事项表!$D:$D,T$3)+SUMIFS(考核调整事项表!$E:$E,考核调整事项表!$B:$B,累计利润调整表!$A39,考核调整事项表!$F:$F,T$3)</f>
        <v>1975952.2641509401</v>
      </c>
      <c r="U39" s="87">
        <f>SUMIFS(考核调整事项表!$C:$C,考核调整事项表!$B:$B,累计利润调整表!$A39,考核调整事项表!$D:$D,U$3)+SUMIFS(考核调整事项表!$E:$E,考核调整事项表!$B:$B,累计利润调整表!$A39,考核调整事项表!$F:$F,U$3)</f>
        <v>0</v>
      </c>
      <c r="V39" s="87">
        <f t="shared" si="12"/>
        <v>0</v>
      </c>
      <c r="W39" s="87">
        <f>SUMIFS(考核调整事项表!$C:$C,考核调整事项表!$B:$B,累计利润调整表!$A39,考核调整事项表!$D:$D,W$3)+SUMIFS(考核调整事项表!$E:$E,考核调整事项表!$B:$B,累计利润调整表!$A39,考核调整事项表!$F:$F,W$3)</f>
        <v>0</v>
      </c>
      <c r="X39" s="87">
        <f>SUMIFS(考核调整事项表!$C:$C,考核调整事项表!$B:$B,累计利润调整表!$A39,考核调整事项表!$D:$D,X$3)+SUMIFS(考核调整事项表!$E:$E,考核调整事项表!$B:$B,累计利润调整表!$A39,考核调整事项表!$F:$F,X$3)</f>
        <v>0</v>
      </c>
      <c r="Y39" s="87">
        <f>SUMIFS(考核调整事项表!$C:$C,考核调整事项表!$B:$B,累计利润调整表!$A39,考核调整事项表!$D:$D,Y$3)+SUMIFS(考核调整事项表!$E:$E,考核调整事项表!$B:$B,累计利润调整表!$A39,考核调整事项表!$F:$F,Y$3)</f>
        <v>0</v>
      </c>
      <c r="Z39" s="87">
        <f>SUMIFS(考核调整事项表!$C:$C,考核调整事项表!$B:$B,累计利润调整表!$A39,考核调整事项表!$D:$D,Z$3)+SUMIFS(考核调整事项表!$E:$E,考核调整事项表!$B:$B,累计利润调整表!$A39,考核调整事项表!$F:$F,Z$3)</f>
        <v>0</v>
      </c>
    </row>
    <row r="40" spans="1:26" s="50" customFormat="1">
      <c r="A40" s="64" t="s">
        <v>32</v>
      </c>
      <c r="B40" s="87">
        <f t="shared" si="7"/>
        <v>0</v>
      </c>
      <c r="C40" s="87">
        <f>SUMIFS(考核调整事项表!$C:$C,考核调整事项表!$B:$B,累计利润调整表!$A40,考核调整事项表!$D:$D,C$3)+SUMIFS(考核调整事项表!$E:$E,考核调整事项表!$B:$B,累计利润调整表!$A40,考核调整事项表!$F:$F,C$3)</f>
        <v>0</v>
      </c>
      <c r="D40" s="87">
        <f>SUMIFS(考核调整事项表!$C:$C,考核调整事项表!$B:$B,累计利润调整表!$A40,考核调整事项表!$D:$D,D$3)+SUMIFS(考核调整事项表!$E:$E,考核调整事项表!$B:$B,累计利润调整表!$A40,考核调整事项表!$F:$F,D$3)</f>
        <v>0</v>
      </c>
      <c r="E40" s="87">
        <f>SUMIFS(考核调整事项表!$C:$C,考核调整事项表!$B:$B,累计利润调整表!$A40,考核调整事项表!$D:$D,E$3)+SUMIFS(考核调整事项表!$E:$E,考核调整事项表!$B:$B,累计利润调整表!$A40,考核调整事项表!$F:$F,E$3)</f>
        <v>0</v>
      </c>
      <c r="F40" s="87">
        <f>SUMIFS(考核调整事项表!$C:$C,考核调整事项表!$B:$B,累计利润调整表!$A40,考核调整事项表!$D:$D,F$3)+SUMIFS(考核调整事项表!$E:$E,考核调整事项表!$B:$B,累计利润调整表!$A40,考核调整事项表!$F:$F,F$3)</f>
        <v>0</v>
      </c>
      <c r="G40" s="87">
        <f t="shared" si="10"/>
        <v>0</v>
      </c>
      <c r="H40" s="87">
        <f>SUMIFS(考核调整事项表!$C:$C,考核调整事项表!$B:$B,累计利润调整表!$A40,考核调整事项表!$D:$D,H$3)+SUMIFS(考核调整事项表!$E:$E,考核调整事项表!$B:$B,累计利润调整表!$A40,考核调整事项表!$F:$F,H$3)</f>
        <v>0</v>
      </c>
      <c r="I40" s="87">
        <f>SUMIFS(考核调整事项表!$C:$C,考核调整事项表!$B:$B,累计利润调整表!$A40,考核调整事项表!$D:$D,I$3)+SUMIFS(考核调整事项表!$E:$E,考核调整事项表!$B:$B,累计利润调整表!$A40,考核调整事项表!$F:$F,I$3)</f>
        <v>0</v>
      </c>
      <c r="J40" s="87">
        <f>SUMIFS(考核调整事项表!$C:$C,考核调整事项表!$B:$B,累计利润调整表!$A40,考核调整事项表!$D:$D,J$3)+SUMIFS(考核调整事项表!$E:$E,考核调整事项表!$B:$B,累计利润调整表!$A40,考核调整事项表!$F:$F,J$3)</f>
        <v>0</v>
      </c>
      <c r="K40" s="87">
        <f>SUMIFS(考核调整事项表!$C:$C,考核调整事项表!$B:$B,累计利润调整表!$A40,考核调整事项表!$D:$D,K$3)+SUMIFS(考核调整事项表!$E:$E,考核调整事项表!$B:$B,累计利润调整表!$A40,考核调整事项表!$F:$F,K$3)</f>
        <v>0</v>
      </c>
      <c r="L40" s="87">
        <f>SUMIFS(考核调整事项表!$C:$C,考核调整事项表!$B:$B,累计利润调整表!$A40,考核调整事项表!$D:$D,L$3)+SUMIFS(考核调整事项表!$E:$E,考核调整事项表!$B:$B,累计利润调整表!$A40,考核调整事项表!$F:$F,L$3)</f>
        <v>0</v>
      </c>
      <c r="M40" s="87">
        <f>SUMIFS(考核调整事项表!$C:$C,考核调整事项表!$B:$B,累计利润调整表!$A40,考核调整事项表!$D:$D,M$3)+SUMIFS(考核调整事项表!$E:$E,考核调整事项表!$B:$B,累计利润调整表!$A40,考核调整事项表!$F:$F,M$3)</f>
        <v>0</v>
      </c>
      <c r="N40" s="87">
        <f>SUMIFS(考核调整事项表!$C:$C,考核调整事项表!$B:$B,累计利润调整表!$A40,考核调整事项表!$D:$D,N$3)+SUMIFS(考核调整事项表!$E:$E,考核调整事项表!$B:$B,累计利润调整表!$A40,考核调整事项表!$F:$F,N$3)</f>
        <v>0</v>
      </c>
      <c r="O40" s="87">
        <f>SUMIFS(考核调整事项表!$C:$C,考核调整事项表!$B:$B,累计利润调整表!$A40,考核调整事项表!$D:$D,O$3)+SUMIFS(考核调整事项表!$E:$E,考核调整事项表!$B:$B,累计利润调整表!$A40,考核调整事项表!$F:$F,O$3)</f>
        <v>0</v>
      </c>
      <c r="P40" s="87">
        <f>SUMIFS(考核调整事项表!$C:$C,考核调整事项表!$B:$B,累计利润调整表!$A40,考核调整事项表!$D:$D,P$3)+SUMIFS(考核调整事项表!$E:$E,考核调整事项表!$B:$B,累计利润调整表!$A40,考核调整事项表!$F:$F,P$3)</f>
        <v>0</v>
      </c>
      <c r="Q40" s="87">
        <f t="shared" si="11"/>
        <v>0</v>
      </c>
      <c r="R40" s="87">
        <f>SUMIFS(考核调整事项表!$C:$C,考核调整事项表!$B:$B,累计利润调整表!$A40,考核调整事项表!$D:$D,R$3)+SUMIFS(考核调整事项表!$E:$E,考核调整事项表!$B:$B,累计利润调整表!$A40,考核调整事项表!$F:$F,R$3)</f>
        <v>0</v>
      </c>
      <c r="S40" s="87">
        <f>SUMIFS(考核调整事项表!$C:$C,考核调整事项表!$B:$B,累计利润调整表!$A40,考核调整事项表!$D:$D,S$3)+SUMIFS(考核调整事项表!$E:$E,考核调整事项表!$B:$B,累计利润调整表!$A40,考核调整事项表!$F:$F,S$3)</f>
        <v>0</v>
      </c>
      <c r="T40" s="87">
        <f>SUMIFS(考核调整事项表!$C:$C,考核调整事项表!$B:$B,累计利润调整表!$A40,考核调整事项表!$D:$D,T$3)+SUMIFS(考核调整事项表!$E:$E,考核调整事项表!$B:$B,累计利润调整表!$A40,考核调整事项表!$F:$F,T$3)</f>
        <v>0</v>
      </c>
      <c r="U40" s="87">
        <f>SUMIFS(考核调整事项表!$C:$C,考核调整事项表!$B:$B,累计利润调整表!$A40,考核调整事项表!$D:$D,U$3)+SUMIFS(考核调整事项表!$E:$E,考核调整事项表!$B:$B,累计利润调整表!$A40,考核调整事项表!$F:$F,U$3)</f>
        <v>0</v>
      </c>
      <c r="V40" s="87">
        <f t="shared" si="12"/>
        <v>0</v>
      </c>
      <c r="W40" s="87">
        <f>SUMIFS(考核调整事项表!$C:$C,考核调整事项表!$B:$B,累计利润调整表!$A40,考核调整事项表!$D:$D,W$3)+SUMIFS(考核调整事项表!$E:$E,考核调整事项表!$B:$B,累计利润调整表!$A40,考核调整事项表!$F:$F,W$3)</f>
        <v>0</v>
      </c>
      <c r="X40" s="87">
        <f>SUMIFS(考核调整事项表!$C:$C,考核调整事项表!$B:$B,累计利润调整表!$A40,考核调整事项表!$D:$D,X$3)+SUMIFS(考核调整事项表!$E:$E,考核调整事项表!$B:$B,累计利润调整表!$A40,考核调整事项表!$F:$F,X$3)</f>
        <v>0</v>
      </c>
      <c r="Y40" s="87">
        <f>SUMIFS(考核调整事项表!$C:$C,考核调整事项表!$B:$B,累计利润调整表!$A40,考核调整事项表!$D:$D,Y$3)+SUMIFS(考核调整事项表!$E:$E,考核调整事项表!$B:$B,累计利润调整表!$A40,考核调整事项表!$F:$F,Y$3)</f>
        <v>0</v>
      </c>
      <c r="Z40" s="87">
        <f>SUMIFS(考核调整事项表!$C:$C,考核调整事项表!$B:$B,累计利润调整表!$A40,考核调整事项表!$D:$D,Z$3)+SUMIFS(考核调整事项表!$E:$E,考核调整事项表!$B:$B,累计利润调整表!$A40,考核调整事项表!$F:$F,Z$3)</f>
        <v>0</v>
      </c>
    </row>
    <row r="41" spans="1:26" s="50" customFormat="1">
      <c r="A41" s="64" t="s">
        <v>33</v>
      </c>
      <c r="B41" s="87">
        <f t="shared" si="7"/>
        <v>-128323099.93666668</v>
      </c>
      <c r="C41" s="87">
        <f>SUMIFS(考核调整事项表!$C:$C,考核调整事项表!$B:$B,累计利润调整表!$A41,考核调整事项表!$D:$D,C$3)+SUMIFS(考核调整事项表!$E:$E,考核调整事项表!$B:$B,累计利润调整表!$A41,考核调整事项表!$F:$F,C$3)+SUMIFS(考核调整事项表!$E:$E,考核调整事项表!$G:$G,累计利润调整表!$A41,考核调整事项表!$F:$F,累计利润调整表!C$3)</f>
        <v>-31543190.830000002</v>
      </c>
      <c r="D41" s="87">
        <f>SUMIFS(考核调整事项表!$C:$C,考核调整事项表!$B:$B,累计利润调整表!$A41,考核调整事项表!$D:$D,D$3)+SUMIFS(考核调整事项表!$E:$E,考核调整事项表!$B:$B,累计利润调整表!$A41,考核调整事项表!$F:$F,D$3)+SUMIFS(考核调整事项表!$E:$E,考核调整事项表!$G:$G,累计利润调整表!$A41,考核调整事项表!$F:$F,累计利润调整表!D$3)</f>
        <v>0</v>
      </c>
      <c r="E41" s="87">
        <f>SUMIFS(考核调整事项表!$C:$C,考核调整事项表!$B:$B,累计利润调整表!$A41,考核调整事项表!$D:$D,E$3)+SUMIFS(考核调整事项表!$E:$E,考核调整事项表!$B:$B,累计利润调整表!$A41,考核调整事项表!$F:$F,E$3)+SUMIFS(考核调整事项表!$E:$E,考核调整事项表!$G:$G,累计利润调整表!$A41,考核调整事项表!$F:$F,累计利润调整表!E$3)</f>
        <v>-646175.22666666668</v>
      </c>
      <c r="F41" s="87">
        <f>SUMIFS(考核调整事项表!$C:$C,考核调整事项表!$B:$B,累计利润调整表!$A41,考核调整事项表!$D:$D,F$3)+SUMIFS(考核调整事项表!$E:$E,考核调整事项表!$B:$B,累计利润调整表!$A41,考核调整事项表!$F:$F,F$3)+SUMIFS(考核调整事项表!$E:$E,考核调整事项表!$G:$G,累计利润调整表!$A41,考核调整事项表!$F:$F,累计利润调整表!F$3)</f>
        <v>-72180147.909999996</v>
      </c>
      <c r="G41" s="87">
        <f t="shared" si="10"/>
        <v>-24468310.968000006</v>
      </c>
      <c r="H41" s="87">
        <f>SUMIFS(考核调整事项表!$C:$C,考核调整事项表!$B:$B,累计利润调整表!$A41,考核调整事项表!$D:$D,H$3)+SUMIFS(考核调整事项表!$E:$E,考核调整事项表!$B:$B,累计利润调整表!$A41,考核调整事项表!$F:$F,H$3)+SUMIFS(考核调整事项表!$E:$E,考核调整事项表!$G:$G,累计利润调整表!$A41,考核调整事项表!$F:$F,累计利润调整表!H$3)</f>
        <v>-932884.20999999717</v>
      </c>
      <c r="I41" s="87">
        <f>SUMIFS(考核调整事项表!$C:$C,考核调整事项表!$B:$B,累计利润调整表!$A41,考核调整事项表!$D:$D,I$3)+SUMIFS(考核调整事项表!$E:$E,考核调整事项表!$B:$B,累计利润调整表!$A41,考核调整事项表!$F:$F,I$3)+SUMIFS(考核调整事项表!$E:$E,考核调整事项表!$G:$G,累计利润调整表!$A41,考核调整事项表!$F:$F,累计利润调整表!I$3)</f>
        <v>0</v>
      </c>
      <c r="J41" s="87">
        <f>SUMIFS(考核调整事项表!$C:$C,考核调整事项表!$B:$B,累计利润调整表!$A41,考核调整事项表!$D:$D,J$3)+SUMIFS(考核调整事项表!$E:$E,考核调整事项表!$B:$B,累计利润调整表!$A41,考核调整事项表!$F:$F,J$3)+SUMIFS(考核调整事项表!$E:$E,考核调整事项表!$G:$G,累计利润调整表!$A41,考核调整事项表!$F:$F,累计利润调整表!J$3)</f>
        <v>-31225953.46800001</v>
      </c>
      <c r="K41" s="87">
        <f>SUMIFS(考核调整事项表!$C:$C,考核调整事项表!$B:$B,累计利润调整表!$A41,考核调整事项表!$D:$D,K$3)+SUMIFS(考核调整事项表!$E:$E,考核调整事项表!$B:$B,累计利润调整表!$A41,考核调整事项表!$F:$F,K$3)+SUMIFS(考核调整事项表!$E:$E,考核调整事项表!$G:$G,累计利润调整表!$A41,考核调整事项表!$F:$F,累计利润调整表!K$3)</f>
        <v>0</v>
      </c>
      <c r="L41" s="87">
        <f>SUMIFS(考核调整事项表!$C:$C,考核调整事项表!$B:$B,累计利润调整表!$A41,考核调整事项表!$D:$D,L$3)+SUMIFS(考核调整事项表!$E:$E,考核调整事项表!$B:$B,累计利润调整表!$A41,考核调整事项表!$F:$F,L$3)+SUMIFS(考核调整事项表!$E:$E,考核调整事项表!$G:$G,累计利润调整表!$A41,考核调整事项表!$F:$F,累计利润调整表!L$3)</f>
        <v>525453.23</v>
      </c>
      <c r="M41" s="87">
        <f>SUMIFS(考核调整事项表!$C:$C,考核调整事项表!$B:$B,累计利润调整表!$A41,考核调整事项表!$D:$D,M$3)+SUMIFS(考核调整事项表!$E:$E,考核调整事项表!$B:$B,累计利润调整表!$A41,考核调整事项表!$F:$F,M$3)+SUMIFS(考核调整事项表!$E:$E,考核调整事项表!$G:$G,累计利润调整表!$A41,考核调整事项表!$F:$F,累计利润调整表!M$3)</f>
        <v>0</v>
      </c>
      <c r="N41" s="87">
        <f>SUMIFS(考核调整事项表!$C:$C,考核调整事项表!$B:$B,累计利润调整表!$A41,考核调整事项表!$D:$D,N$3)+SUMIFS(考核调整事项表!$E:$E,考核调整事项表!$B:$B,累计利润调整表!$A41,考核调整事项表!$F:$F,N$3)+SUMIFS(考核调整事项表!$E:$E,考核调整事项表!$G:$G,累计利润调整表!$A41,考核调整事项表!$F:$F,累计利润调整表!N$3)</f>
        <v>0</v>
      </c>
      <c r="O41" s="87">
        <f>SUMIFS(考核调整事项表!$C:$C,考核调整事项表!$B:$B,累计利润调整表!$A41,考核调整事项表!$D:$D,O$3)+SUMIFS(考核调整事项表!$E:$E,考核调整事项表!$B:$B,累计利润调整表!$A41,考核调整事项表!$F:$F,O$3)+SUMIFS(考核调整事项表!$E:$E,考核调整事项表!$G:$G,累计利润调整表!$A41,考核调整事项表!$F:$F,累计利润调整表!O$3)</f>
        <v>7165073.4800000004</v>
      </c>
      <c r="P41" s="87">
        <f>SUMIFS(考核调整事项表!$C:$C,考核调整事项表!$B:$B,累计利润调整表!$A41,考核调整事项表!$D:$D,P$3)+SUMIFS(考核调整事项表!$E:$E,考核调整事项表!$B:$B,累计利润调整表!$A41,考核调整事项表!$F:$F,P$3)+SUMIFS(考核调整事项表!$E:$E,考核调整事项表!$G:$G,累计利润调整表!$A41,考核调整事项表!$F:$F,累计利润调整表!P$3)</f>
        <v>514724.99800000002</v>
      </c>
      <c r="Q41" s="87">
        <f t="shared" si="11"/>
        <v>0</v>
      </c>
      <c r="R41" s="87">
        <f>SUMIFS(考核调整事项表!$C:$C,考核调整事项表!$B:$B,累计利润调整表!$A41,考核调整事项表!$D:$D,R$3)+SUMIFS(考核调整事项表!$E:$E,考核调整事项表!$B:$B,累计利润调整表!$A41,考核调整事项表!$F:$F,R$3)+SUMIFS(考核调整事项表!$E:$E,考核调整事项表!$G:$G,累计利润调整表!$A41,考核调整事项表!$F:$F,累计利润调整表!R$3)</f>
        <v>0</v>
      </c>
      <c r="S41" s="87">
        <f>SUMIFS(考核调整事项表!$C:$C,考核调整事项表!$B:$B,累计利润调整表!$A41,考核调整事项表!$D:$D,S$3)+SUMIFS(考核调整事项表!$E:$E,考核调整事项表!$B:$B,累计利润调整表!$A41,考核调整事项表!$F:$F,S$3)+SUMIFS(考核调整事项表!$E:$E,考核调整事项表!$G:$G,累计利润调整表!$A41,考核调整事项表!$F:$F,累计利润调整表!S$3)</f>
        <v>0</v>
      </c>
      <c r="T41" s="87">
        <f>SUMIFS(考核调整事项表!$C:$C,考核调整事项表!$B:$B,累计利润调整表!$A41,考核调整事项表!$D:$D,T$3)+SUMIFS(考核调整事项表!$E:$E,考核调整事项表!$B:$B,累计利润调整表!$A41,考核调整事项表!$F:$F,T$3)+SUMIFS(考核调整事项表!$E:$E,考核调整事项表!$G:$G,累计利润调整表!$A41,考核调整事项表!$F:$F,累计利润调整表!T$3)</f>
        <v>0</v>
      </c>
      <c r="U41" s="87">
        <f>SUMIFS(考核调整事项表!$C:$C,考核调整事项表!$B:$B,累计利润调整表!$A41,考核调整事项表!$D:$D,U$3)+SUMIFS(考核调整事项表!$E:$E,考核调整事项表!$B:$B,累计利润调整表!$A41,考核调整事项表!$F:$F,U$3)+SUMIFS(考核调整事项表!$E:$E,考核调整事项表!$G:$G,累计利润调整表!$A41,考核调整事项表!$F:$F,累计利润调整表!U$3)</f>
        <v>0</v>
      </c>
      <c r="V41" s="87">
        <f t="shared" si="12"/>
        <v>0</v>
      </c>
      <c r="W41" s="87">
        <f>SUMIFS(考核调整事项表!$C:$C,考核调整事项表!$B:$B,累计利润调整表!$A41,考核调整事项表!$D:$D,W$3)+SUMIFS(考核调整事项表!$E:$E,考核调整事项表!$B:$B,累计利润调整表!$A41,考核调整事项表!$F:$F,W$3)+SUMIFS(考核调整事项表!$E:$E,考核调整事项表!$G:$G,累计利润调整表!$A41,考核调整事项表!$F:$F,累计利润调整表!W$3)</f>
        <v>0</v>
      </c>
      <c r="X41" s="87">
        <f>SUMIFS(考核调整事项表!$C:$C,考核调整事项表!$B:$B,累计利润调整表!$A41,考核调整事项表!$D:$D,X$3)+SUMIFS(考核调整事项表!$E:$E,考核调整事项表!$B:$B,累计利润调整表!$A41,考核调整事项表!$F:$F,X$3)+SUMIFS(考核调整事项表!$E:$E,考核调整事项表!$G:$G,累计利润调整表!$A41,考核调整事项表!$F:$F,累计利润调整表!X$3)</f>
        <v>0</v>
      </c>
      <c r="Y41" s="87">
        <f>SUMIFS(考核调整事项表!$C:$C,考核调整事项表!$B:$B,累计利润调整表!$A41,考核调整事项表!$D:$D,Y$3)+SUMIFS(考核调整事项表!$E:$E,考核调整事项表!$B:$B,累计利润调整表!$A41,考核调整事项表!$F:$F,Y$3)+SUMIFS(考核调整事项表!$E:$E,考核调整事项表!$G:$G,累计利润调整表!$A41,考核调整事项表!$F:$F,累计利润调整表!Y$3)</f>
        <v>0</v>
      </c>
      <c r="Z41" s="87">
        <f>SUMIFS(考核调整事项表!$C:$C,考核调整事项表!$B:$B,累计利润调整表!$A41,考核调整事项表!$D:$D,Z$3)+SUMIFS(考核调整事项表!$E:$E,考核调整事项表!$B:$B,累计利润调整表!$A41,考核调整事项表!$F:$F,Z$3)+SUMIFS(考核调整事项表!$E:$E,考核调整事项表!$G:$G,累计利润调整表!$A41,考核调整事项表!$F:$F,累计利润调整表!Z$3)</f>
        <v>0</v>
      </c>
    </row>
    <row r="42" spans="1:26" s="50" customFormat="1">
      <c r="A42" s="64" t="s">
        <v>34</v>
      </c>
      <c r="B42" s="87">
        <f t="shared" si="7"/>
        <v>0</v>
      </c>
      <c r="C42" s="87">
        <f>SUMIFS(考核调整事项表!$C:$C,考核调整事项表!$B:$B,累计利润调整表!$A42,考核调整事项表!$D:$D,C$3)+SUMIFS(考核调整事项表!$E:$E,考核调整事项表!$B:$B,累计利润调整表!$A42,考核调整事项表!$F:$F,C$3)</f>
        <v>0</v>
      </c>
      <c r="D42" s="87">
        <f>SUMIFS(考核调整事项表!$C:$C,考核调整事项表!$B:$B,累计利润调整表!$A42,考核调整事项表!$D:$D,D$3)+SUMIFS(考核调整事项表!$E:$E,考核调整事项表!$B:$B,累计利润调整表!$A42,考核调整事项表!$F:$F,D$3)</f>
        <v>0</v>
      </c>
      <c r="E42" s="87">
        <f>SUMIFS(考核调整事项表!$C:$C,考核调整事项表!$B:$B,累计利润调整表!$A42,考核调整事项表!$D:$D,E$3)+SUMIFS(考核调整事项表!$E:$E,考核调整事项表!$B:$B,累计利润调整表!$A42,考核调整事项表!$F:$F,E$3)</f>
        <v>0</v>
      </c>
      <c r="F42" s="87">
        <f>SUMIFS(考核调整事项表!$C:$C,考核调整事项表!$B:$B,累计利润调整表!$A42,考核调整事项表!$D:$D,F$3)+SUMIFS(考核调整事项表!$E:$E,考核调整事项表!$B:$B,累计利润调整表!$A42,考核调整事项表!$F:$F,F$3)</f>
        <v>0</v>
      </c>
      <c r="G42" s="87">
        <f t="shared" si="10"/>
        <v>0</v>
      </c>
      <c r="H42" s="87">
        <f>SUMIFS(考核调整事项表!$C:$C,考核调整事项表!$B:$B,累计利润调整表!$A42,考核调整事项表!$D:$D,H$3)+SUMIFS(考核调整事项表!$E:$E,考核调整事项表!$B:$B,累计利润调整表!$A42,考核调整事项表!$F:$F,H$3)</f>
        <v>0</v>
      </c>
      <c r="I42" s="87">
        <f>SUMIFS(考核调整事项表!$C:$C,考核调整事项表!$B:$B,累计利润调整表!$A42,考核调整事项表!$D:$D,I$3)+SUMIFS(考核调整事项表!$E:$E,考核调整事项表!$B:$B,累计利润调整表!$A42,考核调整事项表!$F:$F,I$3)</f>
        <v>0</v>
      </c>
      <c r="J42" s="87">
        <f>SUMIFS(考核调整事项表!$C:$C,考核调整事项表!$B:$B,累计利润调整表!$A42,考核调整事项表!$D:$D,J$3)+SUMIFS(考核调整事项表!$E:$E,考核调整事项表!$B:$B,累计利润调整表!$A42,考核调整事项表!$F:$F,J$3)</f>
        <v>0</v>
      </c>
      <c r="K42" s="87">
        <f>SUMIFS(考核调整事项表!$C:$C,考核调整事项表!$B:$B,累计利润调整表!$A42,考核调整事项表!$D:$D,K$3)+SUMIFS(考核调整事项表!$E:$E,考核调整事项表!$B:$B,累计利润调整表!$A42,考核调整事项表!$F:$F,K$3)</f>
        <v>0</v>
      </c>
      <c r="L42" s="87">
        <f>SUMIFS(考核调整事项表!$C:$C,考核调整事项表!$B:$B,累计利润调整表!$A42,考核调整事项表!$D:$D,L$3)+SUMIFS(考核调整事项表!$E:$E,考核调整事项表!$B:$B,累计利润调整表!$A42,考核调整事项表!$F:$F,L$3)</f>
        <v>0</v>
      </c>
      <c r="M42" s="87">
        <f>SUMIFS(考核调整事项表!$C:$C,考核调整事项表!$B:$B,累计利润调整表!$A42,考核调整事项表!$D:$D,M$3)+SUMIFS(考核调整事项表!$E:$E,考核调整事项表!$B:$B,累计利润调整表!$A42,考核调整事项表!$F:$F,M$3)</f>
        <v>0</v>
      </c>
      <c r="N42" s="87">
        <f>SUMIFS(考核调整事项表!$C:$C,考核调整事项表!$B:$B,累计利润调整表!$A42,考核调整事项表!$D:$D,N$3)+SUMIFS(考核调整事项表!$E:$E,考核调整事项表!$B:$B,累计利润调整表!$A42,考核调整事项表!$F:$F,N$3)</f>
        <v>0</v>
      </c>
      <c r="O42" s="87">
        <f>SUMIFS(考核调整事项表!$C:$C,考核调整事项表!$B:$B,累计利润调整表!$A42,考核调整事项表!$D:$D,O$3)+SUMIFS(考核调整事项表!$E:$E,考核调整事项表!$B:$B,累计利润调整表!$A42,考核调整事项表!$F:$F,O$3)</f>
        <v>0</v>
      </c>
      <c r="P42" s="87">
        <f>SUMIFS(考核调整事项表!$C:$C,考核调整事项表!$B:$B,累计利润调整表!$A42,考核调整事项表!$D:$D,P$3)+SUMIFS(考核调整事项表!$E:$E,考核调整事项表!$B:$B,累计利润调整表!$A42,考核调整事项表!$F:$F,P$3)</f>
        <v>0</v>
      </c>
      <c r="Q42" s="87">
        <f t="shared" si="11"/>
        <v>0</v>
      </c>
      <c r="R42" s="87">
        <f>SUMIFS(考核调整事项表!$C:$C,考核调整事项表!$B:$B,累计利润调整表!$A42,考核调整事项表!$D:$D,R$3)+SUMIFS(考核调整事项表!$E:$E,考核调整事项表!$B:$B,累计利润调整表!$A42,考核调整事项表!$F:$F,R$3)</f>
        <v>0</v>
      </c>
      <c r="S42" s="87">
        <f>SUMIFS(考核调整事项表!$C:$C,考核调整事项表!$B:$B,累计利润调整表!$A42,考核调整事项表!$D:$D,S$3)+SUMIFS(考核调整事项表!$E:$E,考核调整事项表!$B:$B,累计利润调整表!$A42,考核调整事项表!$F:$F,S$3)</f>
        <v>0</v>
      </c>
      <c r="T42" s="87">
        <f>SUMIFS(考核调整事项表!$C:$C,考核调整事项表!$B:$B,累计利润调整表!$A42,考核调整事项表!$D:$D,T$3)+SUMIFS(考核调整事项表!$E:$E,考核调整事项表!$B:$B,累计利润调整表!$A42,考核调整事项表!$F:$F,T$3)</f>
        <v>0</v>
      </c>
      <c r="U42" s="87">
        <f>SUMIFS(考核调整事项表!$C:$C,考核调整事项表!$B:$B,累计利润调整表!$A42,考核调整事项表!$D:$D,U$3)+SUMIFS(考核调整事项表!$E:$E,考核调整事项表!$B:$B,累计利润调整表!$A42,考核调整事项表!$F:$F,U$3)</f>
        <v>0</v>
      </c>
      <c r="V42" s="87">
        <f t="shared" si="12"/>
        <v>0</v>
      </c>
      <c r="W42" s="87">
        <f>SUMIFS(考核调整事项表!$C:$C,考核调整事项表!$B:$B,累计利润调整表!$A42,考核调整事项表!$D:$D,W$3)+SUMIFS(考核调整事项表!$E:$E,考核调整事项表!$B:$B,累计利润调整表!$A42,考核调整事项表!$F:$F,W$3)</f>
        <v>0</v>
      </c>
      <c r="X42" s="87">
        <f>SUMIFS(考核调整事项表!$C:$C,考核调整事项表!$B:$B,累计利润调整表!$A42,考核调整事项表!$D:$D,X$3)+SUMIFS(考核调整事项表!$E:$E,考核调整事项表!$B:$B,累计利润调整表!$A42,考核调整事项表!$F:$F,X$3)</f>
        <v>0</v>
      </c>
      <c r="Y42" s="87">
        <f>SUMIFS(考核调整事项表!$C:$C,考核调整事项表!$B:$B,累计利润调整表!$A42,考核调整事项表!$D:$D,Y$3)+SUMIFS(考核调整事项表!$E:$E,考核调整事项表!$B:$B,累计利润调整表!$A42,考核调整事项表!$F:$F,Y$3)</f>
        <v>0</v>
      </c>
      <c r="Z42" s="87">
        <f>SUMIFS(考核调整事项表!$C:$C,考核调整事项表!$B:$B,累计利润调整表!$A42,考核调整事项表!$D:$D,Z$3)+SUMIFS(考核调整事项表!$E:$E,考核调整事项表!$B:$B,累计利润调整表!$A42,考核调整事项表!$F:$F,Z$3)</f>
        <v>0</v>
      </c>
    </row>
    <row r="43" spans="1:26" s="50" customFormat="1">
      <c r="A43" s="64" t="s">
        <v>35</v>
      </c>
      <c r="B43" s="87">
        <f t="shared" si="7"/>
        <v>0</v>
      </c>
      <c r="C43" s="87">
        <f>SUMIFS(考核调整事项表!$C:$C,考核调整事项表!$B:$B,累计利润调整表!$A43,考核调整事项表!$D:$D,C$3)+SUMIFS(考核调整事项表!$E:$E,考核调整事项表!$B:$B,累计利润调整表!$A43,考核调整事项表!$F:$F,C$3)</f>
        <v>-1596936.84</v>
      </c>
      <c r="D43" s="87">
        <f>SUMIFS(考核调整事项表!$C:$C,考核调整事项表!$B:$B,累计利润调整表!$A43,考核调整事项表!$D:$D,D$3)+SUMIFS(考核调整事项表!$E:$E,考核调整事项表!$B:$B,累计利润调整表!$A43,考核调整事项表!$F:$F,D$3)</f>
        <v>0</v>
      </c>
      <c r="E43" s="87">
        <f>SUMIFS(考核调整事项表!$C:$C,考核调整事项表!$B:$B,累计利润调整表!$A43,考核调整事项表!$D:$D,E$3)+SUMIFS(考核调整事项表!$E:$E,考核调整事项表!$B:$B,累计利润调整表!$A43,考核调整事项表!$F:$F,E$3)</f>
        <v>1196936.8400000001</v>
      </c>
      <c r="F43" s="87">
        <f>SUMIFS(考核调整事项表!$C:$C,考核调整事项表!$B:$B,累计利润调整表!$A43,考核调整事项表!$D:$D,F$3)+SUMIFS(考核调整事项表!$E:$E,考核调整事项表!$B:$B,累计利润调整表!$A43,考核调整事项表!$F:$F,F$3)</f>
        <v>0</v>
      </c>
      <c r="G43" s="87">
        <f t="shared" si="10"/>
        <v>0</v>
      </c>
      <c r="H43" s="87">
        <f>SUMIFS(考核调整事项表!$C:$C,考核调整事项表!$B:$B,累计利润调整表!$A43,考核调整事项表!$D:$D,H$3)+SUMIFS(考核调整事项表!$E:$E,考核调整事项表!$B:$B,累计利润调整表!$A43,考核调整事项表!$F:$F,H$3)</f>
        <v>0</v>
      </c>
      <c r="I43" s="87">
        <f>SUMIFS(考核调整事项表!$C:$C,考核调整事项表!$B:$B,累计利润调整表!$A43,考核调整事项表!$D:$D,I$3)+SUMIFS(考核调整事项表!$E:$E,考核调整事项表!$B:$B,累计利润调整表!$A43,考核调整事项表!$F:$F,I$3)</f>
        <v>0</v>
      </c>
      <c r="J43" s="87">
        <f>SUMIFS(考核调整事项表!$C:$C,考核调整事项表!$B:$B,累计利润调整表!$A43,考核调整事项表!$D:$D,J$3)+SUMIFS(考核调整事项表!$E:$E,考核调整事项表!$B:$B,累计利润调整表!$A43,考核调整事项表!$F:$F,J$3)</f>
        <v>0</v>
      </c>
      <c r="K43" s="87">
        <f>SUMIFS(考核调整事项表!$C:$C,考核调整事项表!$B:$B,累计利润调整表!$A43,考核调整事项表!$D:$D,K$3)+SUMIFS(考核调整事项表!$E:$E,考核调整事项表!$B:$B,累计利润调整表!$A43,考核调整事项表!$F:$F,K$3)</f>
        <v>0</v>
      </c>
      <c r="L43" s="87">
        <f>SUMIFS(考核调整事项表!$C:$C,考核调整事项表!$B:$B,累计利润调整表!$A43,考核调整事项表!$D:$D,L$3)+SUMIFS(考核调整事项表!$E:$E,考核调整事项表!$B:$B,累计利润调整表!$A43,考核调整事项表!$F:$F,L$3)</f>
        <v>0</v>
      </c>
      <c r="M43" s="87">
        <f>SUMIFS(考核调整事项表!$C:$C,考核调整事项表!$B:$B,累计利润调整表!$A43,考核调整事项表!$D:$D,M$3)+SUMIFS(考核调整事项表!$E:$E,考核调整事项表!$B:$B,累计利润调整表!$A43,考核调整事项表!$F:$F,M$3)</f>
        <v>0</v>
      </c>
      <c r="N43" s="87">
        <f>SUMIFS(考核调整事项表!$C:$C,考核调整事项表!$B:$B,累计利润调整表!$A43,考核调整事项表!$D:$D,N$3)+SUMIFS(考核调整事项表!$E:$E,考核调整事项表!$B:$B,累计利润调整表!$A43,考核调整事项表!$F:$F,N$3)</f>
        <v>0</v>
      </c>
      <c r="O43" s="87">
        <f>SUMIFS(考核调整事项表!$C:$C,考核调整事项表!$B:$B,累计利润调整表!$A43,考核调整事项表!$D:$D,O$3)+SUMIFS(考核调整事项表!$E:$E,考核调整事项表!$B:$B,累计利润调整表!$A43,考核调整事项表!$F:$F,O$3)</f>
        <v>0</v>
      </c>
      <c r="P43" s="87">
        <f>SUMIFS(考核调整事项表!$C:$C,考核调整事项表!$B:$B,累计利润调整表!$A43,考核调整事项表!$D:$D,P$3)+SUMIFS(考核调整事项表!$E:$E,考核调整事项表!$B:$B,累计利润调整表!$A43,考核调整事项表!$F:$F,P$3)</f>
        <v>0</v>
      </c>
      <c r="Q43" s="87">
        <f t="shared" si="11"/>
        <v>0</v>
      </c>
      <c r="R43" s="87">
        <f>SUMIFS(考核调整事项表!$C:$C,考核调整事项表!$B:$B,累计利润调整表!$A43,考核调整事项表!$D:$D,R$3)+SUMIFS(考核调整事项表!$E:$E,考核调整事项表!$B:$B,累计利润调整表!$A43,考核调整事项表!$F:$F,R$3)</f>
        <v>0</v>
      </c>
      <c r="S43" s="87">
        <f>SUMIFS(考核调整事项表!$C:$C,考核调整事项表!$B:$B,累计利润调整表!$A43,考核调整事项表!$D:$D,S$3)+SUMIFS(考核调整事项表!$E:$E,考核调整事项表!$B:$B,累计利润调整表!$A43,考核调整事项表!$F:$F,S$3)</f>
        <v>0</v>
      </c>
      <c r="T43" s="87">
        <f>SUMIFS(考核调整事项表!$C:$C,考核调整事项表!$B:$B,累计利润调整表!$A43,考核调整事项表!$D:$D,T$3)+SUMIFS(考核调整事项表!$E:$E,考核调整事项表!$B:$B,累计利润调整表!$A43,考核调整事项表!$F:$F,T$3)</f>
        <v>0</v>
      </c>
      <c r="U43" s="87">
        <f>SUMIFS(考核调整事项表!$C:$C,考核调整事项表!$B:$B,累计利润调整表!$A43,考核调整事项表!$D:$D,U$3)+SUMIFS(考核调整事项表!$E:$E,考核调整事项表!$B:$B,累计利润调整表!$A43,考核调整事项表!$F:$F,U$3)</f>
        <v>0</v>
      </c>
      <c r="V43" s="87">
        <f t="shared" si="12"/>
        <v>400000</v>
      </c>
      <c r="W43" s="87">
        <f>SUMIFS(考核调整事项表!$C:$C,考核调整事项表!$B:$B,累计利润调整表!$A43,考核调整事项表!$D:$D,W$3)+SUMIFS(考核调整事项表!$E:$E,考核调整事项表!$B:$B,累计利润调整表!$A43,考核调整事项表!$F:$F,W$3)</f>
        <v>0</v>
      </c>
      <c r="X43" s="87">
        <f>SUMIFS(考核调整事项表!$C:$C,考核调整事项表!$B:$B,累计利润调整表!$A43,考核调整事项表!$D:$D,X$3)+SUMIFS(考核调整事项表!$E:$E,考核调整事项表!$B:$B,累计利润调整表!$A43,考核调整事项表!$F:$F,X$3)</f>
        <v>400000</v>
      </c>
      <c r="Y43" s="87">
        <f>SUMIFS(考核调整事项表!$C:$C,考核调整事项表!$B:$B,累计利润调整表!$A43,考核调整事项表!$D:$D,Y$3)+SUMIFS(考核调整事项表!$E:$E,考核调整事项表!$B:$B,累计利润调整表!$A43,考核调整事项表!$F:$F,Y$3)</f>
        <v>0</v>
      </c>
      <c r="Z43" s="87">
        <f>SUMIFS(考核调整事项表!$C:$C,考核调整事项表!$B:$B,累计利润调整表!$A43,考核调整事项表!$D:$D,Z$3)+SUMIFS(考核调整事项表!$E:$E,考核调整事项表!$B:$B,累计利润调整表!$A43,考核调整事项表!$F:$F,Z$3)</f>
        <v>0</v>
      </c>
    </row>
    <row r="44" spans="1:26" s="50" customFormat="1">
      <c r="A44" s="66" t="s">
        <v>36</v>
      </c>
      <c r="B44" s="88">
        <f>SUM(B45:B48)</f>
        <v>1.8953869584947824E-9</v>
      </c>
      <c r="C44" s="88">
        <f t="shared" ref="C44:Y44" si="13">SUM(C45:C48)</f>
        <v>-44763489.719999999</v>
      </c>
      <c r="D44" s="88">
        <f t="shared" si="13"/>
        <v>571851.32579199993</v>
      </c>
      <c r="E44" s="88">
        <f t="shared" si="13"/>
        <v>40811215.096568003</v>
      </c>
      <c r="F44" s="88">
        <f t="shared" si="13"/>
        <v>930964.05999999994</v>
      </c>
      <c r="G44" s="88">
        <f t="shared" si="13"/>
        <v>637323.78763999988</v>
      </c>
      <c r="H44" s="88">
        <f t="shared" ref="H44:P44" si="14">SUM(H45:H48)</f>
        <v>910791.64999999991</v>
      </c>
      <c r="I44" s="88">
        <f>SUM(I45:I48)</f>
        <v>0</v>
      </c>
      <c r="J44" s="88">
        <f t="shared" si="14"/>
        <v>-23440.810000000056</v>
      </c>
      <c r="K44" s="88">
        <f t="shared" ref="K44" si="15">SUM(K45:K48)</f>
        <v>275177</v>
      </c>
      <c r="L44" s="88">
        <f t="shared" si="14"/>
        <v>397451.49</v>
      </c>
      <c r="M44" s="88">
        <f t="shared" si="14"/>
        <v>0</v>
      </c>
      <c r="N44" s="88">
        <f t="shared" si="14"/>
        <v>-1459109.68</v>
      </c>
      <c r="O44" s="88">
        <f t="shared" si="14"/>
        <v>536454.13763999997</v>
      </c>
      <c r="P44" s="88">
        <f t="shared" si="14"/>
        <v>217557.8</v>
      </c>
      <c r="Q44" s="88">
        <f t="shared" si="13"/>
        <v>2349603.2399999998</v>
      </c>
      <c r="R44" s="88">
        <f>SUM(R45:R48)</f>
        <v>0</v>
      </c>
      <c r="S44" s="88">
        <f>SUM(S45:S48)</f>
        <v>1737887.48</v>
      </c>
      <c r="T44" s="88">
        <f>SUM(T45:T48)</f>
        <v>231482.8</v>
      </c>
      <c r="U44" s="88">
        <f>SUM(U45:U48)</f>
        <v>380232.95999999996</v>
      </c>
      <c r="V44" s="88">
        <f>SUM(V45:V48)</f>
        <v>-253646.91</v>
      </c>
      <c r="W44" s="88">
        <f t="shared" si="13"/>
        <v>-498324</v>
      </c>
      <c r="X44" s="88">
        <f t="shared" si="13"/>
        <v>244677.09</v>
      </c>
      <c r="Y44" s="88">
        <f t="shared" si="13"/>
        <v>-654295.17000000004</v>
      </c>
      <c r="Z44" s="88">
        <f t="shared" ref="Z44" si="16">SUM(Z45:Z48)</f>
        <v>152916.49000000002</v>
      </c>
    </row>
    <row r="45" spans="1:26" s="100" customFormat="1">
      <c r="A45" s="67" t="s">
        <v>173</v>
      </c>
      <c r="B45" s="87">
        <f>SUM(C45:G45)+P45+Q45+V45+Y45+Z45</f>
        <v>3.637978807091713E-12</v>
      </c>
      <c r="C45" s="89">
        <f>SUMIFS(考核调整事项表!$C:$C,考核调整事项表!$B:$B,累计利润调整表!$A45,考核调整事项表!$D:$D,C$3)+SUMIFS(考核调整事项表!$E:$E,考核调整事项表!$B:$B,累计利润调整表!$A45,考核调整事项表!$F:$F,C$3)</f>
        <v>-816014.49</v>
      </c>
      <c r="D45" s="89">
        <f>SUMIFS(考核调整事项表!$C:$C,考核调整事项表!$B:$B,累计利润调整表!$A45,考核调整事项表!$D:$D,D$3)+SUMIFS(考核调整事项表!$E:$E,考核调整事项表!$B:$B,累计利润调整表!$A45,考核调整事项表!$F:$F,D$3)</f>
        <v>278793.92579199997</v>
      </c>
      <c r="E45" s="89">
        <f>SUMIFS(考核调整事项表!$C:$C,考核调整事项表!$B:$B,累计利润调整表!$A45,考核调整事项表!$D:$D,E$3)+SUMIFS(考核调整事项表!$E:$E,考核调整事项表!$B:$B,累计利润调整表!$A45,考核调整事项表!$F:$F,E$3)</f>
        <v>797643.02656799997</v>
      </c>
      <c r="F45" s="89">
        <f>SUMIFS(考核调整事项表!$C:$C,考核调整事项表!$B:$B,累计利润调整表!$A45,考核调整事项表!$D:$D,F$3)+SUMIFS(考核调整事项表!$E:$E,考核调整事项表!$B:$B,累计利润调整表!$A45,考核调整事项表!$F:$F,F$3)</f>
        <v>-5882.6500000000015</v>
      </c>
      <c r="G45" s="87">
        <f>SUM(H45:O45)</f>
        <v>-340750.46236</v>
      </c>
      <c r="H45" s="89">
        <f>SUMIFS(考核调整事项表!$C:$C,考核调整事项表!$B:$B,累计利润调整表!$A45,考核调整事项表!$D:$D,H$3)+SUMIFS(考核调整事项表!$E:$E,考核调整事项表!$B:$B,累计利润调整表!$A45,考核调整事项表!$F:$F,H$3)</f>
        <v>-114108.47999999998</v>
      </c>
      <c r="I45" s="89">
        <f>SUMIFS(考核调整事项表!$C:$C,考核调整事项表!$B:$B,累计利润调整表!$A45,考核调整事项表!$D:$D,I$3)+SUMIFS(考核调整事项表!$E:$E,考核调整事项表!$B:$B,累计利润调整表!$A45,考核调整事项表!$F:$F,I$3)</f>
        <v>0</v>
      </c>
      <c r="J45" s="89">
        <f>SUMIFS(考核调整事项表!$C:$C,考核调整事项表!$B:$B,累计利润调整表!$A45,考核调整事项表!$D:$D,J$3)+SUMIFS(考核调整事项表!$E:$E,考核调整事项表!$B:$B,累计利润调整表!$A45,考核调整事项表!$F:$F,J$3)</f>
        <v>-253958.79000000004</v>
      </c>
      <c r="K45" s="89">
        <f>SUMIFS(考核调整事项表!$C:$C,考核调整事项表!$B:$B,累计利润调整表!$A45,考核调整事项表!$D:$D,K$3)+SUMIFS(考核调整事项表!$E:$E,考核调整事项表!$B:$B,累计利润调整表!$A45,考核调整事项表!$F:$F,K$3)</f>
        <v>0</v>
      </c>
      <c r="L45" s="89">
        <f>SUMIFS(考核调整事项表!$C:$C,考核调整事项表!$B:$B,累计利润调整表!$A45,考核调整事项表!$D:$D,L$3)+SUMIFS(考核调整事项表!$E:$E,考核调整事项表!$B:$B,累计利润调整表!$A45,考核调整事项表!$F:$F,L$3)</f>
        <v>13.01</v>
      </c>
      <c r="M45" s="89">
        <f>SUMIFS(考核调整事项表!$C:$C,考核调整事项表!$B:$B,累计利润调整表!$A45,考核调整事项表!$D:$D,M$3)+SUMIFS(考核调整事项表!$E:$E,考核调整事项表!$B:$B,累计利润调整表!$A45,考核调整事项表!$F:$F,M$3)</f>
        <v>0</v>
      </c>
      <c r="N45" s="89">
        <f>SUMIFS(考核调整事项表!$C:$C,考核调整事项表!$B:$B,累计利润调整表!$A45,考核调整事项表!$D:$D,N$3)+SUMIFS(考核调整事项表!$E:$E,考核调整事项表!$B:$B,累计利润调整表!$A45,考核调整事项表!$F:$F,N$3)</f>
        <v>0</v>
      </c>
      <c r="O45" s="89">
        <f>SUMIFS(考核调整事项表!$C:$C,考核调整事项表!$B:$B,累计利润调整表!$A45,考核调整事项表!$D:$D,O$3)+SUMIFS(考核调整事项表!$E:$E,考核调整事项表!$B:$B,累计利润调整表!$A45,考核调整事项表!$F:$F,O$3)</f>
        <v>27303.797640000004</v>
      </c>
      <c r="P45" s="89">
        <f>SUMIFS(考核调整事项表!$C:$C,考核调整事项表!$B:$B,累计利润调整表!$A45,考核调整事项表!$D:$D,P$3)+SUMIFS(考核调整事项表!$E:$E,考核调整事项表!$B:$B,累计利润调整表!$A45,考核调整事项表!$F:$F,P$3)</f>
        <v>-55969.38</v>
      </c>
      <c r="Q45" s="89">
        <f t="shared" si="11"/>
        <v>127611.3</v>
      </c>
      <c r="R45" s="89">
        <f>SUMIFS(考核调整事项表!$C:$C,考核调整事项表!$B:$B,累计利润调整表!$A45,考核调整事项表!$D:$D,R$3)+SUMIFS(考核调整事项表!$E:$E,考核调整事项表!$B:$B,累计利润调整表!$A45,考核调整事项表!$F:$F,R$3)</f>
        <v>0</v>
      </c>
      <c r="S45" s="89">
        <f>SUMIFS(考核调整事项表!$C:$C,考核调整事项表!$B:$B,累计利润调整表!$A45,考核调整事项表!$D:$D,S$3)+SUMIFS(考核调整事项表!$E:$E,考核调整事项表!$B:$B,累计利润调整表!$A45,考核调整事项表!$F:$F,S$3)</f>
        <v>-8096.6</v>
      </c>
      <c r="T45" s="89">
        <f>SUMIFS(考核调整事项表!$C:$C,考核调整事项表!$B:$B,累计利润调整表!$A45,考核调整事项表!$D:$D,T$3)+SUMIFS(考核调整事项表!$E:$E,考核调整事项表!$B:$B,累计利润调整表!$A45,考核调整事项表!$F:$F,T$3)</f>
        <v>8219.61</v>
      </c>
      <c r="U45" s="89">
        <f>SUMIFS(考核调整事项表!$C:$C,考核调整事项表!$B:$B,累计利润调整表!$A45,考核调整事项表!$D:$D,U$3)+SUMIFS(考核调整事项表!$E:$E,考核调整事项表!$B:$B,累计利润调整表!$A45,考核调整事项表!$F:$F,U$3)</f>
        <v>127488.29000000001</v>
      </c>
      <c r="V45" s="87">
        <f t="shared" si="12"/>
        <v>14568.73</v>
      </c>
      <c r="W45" s="89">
        <f>SUMIFS(考核调整事项表!$C:$C,考核调整事项表!$B:$B,累计利润调整表!$A45,考核调整事项表!$D:$D,W$3)+SUMIFS(考核调整事项表!$E:$E,考核调整事项表!$B:$B,累计利润调整表!$A45,考核调整事项表!$F:$F,W$3)</f>
        <v>0</v>
      </c>
      <c r="X45" s="89">
        <f>SUMIFS(考核调整事项表!$C:$C,考核调整事项表!$B:$B,累计利润调整表!$A45,考核调整事项表!$D:$D,X$3)+SUMIFS(考核调整事项表!$E:$E,考核调整事项表!$B:$B,累计利润调整表!$A45,考核调整事项表!$F:$F,X$3)</f>
        <v>14568.73</v>
      </c>
      <c r="Y45" s="89">
        <f>SUMIFS(考核调整事项表!$C:$C,考核调整事项表!$B:$B,累计利润调整表!$A45,考核调整事项表!$D:$D,Y$3)+SUMIFS(考核调整事项表!$E:$E,考核调整事项表!$B:$B,累计利润调整表!$A45,考核调整事项表!$F:$F,Y$3)</f>
        <v>0</v>
      </c>
      <c r="Z45" s="89">
        <f>SUMIFS(考核调整事项表!$C:$C,考核调整事项表!$B:$B,累计利润调整表!$A45,考核调整事项表!$D:$D,Z$3)+SUMIFS(考核调整事项表!$E:$E,考核调整事项表!$B:$B,累计利润调整表!$A45,考核调整事项表!$F:$F,Z$3)</f>
        <v>0</v>
      </c>
    </row>
    <row r="46" spans="1:26" s="100" customFormat="1">
      <c r="A46" s="67" t="s">
        <v>174</v>
      </c>
      <c r="B46" s="87">
        <f>SUM(C46:G46)+P46+Q46+V46+Y46+Z46</f>
        <v>1.8917489796876907E-9</v>
      </c>
      <c r="C46" s="89">
        <f>SUMIFS(考核调整事项表!$C:$C,考核调整事项表!$B:$B,累计利润调整表!$A46,考核调整事项表!$D:$D,C$3)+SUMIFS(考核调整事项表!$E:$E,考核调整事项表!$B:$B,累计利润调整表!$A46,考核调整事项表!$F:$F,C$3)</f>
        <v>-43947475.229999997</v>
      </c>
      <c r="D46" s="89">
        <f>SUMIFS(考核调整事项表!$C:$C,考核调整事项表!$B:$B,累计利润调整表!$A46,考核调整事项表!$D:$D,D$3)+SUMIFS(考核调整事项表!$E:$E,考核调整事项表!$B:$B,累计利润调整表!$A46,考核调整事项表!$F:$F,D$3)</f>
        <v>293057.40000000002</v>
      </c>
      <c r="E46" s="89">
        <f>SUMIFS(考核调整事项表!$C:$C,考核调整事项表!$B:$B,累计利润调整表!$A46,考核调整事项表!$D:$D,E$3)+SUMIFS(考核调整事项表!$E:$E,考核调整事项表!$B:$B,累计利润调整表!$A46,考核调整事项表!$F:$F,E$3)</f>
        <v>40013572.07</v>
      </c>
      <c r="F46" s="89">
        <f>SUMIFS(考核调整事项表!$C:$C,考核调整事项表!$B:$B,累计利润调整表!$A46,考核调整事项表!$D:$D,F$3)+SUMIFS(考核调整事项表!$E:$E,考核调整事项表!$B:$B,累计利润调整表!$A46,考核调整事项表!$F:$F,F$3)</f>
        <v>936846.71</v>
      </c>
      <c r="G46" s="87">
        <f>SUM(H46:O46)</f>
        <v>978074.24999999988</v>
      </c>
      <c r="H46" s="89">
        <f>SUMIFS(考核调整事项表!$C:$C,考核调整事项表!$B:$B,累计利润调整表!$A46,考核调整事项表!$D:$D,H$3)+SUMIFS(考核调整事项表!$E:$E,考核调整事项表!$B:$B,累计利润调整表!$A46,考核调整事项表!$F:$F,H$3)</f>
        <v>1024900.1299999999</v>
      </c>
      <c r="I46" s="89">
        <f>SUMIFS(考核调整事项表!$C:$C,考核调整事项表!$B:$B,累计利润调整表!$A46,考核调整事项表!$D:$D,I$3)+SUMIFS(考核调整事项表!$E:$E,考核调整事项表!$B:$B,累计利润调整表!$A46,考核调整事项表!$F:$F,I$3)</f>
        <v>0</v>
      </c>
      <c r="J46" s="89">
        <f>SUMIFS(考核调整事项表!$C:$C,考核调整事项表!$B:$B,累计利润调整表!$A46,考核调整事项表!$D:$D,J$3)+SUMIFS(考核调整事项表!$E:$E,考核调整事项表!$B:$B,累计利润调整表!$A46,考核调整事项表!$F:$F,J$3)</f>
        <v>230517.97999999998</v>
      </c>
      <c r="K46" s="89">
        <f>SUMIFS(考核调整事项表!$C:$C,考核调整事项表!$B:$B,累计利润调整表!$A46,考核调整事项表!$D:$D,K$3)+SUMIFS(考核调整事项表!$E:$E,考核调整事项表!$B:$B,累计利润调整表!$A46,考核调整事项表!$F:$F,K$3)</f>
        <v>275177</v>
      </c>
      <c r="L46" s="89">
        <f>SUMIFS(考核调整事项表!$C:$C,考核调整事项表!$B:$B,累计利润调整表!$A46,考核调整事项表!$D:$D,L$3)+SUMIFS(考核调整事项表!$E:$E,考核调整事项表!$B:$B,累计利润调整表!$A46,考核调整事项表!$F:$F,L$3)</f>
        <v>397438.48</v>
      </c>
      <c r="M46" s="89">
        <f>SUMIFS(考核调整事项表!$C:$C,考核调整事项表!$B:$B,累计利润调整表!$A46,考核调整事项表!$D:$D,M$3)+SUMIFS(考核调整事项表!$E:$E,考核调整事项表!$B:$B,累计利润调整表!$A46,考核调整事项表!$F:$F,M$3)</f>
        <v>0</v>
      </c>
      <c r="N46" s="89">
        <f>SUMIFS(考核调整事项表!$C:$C,考核调整事项表!$B:$B,累计利润调整表!$A46,考核调整事项表!$D:$D,N$3)+SUMIFS(考核调整事项表!$E:$E,考核调整事项表!$B:$B,累计利润调整表!$A46,考核调整事项表!$F:$F,N$3)</f>
        <v>-1459109.68</v>
      </c>
      <c r="O46" s="89">
        <f>SUMIFS(考核调整事项表!$C:$C,考核调整事项表!$B:$B,累计利润调整表!$A46,考核调整事项表!$D:$D,O$3)+SUMIFS(考核调整事项表!$E:$E,考核调整事项表!$B:$B,累计利润调整表!$A46,考核调整事项表!$F:$F,O$3)</f>
        <v>509150.33999999997</v>
      </c>
      <c r="P46" s="89">
        <f>SUMIFS(考核调整事项表!$C:$C,考核调整事项表!$B:$B,累计利润调整表!$A46,考核调整事项表!$D:$D,P$3)+SUMIFS(考核调整事项表!$E:$E,考核调整事项表!$B:$B,累计利润调整表!$A46,考核调整事项表!$F:$F,P$3)</f>
        <v>273527.18</v>
      </c>
      <c r="Q46" s="89">
        <f t="shared" si="11"/>
        <v>2221991.94</v>
      </c>
      <c r="R46" s="89">
        <f>SUMIFS(考核调整事项表!$C:$C,考核调整事项表!$B:$B,累计利润调整表!$A46,考核调整事项表!$D:$D,R$3)+SUMIFS(考核调整事项表!$E:$E,考核调整事项表!$B:$B,累计利润调整表!$A46,考核调整事项表!$F:$F,R$3)</f>
        <v>0</v>
      </c>
      <c r="S46" s="89">
        <f>SUMIFS(考核调整事项表!$C:$C,考核调整事项表!$B:$B,累计利润调整表!$A46,考核调整事项表!$D:$D,S$3)+SUMIFS(考核调整事项表!$E:$E,考核调整事项表!$B:$B,累计利润调整表!$A46,考核调整事项表!$F:$F,S$3)</f>
        <v>1745984.08</v>
      </c>
      <c r="T46" s="89">
        <f>SUMIFS(考核调整事项表!$C:$C,考核调整事项表!$B:$B,累计利润调整表!$A46,考核调整事项表!$D:$D,T$3)+SUMIFS(考核调整事项表!$E:$E,考核调整事项表!$B:$B,累计利润调整表!$A46,考核调整事项表!$F:$F,T$3)</f>
        <v>223263.19</v>
      </c>
      <c r="U46" s="89">
        <f>SUMIFS(考核调整事项表!$C:$C,考核调整事项表!$B:$B,累计利润调整表!$A46,考核调整事项表!$D:$D,U$3)+SUMIFS(考核调整事项表!$E:$E,考核调整事项表!$B:$B,累计利润调整表!$A46,考核调整事项表!$F:$F,U$3)</f>
        <v>252744.66999999998</v>
      </c>
      <c r="V46" s="87">
        <f t="shared" si="12"/>
        <v>-268215.64</v>
      </c>
      <c r="W46" s="89">
        <f>SUMIFS(考核调整事项表!$C:$C,考核调整事项表!$B:$B,累计利润调整表!$A46,考核调整事项表!$D:$D,W$3)+SUMIFS(考核调整事项表!$E:$E,考核调整事项表!$B:$B,累计利润调整表!$A46,考核调整事项表!$F:$F,W$3)</f>
        <v>-498324</v>
      </c>
      <c r="X46" s="89">
        <f>SUMIFS(考核调整事项表!$C:$C,考核调整事项表!$B:$B,累计利润调整表!$A46,考核调整事项表!$D:$D,X$3)+SUMIFS(考核调整事项表!$E:$E,考核调整事项表!$B:$B,累计利润调整表!$A46,考核调整事项表!$F:$F,X$3)</f>
        <v>230108.36</v>
      </c>
      <c r="Y46" s="89">
        <f>SUMIFS(考核调整事项表!$C:$C,考核调整事项表!$B:$B,累计利润调整表!$A46,考核调整事项表!$D:$D,Y$3)+SUMIFS(考核调整事项表!$E:$E,考核调整事项表!$B:$B,累计利润调整表!$A46,考核调整事项表!$F:$F,Y$3)</f>
        <v>-654295.17000000004</v>
      </c>
      <c r="Z46" s="89">
        <f>SUMIFS(考核调整事项表!$C:$C,考核调整事项表!$B:$B,累计利润调整表!$A46,考核调整事项表!$D:$D,Z$3)+SUMIFS(考核调整事项表!$E:$E,考核调整事项表!$B:$B,累计利润调整表!$A46,考核调整事项表!$F:$F,Z$3)</f>
        <v>152916.49000000002</v>
      </c>
    </row>
    <row r="47" spans="1:26" s="100" customFormat="1">
      <c r="A47" s="67" t="s">
        <v>175</v>
      </c>
      <c r="B47" s="87">
        <f>SUM(C47:G47)+P47+Q47+V47+Y47+Z47</f>
        <v>0</v>
      </c>
      <c r="C47" s="89">
        <f>SUMIFS(考核调整事项表!$C:$C,考核调整事项表!$B:$B,累计利润调整表!$A47,考核调整事项表!$D:$D,C$3)+SUMIFS(考核调整事项表!$E:$E,考核调整事项表!$B:$B,累计利润调整表!$A47,考核调整事项表!$F:$F,C$3)</f>
        <v>0</v>
      </c>
      <c r="D47" s="89">
        <f>SUMIFS(考核调整事项表!$C:$C,考核调整事项表!$B:$B,累计利润调整表!$A47,考核调整事项表!$D:$D,D$3)+SUMIFS(考核调整事项表!$E:$E,考核调整事项表!$B:$B,累计利润调整表!$A47,考核调整事项表!$F:$F,D$3)</f>
        <v>0</v>
      </c>
      <c r="E47" s="89">
        <f>SUMIFS(考核调整事项表!$C:$C,考核调整事项表!$B:$B,累计利润调整表!$A47,考核调整事项表!$D:$D,E$3)+SUMIFS(考核调整事项表!$E:$E,考核调整事项表!$B:$B,累计利润调整表!$A47,考核调整事项表!$F:$F,E$3)</f>
        <v>0</v>
      </c>
      <c r="F47" s="89">
        <f>SUMIFS(考核调整事项表!$C:$C,考核调整事项表!$B:$B,累计利润调整表!$A47,考核调整事项表!$D:$D,F$3)+SUMIFS(考核调整事项表!$E:$E,考核调整事项表!$B:$B,累计利润调整表!$A47,考核调整事项表!$F:$F,F$3)</f>
        <v>0</v>
      </c>
      <c r="G47" s="87">
        <f>SUM(H47:O47)</f>
        <v>0</v>
      </c>
      <c r="H47" s="89">
        <f>SUMIFS(考核调整事项表!$C:$C,考核调整事项表!$B:$B,累计利润调整表!$A47,考核调整事项表!$D:$D,H$3)+SUMIFS(考核调整事项表!$E:$E,考核调整事项表!$B:$B,累计利润调整表!$A47,考核调整事项表!$F:$F,H$3)</f>
        <v>0</v>
      </c>
      <c r="I47" s="89">
        <f>SUMIFS(考核调整事项表!$C:$C,考核调整事项表!$B:$B,累计利润调整表!$A47,考核调整事项表!$D:$D,I$3)+SUMIFS(考核调整事项表!$E:$E,考核调整事项表!$B:$B,累计利润调整表!$A47,考核调整事项表!$F:$F,I$3)</f>
        <v>0</v>
      </c>
      <c r="J47" s="89">
        <f>SUMIFS(考核调整事项表!$C:$C,考核调整事项表!$B:$B,累计利润调整表!$A47,考核调整事项表!$D:$D,J$3)+SUMIFS(考核调整事项表!$E:$E,考核调整事项表!$B:$B,累计利润调整表!$A47,考核调整事项表!$F:$F,J$3)</f>
        <v>0</v>
      </c>
      <c r="K47" s="89">
        <f>SUMIFS(考核调整事项表!$C:$C,考核调整事项表!$B:$B,累计利润调整表!$A47,考核调整事项表!$D:$D,K$3)+SUMIFS(考核调整事项表!$E:$E,考核调整事项表!$B:$B,累计利润调整表!$A47,考核调整事项表!$F:$F,K$3)</f>
        <v>0</v>
      </c>
      <c r="L47" s="89">
        <f>SUMIFS(考核调整事项表!$C:$C,考核调整事项表!$B:$B,累计利润调整表!$A47,考核调整事项表!$D:$D,L$3)+SUMIFS(考核调整事项表!$E:$E,考核调整事项表!$B:$B,累计利润调整表!$A47,考核调整事项表!$F:$F,L$3)</f>
        <v>0</v>
      </c>
      <c r="M47" s="89">
        <f>SUMIFS(考核调整事项表!$C:$C,考核调整事项表!$B:$B,累计利润调整表!$A47,考核调整事项表!$D:$D,M$3)+SUMIFS(考核调整事项表!$E:$E,考核调整事项表!$B:$B,累计利润调整表!$A47,考核调整事项表!$F:$F,M$3)</f>
        <v>0</v>
      </c>
      <c r="N47" s="89">
        <f>SUMIFS(考核调整事项表!$C:$C,考核调整事项表!$B:$B,累计利润调整表!$A47,考核调整事项表!$D:$D,N$3)+SUMIFS(考核调整事项表!$E:$E,考核调整事项表!$B:$B,累计利润调整表!$A47,考核调整事项表!$F:$F,N$3)</f>
        <v>0</v>
      </c>
      <c r="O47" s="89">
        <f>SUMIFS(考核调整事项表!$C:$C,考核调整事项表!$B:$B,累计利润调整表!$A47,考核调整事项表!$D:$D,O$3)+SUMIFS(考核调整事项表!$E:$E,考核调整事项表!$B:$B,累计利润调整表!$A47,考核调整事项表!$F:$F,O$3)</f>
        <v>0</v>
      </c>
      <c r="P47" s="89">
        <f>SUMIFS(考核调整事项表!$C:$C,考核调整事项表!$B:$B,累计利润调整表!$A47,考核调整事项表!$D:$D,P$3)+SUMIFS(考核调整事项表!$E:$E,考核调整事项表!$B:$B,累计利润调整表!$A47,考核调整事项表!$F:$F,P$3)</f>
        <v>0</v>
      </c>
      <c r="Q47" s="89">
        <f t="shared" si="11"/>
        <v>0</v>
      </c>
      <c r="R47" s="89">
        <f>SUMIFS(考核调整事项表!$C:$C,考核调整事项表!$B:$B,累计利润调整表!$A47,考核调整事项表!$D:$D,R$3)+SUMIFS(考核调整事项表!$E:$E,考核调整事项表!$B:$B,累计利润调整表!$A47,考核调整事项表!$F:$F,R$3)</f>
        <v>0</v>
      </c>
      <c r="S47" s="89">
        <f>SUMIFS(考核调整事项表!$C:$C,考核调整事项表!$B:$B,累计利润调整表!$A47,考核调整事项表!$D:$D,S$3)+SUMIFS(考核调整事项表!$E:$E,考核调整事项表!$B:$B,累计利润调整表!$A47,考核调整事项表!$F:$F,S$3)</f>
        <v>0</v>
      </c>
      <c r="T47" s="89">
        <f>SUMIFS(考核调整事项表!$C:$C,考核调整事项表!$B:$B,累计利润调整表!$A47,考核调整事项表!$D:$D,T$3)+SUMIFS(考核调整事项表!$E:$E,考核调整事项表!$B:$B,累计利润调整表!$A47,考核调整事项表!$F:$F,T$3)</f>
        <v>0</v>
      </c>
      <c r="U47" s="89">
        <f>SUMIFS(考核调整事项表!$C:$C,考核调整事项表!$B:$B,累计利润调整表!$A47,考核调整事项表!$D:$D,U$3)+SUMIFS(考核调整事项表!$E:$E,考核调整事项表!$B:$B,累计利润调整表!$A47,考核调整事项表!$F:$F,U$3)</f>
        <v>0</v>
      </c>
      <c r="V47" s="87">
        <f t="shared" si="12"/>
        <v>0</v>
      </c>
      <c r="W47" s="89">
        <f>SUMIFS(考核调整事项表!$C:$C,考核调整事项表!$B:$B,累计利润调整表!$A47,考核调整事项表!$D:$D,W$3)+SUMIFS(考核调整事项表!$E:$E,考核调整事项表!$B:$B,累计利润调整表!$A47,考核调整事项表!$F:$F,W$3)</f>
        <v>0</v>
      </c>
      <c r="X47" s="89">
        <f>SUMIFS(考核调整事项表!$C:$C,考核调整事项表!$B:$B,累计利润调整表!$A47,考核调整事项表!$D:$D,X$3)+SUMIFS(考核调整事项表!$E:$E,考核调整事项表!$B:$B,累计利润调整表!$A47,考核调整事项表!$F:$F,X$3)</f>
        <v>0</v>
      </c>
      <c r="Y47" s="89">
        <f>SUMIFS(考核调整事项表!$C:$C,考核调整事项表!$B:$B,累计利润调整表!$A47,考核调整事项表!$D:$D,Y$3)+SUMIFS(考核调整事项表!$E:$E,考核调整事项表!$B:$B,累计利润调整表!$A47,考核调整事项表!$F:$F,Y$3)</f>
        <v>0</v>
      </c>
      <c r="Z47" s="89">
        <f>SUMIFS(考核调整事项表!$C:$C,考核调整事项表!$B:$B,累计利润调整表!$A47,考核调整事项表!$D:$D,Z$3)+SUMIFS(考核调整事项表!$E:$E,考核调整事项表!$B:$B,累计利润调整表!$A47,考核调整事项表!$F:$F,Z$3)</f>
        <v>0</v>
      </c>
    </row>
    <row r="48" spans="1:26" s="100" customFormat="1">
      <c r="A48" s="67" t="s">
        <v>176</v>
      </c>
      <c r="B48" s="87">
        <f>SUM(C48:G48)+P48+Q48+V48+Y48+Z48</f>
        <v>0</v>
      </c>
      <c r="C48" s="89">
        <f>SUMIFS(考核调整事项表!$C:$C,考核调整事项表!$B:$B,累计利润调整表!$A48,考核调整事项表!$D:$D,C$3)+SUMIFS(考核调整事项表!$E:$E,考核调整事项表!$B:$B,累计利润调整表!$A48,考核调整事项表!$F:$F,C$3)</f>
        <v>0</v>
      </c>
      <c r="D48" s="89">
        <f>SUMIFS(考核调整事项表!$C:$C,考核调整事项表!$B:$B,累计利润调整表!$A48,考核调整事项表!$D:$D,D$3)+SUMIFS(考核调整事项表!$E:$E,考核调整事项表!$B:$B,累计利润调整表!$A48,考核调整事项表!$F:$F,D$3)</f>
        <v>0</v>
      </c>
      <c r="E48" s="89">
        <f>SUMIFS(考核调整事项表!$C:$C,考核调整事项表!$B:$B,累计利润调整表!$A48,考核调整事项表!$D:$D,E$3)+SUMIFS(考核调整事项表!$E:$E,考核调整事项表!$B:$B,累计利润调整表!$A48,考核调整事项表!$F:$F,E$3)</f>
        <v>0</v>
      </c>
      <c r="F48" s="89">
        <f>SUMIFS(考核调整事项表!$C:$C,考核调整事项表!$B:$B,累计利润调整表!$A48,考核调整事项表!$D:$D,F$3)+SUMIFS(考核调整事项表!$E:$E,考核调整事项表!$B:$B,累计利润调整表!$A48,考核调整事项表!$F:$F,F$3)</f>
        <v>0</v>
      </c>
      <c r="G48" s="87">
        <f>SUM(H48:O48)</f>
        <v>0</v>
      </c>
      <c r="H48" s="89">
        <f>SUMIFS(考核调整事项表!$C:$C,考核调整事项表!$B:$B,累计利润调整表!$A48,考核调整事项表!$D:$D,H$3)+SUMIFS(考核调整事项表!$E:$E,考核调整事项表!$B:$B,累计利润调整表!$A48,考核调整事项表!$F:$F,H$3)</f>
        <v>0</v>
      </c>
      <c r="I48" s="89">
        <f>SUMIFS(考核调整事项表!$C:$C,考核调整事项表!$B:$B,累计利润调整表!$A48,考核调整事项表!$D:$D,I$3)+SUMIFS(考核调整事项表!$E:$E,考核调整事项表!$B:$B,累计利润调整表!$A48,考核调整事项表!$F:$F,I$3)</f>
        <v>0</v>
      </c>
      <c r="J48" s="89">
        <f>SUMIFS(考核调整事项表!$C:$C,考核调整事项表!$B:$B,累计利润调整表!$A48,考核调整事项表!$D:$D,J$3)+SUMIFS(考核调整事项表!$E:$E,考核调整事项表!$B:$B,累计利润调整表!$A48,考核调整事项表!$F:$F,J$3)</f>
        <v>0</v>
      </c>
      <c r="K48" s="89">
        <f>SUMIFS(考核调整事项表!$C:$C,考核调整事项表!$B:$B,累计利润调整表!$A48,考核调整事项表!$D:$D,K$3)+SUMIFS(考核调整事项表!$E:$E,考核调整事项表!$B:$B,累计利润调整表!$A48,考核调整事项表!$F:$F,K$3)</f>
        <v>0</v>
      </c>
      <c r="L48" s="89">
        <f>SUMIFS(考核调整事项表!$C:$C,考核调整事项表!$B:$B,累计利润调整表!$A48,考核调整事项表!$D:$D,L$3)+SUMIFS(考核调整事项表!$E:$E,考核调整事项表!$B:$B,累计利润调整表!$A48,考核调整事项表!$F:$F,L$3)</f>
        <v>0</v>
      </c>
      <c r="M48" s="89">
        <f>SUMIFS(考核调整事项表!$C:$C,考核调整事项表!$B:$B,累计利润调整表!$A48,考核调整事项表!$D:$D,M$3)+SUMIFS(考核调整事项表!$E:$E,考核调整事项表!$B:$B,累计利润调整表!$A48,考核调整事项表!$F:$F,M$3)</f>
        <v>0</v>
      </c>
      <c r="N48" s="89">
        <f>SUMIFS(考核调整事项表!$C:$C,考核调整事项表!$B:$B,累计利润调整表!$A48,考核调整事项表!$D:$D,N$3)+SUMIFS(考核调整事项表!$E:$E,考核调整事项表!$B:$B,累计利润调整表!$A48,考核调整事项表!$F:$F,N$3)</f>
        <v>0</v>
      </c>
      <c r="O48" s="89">
        <f>SUMIFS(考核调整事项表!$C:$C,考核调整事项表!$B:$B,累计利润调整表!$A48,考核调整事项表!$D:$D,O$3)+SUMIFS(考核调整事项表!$E:$E,考核调整事项表!$B:$B,累计利润调整表!$A48,考核调整事项表!$F:$F,O$3)</f>
        <v>0</v>
      </c>
      <c r="P48" s="89">
        <f>SUMIFS(考核调整事项表!$C:$C,考核调整事项表!$B:$B,累计利润调整表!$A48,考核调整事项表!$D:$D,P$3)+SUMIFS(考核调整事项表!$E:$E,考核调整事项表!$B:$B,累计利润调整表!$A48,考核调整事项表!$F:$F,P$3)</f>
        <v>0</v>
      </c>
      <c r="Q48" s="89">
        <f t="shared" si="11"/>
        <v>0</v>
      </c>
      <c r="R48" s="89">
        <f>SUMIFS(考核调整事项表!$C:$C,考核调整事项表!$B:$B,累计利润调整表!$A48,考核调整事项表!$D:$D,R$3)+SUMIFS(考核调整事项表!$E:$E,考核调整事项表!$B:$B,累计利润调整表!$A48,考核调整事项表!$F:$F,R$3)</f>
        <v>0</v>
      </c>
      <c r="S48" s="89">
        <f>SUMIFS(考核调整事项表!$C:$C,考核调整事项表!$B:$B,累计利润调整表!$A48,考核调整事项表!$D:$D,S$3)+SUMIFS(考核调整事项表!$E:$E,考核调整事项表!$B:$B,累计利润调整表!$A48,考核调整事项表!$F:$F,S$3)</f>
        <v>0</v>
      </c>
      <c r="T48" s="89">
        <f>SUMIFS(考核调整事项表!$C:$C,考核调整事项表!$B:$B,累计利润调整表!$A48,考核调整事项表!$D:$D,T$3)+SUMIFS(考核调整事项表!$E:$E,考核调整事项表!$B:$B,累计利润调整表!$A48,考核调整事项表!$F:$F,T$3)</f>
        <v>0</v>
      </c>
      <c r="U48" s="89">
        <f>SUMIFS(考核调整事项表!$C:$C,考核调整事项表!$B:$B,累计利润调整表!$A48,考核调整事项表!$D:$D,U$3)+SUMIFS(考核调整事项表!$E:$E,考核调整事项表!$B:$B,累计利润调整表!$A48,考核调整事项表!$F:$F,U$3)</f>
        <v>0</v>
      </c>
      <c r="V48" s="87">
        <f t="shared" si="12"/>
        <v>0</v>
      </c>
      <c r="W48" s="89">
        <f>SUMIFS(考核调整事项表!$C:$C,考核调整事项表!$B:$B,累计利润调整表!$A48,考核调整事项表!$D:$D,W$3)+SUMIFS(考核调整事项表!$E:$E,考核调整事项表!$B:$B,累计利润调整表!$A48,考核调整事项表!$F:$F,W$3)</f>
        <v>0</v>
      </c>
      <c r="X48" s="89">
        <f>SUMIFS(考核调整事项表!$C:$C,考核调整事项表!$B:$B,累计利润调整表!$A48,考核调整事项表!$D:$D,X$3)+SUMIFS(考核调整事项表!$E:$E,考核调整事项表!$B:$B,累计利润调整表!$A48,考核调整事项表!$F:$F,X$3)</f>
        <v>0</v>
      </c>
      <c r="Y48" s="89">
        <f>SUMIFS(考核调整事项表!$C:$C,考核调整事项表!$B:$B,累计利润调整表!$A48,考核调整事项表!$D:$D,Y$3)+SUMIFS(考核调整事项表!$E:$E,考核调整事项表!$B:$B,累计利润调整表!$A48,考核调整事项表!$F:$F,Y$3)</f>
        <v>0</v>
      </c>
      <c r="Z48" s="89">
        <f>SUMIFS(考核调整事项表!$C:$C,考核调整事项表!$B:$B,累计利润调整表!$A48,考核调整事项表!$D:$D,Z$3)+SUMIFS(考核调整事项表!$E:$E,考核调整事项表!$B:$B,累计利润调整表!$A48,考核调整事项表!$F:$F,Z$3)</f>
        <v>0</v>
      </c>
    </row>
    <row r="49" spans="1:26" s="50" customFormat="1">
      <c r="A49" s="66" t="s">
        <v>41</v>
      </c>
      <c r="B49" s="88">
        <f t="shared" ref="B49:Y49" si="17">B33-B44</f>
        <v>-128323099.93666668</v>
      </c>
      <c r="C49" s="88">
        <f t="shared" si="17"/>
        <v>-6090493.5700000077</v>
      </c>
      <c r="D49" s="88">
        <f t="shared" si="17"/>
        <v>-1529743.3736745829</v>
      </c>
      <c r="E49" s="88">
        <f t="shared" si="17"/>
        <v>-4021846.8532346636</v>
      </c>
      <c r="F49" s="88">
        <f t="shared" si="17"/>
        <v>-73821742.430000007</v>
      </c>
      <c r="G49" s="88">
        <f t="shared" si="17"/>
        <v>-46167437.990713395</v>
      </c>
      <c r="H49" s="88">
        <f t="shared" ref="H49:P49" si="18">H33-H44</f>
        <v>-8302484.8197903596</v>
      </c>
      <c r="I49" s="88">
        <f>I33-I44</f>
        <v>0</v>
      </c>
      <c r="J49" s="88">
        <f t="shared" si="18"/>
        <v>-42771337.056679264</v>
      </c>
      <c r="K49" s="88">
        <f t="shared" ref="K49" si="19">K33-K44</f>
        <v>-275177</v>
      </c>
      <c r="L49" s="88">
        <f t="shared" si="18"/>
        <v>-214746.07</v>
      </c>
      <c r="M49" s="88">
        <f t="shared" si="18"/>
        <v>0</v>
      </c>
      <c r="N49" s="88">
        <f t="shared" si="18"/>
        <v>1459109.68</v>
      </c>
      <c r="O49" s="88">
        <f t="shared" si="18"/>
        <v>3937197.2757562264</v>
      </c>
      <c r="P49" s="88">
        <f t="shared" si="18"/>
        <v>-1655145.356528302</v>
      </c>
      <c r="Q49" s="88">
        <f t="shared" si="17"/>
        <v>2650793.4774842742</v>
      </c>
      <c r="R49" s="88">
        <f>R33-R44</f>
        <v>0</v>
      </c>
      <c r="S49" s="88">
        <f>S33-S44</f>
        <v>-2862415.77</v>
      </c>
      <c r="T49" s="88">
        <f>T33-T44</f>
        <v>910129.84415094019</v>
      </c>
      <c r="U49" s="88">
        <f>U33-U44</f>
        <v>4603079.4033333333</v>
      </c>
      <c r="V49" s="88">
        <f>V33-V44</f>
        <v>1811137.48</v>
      </c>
      <c r="W49" s="88">
        <f t="shared" si="17"/>
        <v>498324</v>
      </c>
      <c r="X49" s="88">
        <f t="shared" si="17"/>
        <v>1312813.48</v>
      </c>
      <c r="Y49" s="88">
        <f t="shared" si="17"/>
        <v>654295.17000000004</v>
      </c>
      <c r="Z49" s="88">
        <f t="shared" ref="Z49" si="20">Z33-Z44</f>
        <v>-152916.49000000002</v>
      </c>
    </row>
    <row r="50" spans="1:26" s="50" customFormat="1">
      <c r="A50" s="67" t="s">
        <v>42</v>
      </c>
      <c r="B50" s="87">
        <f>SUM(C50:G50)+P50+Q50+V50+Y50+Z50</f>
        <v>0</v>
      </c>
      <c r="C50" s="87">
        <f>SUMIFS(考核调整事项表!$C:$C,考核调整事项表!$B:$B,累计利润调整表!$A50,考核调整事项表!$D:$D,C$3)+SUMIFS(考核调整事项表!$E:$E,考核调整事项表!$B:$B,累计利润调整表!$A50,考核调整事项表!$F:$F,C$3)</f>
        <v>0</v>
      </c>
      <c r="D50" s="87">
        <f>SUMIFS(考核调整事项表!$C:$C,考核调整事项表!$B:$B,累计利润调整表!$A50,考核调整事项表!$D:$D,D$3)+SUMIFS(考核调整事项表!$E:$E,考核调整事项表!$B:$B,累计利润调整表!$A50,考核调整事项表!$F:$F,D$3)</f>
        <v>0</v>
      </c>
      <c r="E50" s="87">
        <f>SUMIFS(考核调整事项表!$C:$C,考核调整事项表!$B:$B,累计利润调整表!$A50,考核调整事项表!$D:$D,E$3)+SUMIFS(考核调整事项表!$E:$E,考核调整事项表!$B:$B,累计利润调整表!$A50,考核调整事项表!$F:$F,E$3)</f>
        <v>0</v>
      </c>
      <c r="F50" s="87">
        <f>SUMIFS(考核调整事项表!$C:$C,考核调整事项表!$B:$B,累计利润调整表!$A50,考核调整事项表!$D:$D,F$3)+SUMIFS(考核调整事项表!$E:$E,考核调整事项表!$B:$B,累计利润调整表!$A50,考核调整事项表!$F:$F,F$3)</f>
        <v>0</v>
      </c>
      <c r="G50" s="87">
        <f>SUM(H50:O50)</f>
        <v>0</v>
      </c>
      <c r="H50" s="87">
        <f>SUMIFS(考核调整事项表!$C:$C,考核调整事项表!$B:$B,累计利润调整表!$A50,考核调整事项表!$D:$D,H$3)+SUMIFS(考核调整事项表!$E:$E,考核调整事项表!$B:$B,累计利润调整表!$A50,考核调整事项表!$F:$F,H$3)</f>
        <v>0</v>
      </c>
      <c r="I50" s="87">
        <f>SUMIFS(考核调整事项表!$C:$C,考核调整事项表!$B:$B,累计利润调整表!$A50,考核调整事项表!$D:$D,I$3)+SUMIFS(考核调整事项表!$E:$E,考核调整事项表!$B:$B,累计利润调整表!$A50,考核调整事项表!$F:$F,I$3)</f>
        <v>0</v>
      </c>
      <c r="J50" s="87">
        <f>SUMIFS(考核调整事项表!$C:$C,考核调整事项表!$B:$B,累计利润调整表!$A50,考核调整事项表!$D:$D,J$3)+SUMIFS(考核调整事项表!$E:$E,考核调整事项表!$B:$B,累计利润调整表!$A50,考核调整事项表!$F:$F,J$3)</f>
        <v>0</v>
      </c>
      <c r="K50" s="87">
        <f>SUMIFS(考核调整事项表!$C:$C,考核调整事项表!$B:$B,累计利润调整表!$A50,考核调整事项表!$D:$D,K$3)+SUMIFS(考核调整事项表!$E:$E,考核调整事项表!$B:$B,累计利润调整表!$A50,考核调整事项表!$F:$F,K$3)</f>
        <v>0</v>
      </c>
      <c r="L50" s="87">
        <f>SUMIFS(考核调整事项表!$C:$C,考核调整事项表!$B:$B,累计利润调整表!$A50,考核调整事项表!$D:$D,L$3)+SUMIFS(考核调整事项表!$E:$E,考核调整事项表!$B:$B,累计利润调整表!$A50,考核调整事项表!$F:$F,L$3)</f>
        <v>0</v>
      </c>
      <c r="M50" s="87">
        <f>SUMIFS(考核调整事项表!$C:$C,考核调整事项表!$B:$B,累计利润调整表!$A50,考核调整事项表!$D:$D,M$3)+SUMIFS(考核调整事项表!$E:$E,考核调整事项表!$B:$B,累计利润调整表!$A50,考核调整事项表!$F:$F,M$3)</f>
        <v>0</v>
      </c>
      <c r="N50" s="87">
        <f>SUMIFS(考核调整事项表!$C:$C,考核调整事项表!$B:$B,累计利润调整表!$A50,考核调整事项表!$D:$D,N$3)+SUMIFS(考核调整事项表!$E:$E,考核调整事项表!$B:$B,累计利润调整表!$A50,考核调整事项表!$F:$F,N$3)</f>
        <v>0</v>
      </c>
      <c r="O50" s="87">
        <f>SUMIFS(考核调整事项表!$C:$C,考核调整事项表!$B:$B,累计利润调整表!$A50,考核调整事项表!$D:$D,O$3)+SUMIFS(考核调整事项表!$E:$E,考核调整事项表!$B:$B,累计利润调整表!$A50,考核调整事项表!$F:$F,O$3)</f>
        <v>0</v>
      </c>
      <c r="P50" s="87">
        <f>SUMIFS(考核调整事项表!$C:$C,考核调整事项表!$B:$B,累计利润调整表!$A50,考核调整事项表!$D:$D,P$3)+SUMIFS(考核调整事项表!$E:$E,考核调整事项表!$B:$B,累计利润调整表!$A50,考核调整事项表!$F:$F,P$3)</f>
        <v>0</v>
      </c>
      <c r="Q50" s="87">
        <f t="shared" si="11"/>
        <v>0</v>
      </c>
      <c r="R50" s="87">
        <f>SUMIFS(考核调整事项表!$C:$C,考核调整事项表!$B:$B,累计利润调整表!$A50,考核调整事项表!$D:$D,R$3)+SUMIFS(考核调整事项表!$E:$E,考核调整事项表!$B:$B,累计利润调整表!$A50,考核调整事项表!$F:$F,R$3)</f>
        <v>0</v>
      </c>
      <c r="S50" s="87">
        <f>SUMIFS(考核调整事项表!$C:$C,考核调整事项表!$B:$B,累计利润调整表!$A50,考核调整事项表!$D:$D,S$3)+SUMIFS(考核调整事项表!$E:$E,考核调整事项表!$B:$B,累计利润调整表!$A50,考核调整事项表!$F:$F,S$3)</f>
        <v>0</v>
      </c>
      <c r="T50" s="87">
        <f>SUMIFS(考核调整事项表!$C:$C,考核调整事项表!$B:$B,累计利润调整表!$A50,考核调整事项表!$D:$D,T$3)+SUMIFS(考核调整事项表!$E:$E,考核调整事项表!$B:$B,累计利润调整表!$A50,考核调整事项表!$F:$F,T$3)</f>
        <v>0</v>
      </c>
      <c r="U50" s="87">
        <f>SUMIFS(考核调整事项表!$C:$C,考核调整事项表!$B:$B,累计利润调整表!$A50,考核调整事项表!$D:$D,U$3)+SUMIFS(考核调整事项表!$E:$E,考核调整事项表!$B:$B,累计利润调整表!$A50,考核调整事项表!$F:$F,U$3)</f>
        <v>0</v>
      </c>
      <c r="V50" s="87">
        <f t="shared" si="12"/>
        <v>0</v>
      </c>
      <c r="W50" s="87">
        <f>SUMIFS(考核调整事项表!$C:$C,考核调整事项表!$B:$B,累计利润调整表!$A50,考核调整事项表!$D:$D,W$3)+SUMIFS(考核调整事项表!$E:$E,考核调整事项表!$B:$B,累计利润调整表!$A50,考核调整事项表!$F:$F,W$3)</f>
        <v>0</v>
      </c>
      <c r="X50" s="87">
        <f>SUMIFS(考核调整事项表!$C:$C,考核调整事项表!$B:$B,累计利润调整表!$A50,考核调整事项表!$D:$D,X$3)+SUMIFS(考核调整事项表!$E:$E,考核调整事项表!$B:$B,累计利润调整表!$A50,考核调整事项表!$F:$F,X$3)</f>
        <v>0</v>
      </c>
      <c r="Y50" s="87">
        <f>SUMIFS(考核调整事项表!$C:$C,考核调整事项表!$B:$B,累计利润调整表!$A50,考核调整事项表!$D:$D,Y$3)+SUMIFS(考核调整事项表!$E:$E,考核调整事项表!$B:$B,累计利润调整表!$A50,考核调整事项表!$F:$F,Y$3)</f>
        <v>0</v>
      </c>
      <c r="Z50" s="87">
        <f>SUMIFS(考核调整事项表!$C:$C,考核调整事项表!$B:$B,累计利润调整表!$A50,考核调整事项表!$D:$D,Z$3)+SUMIFS(考核调整事项表!$E:$E,考核调整事项表!$B:$B,累计利润调整表!$A50,考核调整事项表!$F:$F,Z$3)</f>
        <v>0</v>
      </c>
    </row>
    <row r="51" spans="1:26" s="50" customFormat="1">
      <c r="A51" s="67" t="s">
        <v>43</v>
      </c>
      <c r="B51" s="87">
        <f>SUM(C51:G51)+P51+Q51+V51+Y51+Z51</f>
        <v>0</v>
      </c>
      <c r="C51" s="87">
        <f>SUMIFS(考核调整事项表!$C:$C,考核调整事项表!$B:$B,累计利润调整表!$A51,考核调整事项表!$D:$D,C$3)+SUMIFS(考核调整事项表!$E:$E,考核调整事项表!$B:$B,累计利润调整表!$A51,考核调整事项表!$F:$F,C$3)</f>
        <v>0</v>
      </c>
      <c r="D51" s="87">
        <f>SUMIFS(考核调整事项表!$C:$C,考核调整事项表!$B:$B,累计利润调整表!$A51,考核调整事项表!$D:$D,D$3)+SUMIFS(考核调整事项表!$E:$E,考核调整事项表!$B:$B,累计利润调整表!$A51,考核调整事项表!$F:$F,D$3)</f>
        <v>0</v>
      </c>
      <c r="E51" s="87">
        <f>SUMIFS(考核调整事项表!$C:$C,考核调整事项表!$B:$B,累计利润调整表!$A51,考核调整事项表!$D:$D,E$3)+SUMIFS(考核调整事项表!$E:$E,考核调整事项表!$B:$B,累计利润调整表!$A51,考核调整事项表!$F:$F,E$3)</f>
        <v>0</v>
      </c>
      <c r="F51" s="87">
        <f>SUMIFS(考核调整事项表!$C:$C,考核调整事项表!$B:$B,累计利润调整表!$A51,考核调整事项表!$D:$D,F$3)+SUMIFS(考核调整事项表!$E:$E,考核调整事项表!$B:$B,累计利润调整表!$A51,考核调整事项表!$F:$F,F$3)</f>
        <v>0</v>
      </c>
      <c r="G51" s="87">
        <f>SUM(H51:O51)</f>
        <v>0</v>
      </c>
      <c r="H51" s="87">
        <f>SUMIFS(考核调整事项表!$C:$C,考核调整事项表!$B:$B,累计利润调整表!$A51,考核调整事项表!$D:$D,H$3)+SUMIFS(考核调整事项表!$E:$E,考核调整事项表!$B:$B,累计利润调整表!$A51,考核调整事项表!$F:$F,H$3)</f>
        <v>0</v>
      </c>
      <c r="I51" s="87">
        <f>SUMIFS(考核调整事项表!$C:$C,考核调整事项表!$B:$B,累计利润调整表!$A51,考核调整事项表!$D:$D,I$3)+SUMIFS(考核调整事项表!$E:$E,考核调整事项表!$B:$B,累计利润调整表!$A51,考核调整事项表!$F:$F,I$3)</f>
        <v>0</v>
      </c>
      <c r="J51" s="87">
        <f>SUMIFS(考核调整事项表!$C:$C,考核调整事项表!$B:$B,累计利润调整表!$A51,考核调整事项表!$D:$D,J$3)+SUMIFS(考核调整事项表!$E:$E,考核调整事项表!$B:$B,累计利润调整表!$A51,考核调整事项表!$F:$F,J$3)</f>
        <v>0</v>
      </c>
      <c r="K51" s="87">
        <f>SUMIFS(考核调整事项表!$C:$C,考核调整事项表!$B:$B,累计利润调整表!$A51,考核调整事项表!$D:$D,K$3)+SUMIFS(考核调整事项表!$E:$E,考核调整事项表!$B:$B,累计利润调整表!$A51,考核调整事项表!$F:$F,K$3)</f>
        <v>0</v>
      </c>
      <c r="L51" s="87">
        <f>SUMIFS(考核调整事项表!$C:$C,考核调整事项表!$B:$B,累计利润调整表!$A51,考核调整事项表!$D:$D,L$3)+SUMIFS(考核调整事项表!$E:$E,考核调整事项表!$B:$B,累计利润调整表!$A51,考核调整事项表!$F:$F,L$3)</f>
        <v>0</v>
      </c>
      <c r="M51" s="87">
        <f>SUMIFS(考核调整事项表!$C:$C,考核调整事项表!$B:$B,累计利润调整表!$A51,考核调整事项表!$D:$D,M$3)+SUMIFS(考核调整事项表!$E:$E,考核调整事项表!$B:$B,累计利润调整表!$A51,考核调整事项表!$F:$F,M$3)</f>
        <v>0</v>
      </c>
      <c r="N51" s="87">
        <f>SUMIFS(考核调整事项表!$C:$C,考核调整事项表!$B:$B,累计利润调整表!$A51,考核调整事项表!$D:$D,N$3)+SUMIFS(考核调整事项表!$E:$E,考核调整事项表!$B:$B,累计利润调整表!$A51,考核调整事项表!$F:$F,N$3)</f>
        <v>0</v>
      </c>
      <c r="O51" s="87">
        <f>SUMIFS(考核调整事项表!$C:$C,考核调整事项表!$B:$B,累计利润调整表!$A51,考核调整事项表!$D:$D,O$3)+SUMIFS(考核调整事项表!$E:$E,考核调整事项表!$B:$B,累计利润调整表!$A51,考核调整事项表!$F:$F,O$3)</f>
        <v>0</v>
      </c>
      <c r="P51" s="87">
        <f>SUMIFS(考核调整事项表!$C:$C,考核调整事项表!$B:$B,累计利润调整表!$A51,考核调整事项表!$D:$D,P$3)+SUMIFS(考核调整事项表!$E:$E,考核调整事项表!$B:$B,累计利润调整表!$A51,考核调整事项表!$F:$F,P$3)</f>
        <v>0</v>
      </c>
      <c r="Q51" s="87">
        <f t="shared" si="11"/>
        <v>0</v>
      </c>
      <c r="R51" s="87">
        <f>SUMIFS(考核调整事项表!$C:$C,考核调整事项表!$B:$B,累计利润调整表!$A51,考核调整事项表!$D:$D,R$3)+SUMIFS(考核调整事项表!$E:$E,考核调整事项表!$B:$B,累计利润调整表!$A51,考核调整事项表!$F:$F,R$3)</f>
        <v>0</v>
      </c>
      <c r="S51" s="87">
        <f>SUMIFS(考核调整事项表!$C:$C,考核调整事项表!$B:$B,累计利润调整表!$A51,考核调整事项表!$D:$D,S$3)+SUMIFS(考核调整事项表!$E:$E,考核调整事项表!$B:$B,累计利润调整表!$A51,考核调整事项表!$F:$F,S$3)</f>
        <v>0</v>
      </c>
      <c r="T51" s="87">
        <f>SUMIFS(考核调整事项表!$C:$C,考核调整事项表!$B:$B,累计利润调整表!$A51,考核调整事项表!$D:$D,T$3)+SUMIFS(考核调整事项表!$E:$E,考核调整事项表!$B:$B,累计利润调整表!$A51,考核调整事项表!$F:$F,T$3)</f>
        <v>0</v>
      </c>
      <c r="U51" s="87">
        <f>SUMIFS(考核调整事项表!$C:$C,考核调整事项表!$B:$B,累计利润调整表!$A51,考核调整事项表!$D:$D,U$3)+SUMIFS(考核调整事项表!$E:$E,考核调整事项表!$B:$B,累计利润调整表!$A51,考核调整事项表!$F:$F,U$3)</f>
        <v>0</v>
      </c>
      <c r="V51" s="87">
        <f t="shared" si="12"/>
        <v>0</v>
      </c>
      <c r="W51" s="87">
        <f>SUMIFS(考核调整事项表!$C:$C,考核调整事项表!$B:$B,累计利润调整表!$A51,考核调整事项表!$D:$D,W$3)+SUMIFS(考核调整事项表!$E:$E,考核调整事项表!$B:$B,累计利润调整表!$A51,考核调整事项表!$F:$F,W$3)</f>
        <v>0</v>
      </c>
      <c r="X51" s="87">
        <f>SUMIFS(考核调整事项表!$C:$C,考核调整事项表!$B:$B,累计利润调整表!$A51,考核调整事项表!$D:$D,X$3)+SUMIFS(考核调整事项表!$E:$E,考核调整事项表!$B:$B,累计利润调整表!$A51,考核调整事项表!$F:$F,X$3)</f>
        <v>0</v>
      </c>
      <c r="Y51" s="87">
        <f>SUMIFS(考核调整事项表!$C:$C,考核调整事项表!$B:$B,累计利润调整表!$A51,考核调整事项表!$D:$D,Y$3)+SUMIFS(考核调整事项表!$E:$E,考核调整事项表!$B:$B,累计利润调整表!$A51,考核调整事项表!$F:$F,Y$3)</f>
        <v>0</v>
      </c>
      <c r="Z51" s="87">
        <f>SUMIFS(考核调整事项表!$C:$C,考核调整事项表!$B:$B,累计利润调整表!$A51,考核调整事项表!$D:$D,Z$3)+SUMIFS(考核调整事项表!$E:$E,考核调整事项表!$B:$B,累计利润调整表!$A51,考核调整事项表!$F:$F,Z$3)</f>
        <v>0</v>
      </c>
    </row>
    <row r="52" spans="1:26" s="50" customFormat="1">
      <c r="A52" s="66" t="s">
        <v>44</v>
      </c>
      <c r="B52" s="88">
        <f t="shared" ref="B52:Y52" si="21">B49+B50-B51</f>
        <v>-128323099.93666668</v>
      </c>
      <c r="C52" s="88">
        <f t="shared" si="21"/>
        <v>-6090493.5700000077</v>
      </c>
      <c r="D52" s="88">
        <f t="shared" si="21"/>
        <v>-1529743.3736745829</v>
      </c>
      <c r="E52" s="88">
        <f t="shared" si="21"/>
        <v>-4021846.8532346636</v>
      </c>
      <c r="F52" s="88">
        <f t="shared" si="21"/>
        <v>-73821742.430000007</v>
      </c>
      <c r="G52" s="88">
        <f t="shared" si="21"/>
        <v>-46167437.990713395</v>
      </c>
      <c r="H52" s="88">
        <f t="shared" si="21"/>
        <v>-8302484.8197903596</v>
      </c>
      <c r="I52" s="88">
        <f>I49+I50-I51</f>
        <v>0</v>
      </c>
      <c r="J52" s="88">
        <f t="shared" si="21"/>
        <v>-42771337.056679264</v>
      </c>
      <c r="K52" s="88">
        <f t="shared" ref="K52" si="22">K49+K50-K51</f>
        <v>-275177</v>
      </c>
      <c r="L52" s="88">
        <f t="shared" si="21"/>
        <v>-214746.07</v>
      </c>
      <c r="M52" s="88">
        <f t="shared" si="21"/>
        <v>0</v>
      </c>
      <c r="N52" s="88">
        <f t="shared" si="21"/>
        <v>1459109.68</v>
      </c>
      <c r="O52" s="88">
        <f t="shared" si="21"/>
        <v>3937197.2757562264</v>
      </c>
      <c r="P52" s="88">
        <f t="shared" si="21"/>
        <v>-1655145.356528302</v>
      </c>
      <c r="Q52" s="88">
        <f t="shared" si="21"/>
        <v>2650793.4774842742</v>
      </c>
      <c r="R52" s="88">
        <f t="shared" si="21"/>
        <v>0</v>
      </c>
      <c r="S52" s="88">
        <f t="shared" si="21"/>
        <v>-2862415.77</v>
      </c>
      <c r="T52" s="88">
        <f t="shared" si="21"/>
        <v>910129.84415094019</v>
      </c>
      <c r="U52" s="88">
        <f t="shared" si="21"/>
        <v>4603079.4033333333</v>
      </c>
      <c r="V52" s="88">
        <f t="shared" si="21"/>
        <v>1811137.48</v>
      </c>
      <c r="W52" s="88">
        <f t="shared" si="21"/>
        <v>498324</v>
      </c>
      <c r="X52" s="88">
        <f t="shared" si="21"/>
        <v>1312813.48</v>
      </c>
      <c r="Y52" s="88">
        <f t="shared" si="21"/>
        <v>654295.17000000004</v>
      </c>
      <c r="Z52" s="88">
        <f t="shared" ref="Z52" si="23">Z49+Z50-Z51</f>
        <v>-152916.49000000002</v>
      </c>
    </row>
    <row r="53" spans="1:26" s="100" customFormat="1">
      <c r="A53" s="67" t="s">
        <v>177</v>
      </c>
      <c r="B53" s="87">
        <f>SUM(C53:G53)+P53+Q53+V53+Y53+Z53</f>
        <v>-32080774.970000003</v>
      </c>
      <c r="C53" s="89">
        <f>SUMIFS(考核调整事项表!$C:$C,考核调整事项表!$B:$B,累计利润调整表!$A53,考核调整事项表!$D:$D,C$3)+SUMIFS(考核调整事项表!$E:$E,考核调整事项表!$B:$B,累计利润调整表!$A53,考核调整事项表!$F:$F,C$3)</f>
        <v>-32080774.970000003</v>
      </c>
      <c r="D53" s="89">
        <f>SUMIFS(考核调整事项表!$C:$C,考核调整事项表!$B:$B,累计利润调整表!$A53,考核调整事项表!$D:$D,D$3)+SUMIFS(考核调整事项表!$E:$E,考核调整事项表!$B:$B,累计利润调整表!$A53,考核调整事项表!$F:$F,D$3)</f>
        <v>0</v>
      </c>
      <c r="E53" s="89">
        <f>SUMIFS(考核调整事项表!$C:$C,考核调整事项表!$B:$B,累计利润调整表!$A53,考核调整事项表!$D:$D,E$3)+SUMIFS(考核调整事项表!$E:$E,考核调整事项表!$B:$B,累计利润调整表!$A53,考核调整事项表!$F:$F,E$3)</f>
        <v>0</v>
      </c>
      <c r="F53" s="89">
        <f>SUMIFS(考核调整事项表!$C:$C,考核调整事项表!$B:$B,累计利润调整表!$A53,考核调整事项表!$D:$D,F$3)+SUMIFS(考核调整事项表!$E:$E,考核调整事项表!$B:$B,累计利润调整表!$A53,考核调整事项表!$F:$F,F$3)</f>
        <v>0</v>
      </c>
      <c r="G53" s="87">
        <f>SUM(H53:O53)</f>
        <v>0</v>
      </c>
      <c r="H53" s="89">
        <f>SUMIFS(考核调整事项表!$C:$C,考核调整事项表!$B:$B,累计利润调整表!$A53,考核调整事项表!$D:$D,H$3)+SUMIFS(考核调整事项表!$E:$E,考核调整事项表!$B:$B,累计利润调整表!$A53,考核调整事项表!$F:$F,H$3)</f>
        <v>0</v>
      </c>
      <c r="I53" s="89">
        <f>SUMIFS(考核调整事项表!$C:$C,考核调整事项表!$B:$B,累计利润调整表!$A53,考核调整事项表!$D:$D,I$3)+SUMIFS(考核调整事项表!$E:$E,考核调整事项表!$B:$B,累计利润调整表!$A53,考核调整事项表!$F:$F,I$3)</f>
        <v>0</v>
      </c>
      <c r="J53" s="89">
        <f>SUMIFS(考核调整事项表!$C:$C,考核调整事项表!$B:$B,累计利润调整表!$A53,考核调整事项表!$D:$D,J$3)+SUMIFS(考核调整事项表!$E:$E,考核调整事项表!$B:$B,累计利润调整表!$A53,考核调整事项表!$F:$F,J$3)</f>
        <v>0</v>
      </c>
      <c r="K53" s="89">
        <f>SUMIFS(考核调整事项表!$C:$C,考核调整事项表!$B:$B,累计利润调整表!$A53,考核调整事项表!$D:$D,K$3)+SUMIFS(考核调整事项表!$E:$E,考核调整事项表!$B:$B,累计利润调整表!$A53,考核调整事项表!$F:$F,K$3)</f>
        <v>0</v>
      </c>
      <c r="L53" s="89">
        <f>SUMIFS(考核调整事项表!$C:$C,考核调整事项表!$B:$B,累计利润调整表!$A53,考核调整事项表!$D:$D,L$3)+SUMIFS(考核调整事项表!$E:$E,考核调整事项表!$B:$B,累计利润调整表!$A53,考核调整事项表!$F:$F,L$3)</f>
        <v>0</v>
      </c>
      <c r="M53" s="89">
        <f>SUMIFS(考核调整事项表!$C:$C,考核调整事项表!$B:$B,累计利润调整表!$A53,考核调整事项表!$D:$D,M$3)+SUMIFS(考核调整事项表!$E:$E,考核调整事项表!$B:$B,累计利润调整表!$A53,考核调整事项表!$F:$F,M$3)</f>
        <v>0</v>
      </c>
      <c r="N53" s="89">
        <f>SUMIFS(考核调整事项表!$C:$C,考核调整事项表!$B:$B,累计利润调整表!$A53,考核调整事项表!$D:$D,N$3)+SUMIFS(考核调整事项表!$E:$E,考核调整事项表!$B:$B,累计利润调整表!$A53,考核调整事项表!$F:$F,N$3)</f>
        <v>0</v>
      </c>
      <c r="O53" s="89">
        <f>SUMIFS(考核调整事项表!$C:$C,考核调整事项表!$B:$B,累计利润调整表!$A53,考核调整事项表!$D:$D,O$3)+SUMIFS(考核调整事项表!$E:$E,考核调整事项表!$B:$B,累计利润调整表!$A53,考核调整事项表!$F:$F,O$3)</f>
        <v>0</v>
      </c>
      <c r="P53" s="89">
        <f>SUMIFS(考核调整事项表!$C:$C,考核调整事项表!$B:$B,累计利润调整表!$A53,考核调整事项表!$D:$D,P$3)+SUMIFS(考核调整事项表!$E:$E,考核调整事项表!$B:$B,累计利润调整表!$A53,考核调整事项表!$F:$F,P$3)</f>
        <v>0</v>
      </c>
      <c r="Q53" s="89">
        <f t="shared" si="11"/>
        <v>0</v>
      </c>
      <c r="R53" s="89">
        <f>SUMIFS(考核调整事项表!$C:$C,考核调整事项表!$B:$B,累计利润调整表!$A53,考核调整事项表!$D:$D,R$3)+SUMIFS(考核调整事项表!$E:$E,考核调整事项表!$B:$B,累计利润调整表!$A53,考核调整事项表!$F:$F,R$3)</f>
        <v>0</v>
      </c>
      <c r="S53" s="89">
        <f>SUMIFS(考核调整事项表!$C:$C,考核调整事项表!$B:$B,累计利润调整表!$A53,考核调整事项表!$D:$D,S$3)+SUMIFS(考核调整事项表!$E:$E,考核调整事项表!$B:$B,累计利润调整表!$A53,考核调整事项表!$F:$F,S$3)</f>
        <v>0</v>
      </c>
      <c r="T53" s="89">
        <f>SUMIFS(考核调整事项表!$C:$C,考核调整事项表!$B:$B,累计利润调整表!$A53,考核调整事项表!$D:$D,T$3)+SUMIFS(考核调整事项表!$E:$E,考核调整事项表!$B:$B,累计利润调整表!$A53,考核调整事项表!$F:$F,T$3)</f>
        <v>0</v>
      </c>
      <c r="U53" s="89">
        <f>SUMIFS(考核调整事项表!$C:$C,考核调整事项表!$B:$B,累计利润调整表!$A53,考核调整事项表!$D:$D,U$3)+SUMIFS(考核调整事项表!$E:$E,考核调整事项表!$B:$B,累计利润调整表!$A53,考核调整事项表!$F:$F,U$3)</f>
        <v>0</v>
      </c>
      <c r="V53" s="87">
        <f t="shared" si="12"/>
        <v>0</v>
      </c>
      <c r="W53" s="89">
        <f>SUMIFS(考核调整事项表!$C:$C,考核调整事项表!$B:$B,累计利润调整表!$A53,考核调整事项表!$D:$D,W$3)+SUMIFS(考核调整事项表!$E:$E,考核调整事项表!$B:$B,累计利润调整表!$A53,考核调整事项表!$F:$F,W$3)</f>
        <v>0</v>
      </c>
      <c r="X53" s="89">
        <f>SUMIFS(考核调整事项表!$C:$C,考核调整事项表!$B:$B,累计利润调整表!$A53,考核调整事项表!$D:$D,X$3)+SUMIFS(考核调整事项表!$E:$E,考核调整事项表!$B:$B,累计利润调整表!$A53,考核调整事项表!$F:$F,X$3)</f>
        <v>0</v>
      </c>
      <c r="Y53" s="89">
        <f>SUMIFS(考核调整事项表!$C:$C,考核调整事项表!$B:$B,累计利润调整表!$A53,考核调整事项表!$D:$D,Y$3)+SUMIFS(考核调整事项表!$E:$E,考核调整事项表!$B:$B,累计利润调整表!$A53,考核调整事项表!$F:$F,Y$3)</f>
        <v>0</v>
      </c>
      <c r="Z53" s="89">
        <f>SUMIFS(考核调整事项表!$C:$C,考核调整事项表!$B:$B,累计利润调整表!$A53,考核调整事项表!$D:$D,Z$3)+SUMIFS(考核调整事项表!$E:$E,考核调整事项表!$B:$B,累计利润调整表!$A53,考核调整事项表!$F:$F,Z$3)</f>
        <v>0</v>
      </c>
    </row>
    <row r="54" spans="1:26" s="50" customFormat="1">
      <c r="A54" s="66" t="s">
        <v>46</v>
      </c>
      <c r="B54" s="88">
        <f>B52-B53</f>
        <v>-96242324.966666684</v>
      </c>
      <c r="C54" s="88">
        <f t="shared" ref="C54:Y54" si="24">C52-C53</f>
        <v>25990281.399999995</v>
      </c>
      <c r="D54" s="88">
        <f t="shared" si="24"/>
        <v>-1529743.3736745829</v>
      </c>
      <c r="E54" s="88">
        <f t="shared" si="24"/>
        <v>-4021846.8532346636</v>
      </c>
      <c r="F54" s="88">
        <f t="shared" si="24"/>
        <v>-73821742.430000007</v>
      </c>
      <c r="G54" s="88">
        <f t="shared" si="24"/>
        <v>-46167437.990713395</v>
      </c>
      <c r="H54" s="88">
        <f t="shared" ref="H54:P54" si="25">H52-H53</f>
        <v>-8302484.8197903596</v>
      </c>
      <c r="I54" s="88">
        <f>I52-I53</f>
        <v>0</v>
      </c>
      <c r="J54" s="88">
        <f t="shared" si="25"/>
        <v>-42771337.056679264</v>
      </c>
      <c r="K54" s="88">
        <f t="shared" ref="K54" si="26">K52-K53</f>
        <v>-275177</v>
      </c>
      <c r="L54" s="88">
        <f t="shared" si="25"/>
        <v>-214746.07</v>
      </c>
      <c r="M54" s="88">
        <f t="shared" si="25"/>
        <v>0</v>
      </c>
      <c r="N54" s="88">
        <f t="shared" si="25"/>
        <v>1459109.68</v>
      </c>
      <c r="O54" s="88">
        <f t="shared" si="25"/>
        <v>3937197.2757562264</v>
      </c>
      <c r="P54" s="88">
        <f t="shared" si="25"/>
        <v>-1655145.356528302</v>
      </c>
      <c r="Q54" s="88">
        <f t="shared" si="24"/>
        <v>2650793.4774842742</v>
      </c>
      <c r="R54" s="88">
        <f>R52-R53</f>
        <v>0</v>
      </c>
      <c r="S54" s="88">
        <f>S52-S53</f>
        <v>-2862415.77</v>
      </c>
      <c r="T54" s="88">
        <f>T52-T53</f>
        <v>910129.84415094019</v>
      </c>
      <c r="U54" s="88">
        <f>U52-U53</f>
        <v>4603079.4033333333</v>
      </c>
      <c r="V54" s="88">
        <f>V52-V53</f>
        <v>1811137.48</v>
      </c>
      <c r="W54" s="88">
        <f t="shared" si="24"/>
        <v>498324</v>
      </c>
      <c r="X54" s="88">
        <f t="shared" si="24"/>
        <v>1312813.48</v>
      </c>
      <c r="Y54" s="88">
        <f t="shared" si="24"/>
        <v>654295.17000000004</v>
      </c>
      <c r="Z54" s="88">
        <f t="shared" ref="Z54" si="27">Z52-Z53</f>
        <v>-152916.49000000002</v>
      </c>
    </row>
    <row r="55" spans="1:26" s="100" customFormat="1">
      <c r="A55" s="94" t="s">
        <v>47</v>
      </c>
      <c r="B55" s="87">
        <f>SUM(C55:G55)+P55+Q55+V55+Y55+Z55</f>
        <v>96242324.910000011</v>
      </c>
      <c r="C55" s="89">
        <f t="shared" ref="C55:Y55" si="28">-C26</f>
        <v>0</v>
      </c>
      <c r="D55" s="89">
        <f t="shared" si="28"/>
        <v>0</v>
      </c>
      <c r="E55" s="89">
        <f t="shared" si="28"/>
        <v>484631.42</v>
      </c>
      <c r="F55" s="89">
        <f>-F26</f>
        <v>55673491.770000003</v>
      </c>
      <c r="G55" s="89">
        <f t="shared" si="28"/>
        <v>40084201.720000006</v>
      </c>
      <c r="H55" s="89">
        <f t="shared" si="28"/>
        <v>24371224.550000001</v>
      </c>
      <c r="I55" s="89">
        <f>-I26</f>
        <v>0</v>
      </c>
      <c r="J55" s="89">
        <f t="shared" si="28"/>
        <v>17788273.289999999</v>
      </c>
      <c r="K55" s="89">
        <f t="shared" ref="K55" si="29">-K26</f>
        <v>0</v>
      </c>
      <c r="L55" s="89">
        <f t="shared" si="28"/>
        <v>0</v>
      </c>
      <c r="M55" s="89">
        <f t="shared" si="28"/>
        <v>0</v>
      </c>
      <c r="N55" s="89">
        <f t="shared" si="28"/>
        <v>0</v>
      </c>
      <c r="O55" s="89">
        <f>-O26</f>
        <v>-2075296.12</v>
      </c>
      <c r="P55" s="89">
        <f t="shared" si="28"/>
        <v>0</v>
      </c>
      <c r="Q55" s="89">
        <f t="shared" si="28"/>
        <v>0</v>
      </c>
      <c r="R55" s="89">
        <f t="shared" si="28"/>
        <v>0</v>
      </c>
      <c r="S55" s="89">
        <f t="shared" si="28"/>
        <v>0</v>
      </c>
      <c r="T55" s="89">
        <f t="shared" si="28"/>
        <v>0</v>
      </c>
      <c r="U55" s="89">
        <f t="shared" si="28"/>
        <v>0</v>
      </c>
      <c r="V55" s="87">
        <f t="shared" si="12"/>
        <v>0</v>
      </c>
      <c r="W55" s="89">
        <f t="shared" si="28"/>
        <v>0</v>
      </c>
      <c r="X55" s="89">
        <f t="shared" si="28"/>
        <v>0</v>
      </c>
      <c r="Y55" s="89">
        <f t="shared" si="28"/>
        <v>0</v>
      </c>
      <c r="Z55" s="89">
        <f t="shared" ref="Z55" si="30">-Z26</f>
        <v>0</v>
      </c>
    </row>
    <row r="56" spans="1:26" s="50" customFormat="1" ht="14.25" thickBot="1">
      <c r="A56" s="69" t="s">
        <v>48</v>
      </c>
      <c r="B56" s="90">
        <f>B54+B55</f>
        <v>-5.6666672229766846E-2</v>
      </c>
      <c r="C56" s="90">
        <f t="shared" ref="C56:Y56" si="31">C54+C55</f>
        <v>25990281.399999995</v>
      </c>
      <c r="D56" s="90">
        <f t="shared" si="31"/>
        <v>-1529743.3736745829</v>
      </c>
      <c r="E56" s="90">
        <f t="shared" si="31"/>
        <v>-3537215.4332346637</v>
      </c>
      <c r="F56" s="90">
        <f t="shared" si="31"/>
        <v>-18148250.660000004</v>
      </c>
      <c r="G56" s="90">
        <f t="shared" si="31"/>
        <v>-6083236.2707133889</v>
      </c>
      <c r="H56" s="90">
        <f t="shared" ref="H56:P56" si="32">H54+H55</f>
        <v>16068739.730209641</v>
      </c>
      <c r="I56" s="90">
        <f>I54+I55</f>
        <v>0</v>
      </c>
      <c r="J56" s="90">
        <f t="shared" si="32"/>
        <v>-24983063.766679265</v>
      </c>
      <c r="K56" s="90">
        <f t="shared" ref="K56" si="33">K54+K55</f>
        <v>-275177</v>
      </c>
      <c r="L56" s="90">
        <f t="shared" si="32"/>
        <v>-214746.07</v>
      </c>
      <c r="M56" s="90">
        <f t="shared" si="32"/>
        <v>0</v>
      </c>
      <c r="N56" s="90">
        <f t="shared" si="32"/>
        <v>1459109.68</v>
      </c>
      <c r="O56" s="90">
        <f t="shared" si="32"/>
        <v>1861901.1557562263</v>
      </c>
      <c r="P56" s="90">
        <f t="shared" si="32"/>
        <v>-1655145.356528302</v>
      </c>
      <c r="Q56" s="90">
        <f t="shared" si="31"/>
        <v>2650793.4774842742</v>
      </c>
      <c r="R56" s="90">
        <f>R54+R55</f>
        <v>0</v>
      </c>
      <c r="S56" s="90">
        <f>S54+S55</f>
        <v>-2862415.77</v>
      </c>
      <c r="T56" s="90">
        <f>T54+T55</f>
        <v>910129.84415094019</v>
      </c>
      <c r="U56" s="90">
        <f>U54+U55</f>
        <v>4603079.4033333333</v>
      </c>
      <c r="V56" s="90">
        <f>V54+V55</f>
        <v>1811137.48</v>
      </c>
      <c r="W56" s="90">
        <f t="shared" si="31"/>
        <v>498324</v>
      </c>
      <c r="X56" s="90">
        <f t="shared" si="31"/>
        <v>1312813.48</v>
      </c>
      <c r="Y56" s="90">
        <f t="shared" si="31"/>
        <v>654295.17000000004</v>
      </c>
      <c r="Z56" s="90">
        <f t="shared" ref="Z56" si="34">Z54+Z55</f>
        <v>-152916.49000000002</v>
      </c>
    </row>
    <row r="57" spans="1:26" s="47" customFormat="1">
      <c r="A57" s="48" t="s">
        <v>49</v>
      </c>
      <c r="B57" s="83">
        <f>B58-B41</f>
        <v>5.6666672229766846E-2</v>
      </c>
    </row>
    <row r="58" spans="1:26" s="47" customFormat="1">
      <c r="A58" s="58" t="s">
        <v>47</v>
      </c>
      <c r="B58" s="58">
        <f>B26/0.75</f>
        <v>-128323099.88000001</v>
      </c>
      <c r="C58" s="58">
        <f>C26/0.75</f>
        <v>0</v>
      </c>
      <c r="D58" s="58">
        <f>D26/0.75</f>
        <v>0</v>
      </c>
      <c r="E58" s="98">
        <f t="shared" ref="E58:Y58" si="35">E26/0.75</f>
        <v>-646175.22666666668</v>
      </c>
      <c r="F58" s="58">
        <f>F26/0.75</f>
        <v>-74231322.359999999</v>
      </c>
      <c r="G58" s="58">
        <f t="shared" si="35"/>
        <v>-53445602.293333344</v>
      </c>
      <c r="H58" s="58">
        <f t="shared" si="35"/>
        <v>-32494966.066666666</v>
      </c>
      <c r="I58" s="58"/>
      <c r="J58" s="58">
        <f t="shared" si="35"/>
        <v>-23717697.719999999</v>
      </c>
      <c r="K58" s="58">
        <f t="shared" ref="K58" si="36">K26/0.75</f>
        <v>0</v>
      </c>
      <c r="L58" s="58">
        <f t="shared" si="35"/>
        <v>0</v>
      </c>
      <c r="M58" s="58">
        <f t="shared" si="35"/>
        <v>0</v>
      </c>
      <c r="N58" s="58">
        <f t="shared" si="35"/>
        <v>0</v>
      </c>
      <c r="O58" s="58">
        <f t="shared" si="35"/>
        <v>2767061.4933333336</v>
      </c>
      <c r="P58" s="58">
        <f t="shared" si="35"/>
        <v>0</v>
      </c>
      <c r="Q58" s="58">
        <f t="shared" si="35"/>
        <v>0</v>
      </c>
      <c r="R58" s="58">
        <f t="shared" si="35"/>
        <v>0</v>
      </c>
      <c r="S58" s="58">
        <f t="shared" si="35"/>
        <v>0</v>
      </c>
      <c r="T58" s="58">
        <f t="shared" si="35"/>
        <v>0</v>
      </c>
      <c r="U58" s="58">
        <f t="shared" si="35"/>
        <v>0</v>
      </c>
      <c r="V58" s="58">
        <f t="shared" si="35"/>
        <v>0</v>
      </c>
      <c r="W58" s="58">
        <f t="shared" si="35"/>
        <v>0</v>
      </c>
      <c r="X58" s="58">
        <f t="shared" si="35"/>
        <v>0</v>
      </c>
      <c r="Y58" s="58">
        <f t="shared" si="35"/>
        <v>0</v>
      </c>
      <c r="Z58" s="58">
        <f t="shared" ref="Z58" si="37">Z26/0.75</f>
        <v>0</v>
      </c>
    </row>
    <row r="59" spans="1:26" s="47" customFormat="1">
      <c r="A59" s="58" t="s">
        <v>51</v>
      </c>
      <c r="B59" s="58">
        <f>SUM(C59:G59)+P59+Q59+V59</f>
        <v>267383419.97999999</v>
      </c>
      <c r="C59" s="58">
        <f>SUMIFS(考核调整事项表!$C:$C,考核调整事项表!$B:$B,累计利润调整表!$A$59,考核调整事项表!$D:$D,累计利润调整表!C$3)</f>
        <v>0</v>
      </c>
      <c r="D59" s="58">
        <f>SUMIFS(考核调整事项表!$C:$C,考核调整事项表!$B:$B,累计利润调整表!$A$59,考核调整事项表!$D:$D,累计利润调整表!D$3)</f>
        <v>0</v>
      </c>
      <c r="E59" s="58">
        <f>SUMIFS(考核调整事项表!$C:$C,考核调整事项表!$B:$B,累计利润调整表!$A$59,考核调整事项表!$D:$D,累计利润调整表!E$3)</f>
        <v>267383419.97999999</v>
      </c>
      <c r="F59" s="58">
        <f>SUMIFS(考核调整事项表!$C:$C,考核调整事项表!$B:$B,累计利润调整表!$A$59,考核调整事项表!$D:$D,累计利润调整表!F$3)</f>
        <v>0</v>
      </c>
      <c r="G59" s="58">
        <f>SUM(H59:O59)</f>
        <v>0</v>
      </c>
      <c r="H59" s="58">
        <f>SUMIFS(考核调整事项表!$C:$C,考核调整事项表!$B:$B,累计利润调整表!$A$59,考核调整事项表!$D:$D,累计利润调整表!H$3)</f>
        <v>0</v>
      </c>
      <c r="I59" s="58"/>
      <c r="J59" s="58">
        <f>SUMIFS(考核调整事项表!$C:$C,考核调整事项表!$B:$B,累计利润调整表!$A$59,考核调整事项表!$D:$D,累计利润调整表!J$3)</f>
        <v>0</v>
      </c>
      <c r="K59" s="58">
        <f>SUMIFS(考核调整事项表!$C:$C,考核调整事项表!$B:$B,累计利润调整表!$A$59,考核调整事项表!$D:$D,累计利润调整表!K$3)</f>
        <v>0</v>
      </c>
      <c r="L59" s="58">
        <f>SUMIFS(考核调整事项表!$C:$C,考核调整事项表!$B:$B,累计利润调整表!$A$59,考核调整事项表!$D:$D,累计利润调整表!L$3)</f>
        <v>0</v>
      </c>
      <c r="M59" s="58">
        <f>SUMIFS(考核调整事项表!$C:$C,考核调整事项表!$B:$B,累计利润调整表!$A$59,考核调整事项表!$D:$D,累计利润调整表!M$3)</f>
        <v>0</v>
      </c>
      <c r="N59" s="58">
        <f>SUMIFS(考核调整事项表!$C:$C,考核调整事项表!$B:$B,累计利润调整表!$A$59,考核调整事项表!$D:$D,累计利润调整表!N$3)</f>
        <v>0</v>
      </c>
      <c r="O59" s="58">
        <f>SUMIFS(考核调整事项表!$C:$C,考核调整事项表!$B:$B,累计利润调整表!$A$59,考核调整事项表!$D:$D,累计利润调整表!O$3)</f>
        <v>0</v>
      </c>
      <c r="P59" s="58">
        <f>SUMIFS(考核调整事项表!$C:$C,考核调整事项表!$B:$B,累计利润调整表!$A$59,考核调整事项表!$D:$D,累计利润调整表!P$3)</f>
        <v>0</v>
      </c>
      <c r="Q59" s="58">
        <f>SUM(R59:U59)</f>
        <v>0</v>
      </c>
      <c r="R59" s="58">
        <f>SUMIFS(考核调整事项表!$C:$C,考核调整事项表!$B:$B,累计利润调整表!$A$59,考核调整事项表!$D:$D,累计利润调整表!R$3)</f>
        <v>0</v>
      </c>
      <c r="S59" s="58">
        <f>SUMIFS(考核调整事项表!$C:$C,考核调整事项表!$B:$B,累计利润调整表!$A$59,考核调整事项表!$D:$D,累计利润调整表!S$3)</f>
        <v>0</v>
      </c>
      <c r="T59" s="58">
        <f>SUMIFS(考核调整事项表!$C:$C,考核调整事项表!$B:$B,累计利润调整表!$A$59,考核调整事项表!$D:$D,累计利润调整表!T$3)</f>
        <v>0</v>
      </c>
      <c r="U59" s="58">
        <f>SUMIFS(考核调整事项表!$C:$C,考核调整事项表!$B:$B,累计利润调整表!$A$59,考核调整事项表!$D:$D,累计利润调整表!U$3)</f>
        <v>0</v>
      </c>
      <c r="V59" s="58">
        <f>SUM(W59:Y59)</f>
        <v>0</v>
      </c>
      <c r="W59" s="58">
        <f>SUMIFS(考核调整事项表!$C:$C,考核调整事项表!$B:$B,累计利润调整表!$A$59,考核调整事项表!$D:$D,累计利润调整表!W$3)</f>
        <v>0</v>
      </c>
      <c r="X59" s="58">
        <f>SUMIFS(考核调整事项表!$C:$C,考核调整事项表!$B:$B,累计利润调整表!$A$59,考核调整事项表!$D:$D,累计利润调整表!X$3)</f>
        <v>0</v>
      </c>
      <c r="Y59" s="58">
        <f>SUMIFS(考核调整事项表!$C:$C,考核调整事项表!$B:$B,累计利润调整表!$A$59,考核调整事项表!$D:$D,累计利润调整表!Y$3)</f>
        <v>0</v>
      </c>
      <c r="Z59" s="58"/>
    </row>
    <row r="60" spans="1:26" s="49" customFormat="1" ht="12">
      <c r="A60" s="70"/>
      <c r="B60" s="70" t="s">
        <v>52</v>
      </c>
    </row>
    <row r="61" spans="1:26" s="47" customFormat="1">
      <c r="C61" s="47">
        <f>C46-累计考核费用!D104</f>
        <v>0</v>
      </c>
      <c r="D61" s="47">
        <f>D46-累计考核费用!E104</f>
        <v>0</v>
      </c>
    </row>
    <row r="62" spans="1:26" s="47" customFormat="1" ht="14.25" thickBot="1">
      <c r="A62" s="62" t="s">
        <v>53</v>
      </c>
      <c r="B62" s="292" t="s">
        <v>372</v>
      </c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</row>
    <row r="63" spans="1:26" s="47" customFormat="1" ht="14.25" customHeight="1">
      <c r="A63" s="34" t="s">
        <v>3</v>
      </c>
      <c r="B63" s="34" t="str">
        <f>B3</f>
        <v>合计</v>
      </c>
      <c r="C63" s="34" t="str">
        <f t="shared" ref="C63:Y63" si="38">C3</f>
        <v>其他</v>
      </c>
      <c r="D63" s="34" t="str">
        <f t="shared" si="38"/>
        <v>总部中后台</v>
      </c>
      <c r="E63" s="34" t="str">
        <f t="shared" si="38"/>
        <v>经纪业务部</v>
      </c>
      <c r="F63" s="34" t="str">
        <f t="shared" si="38"/>
        <v>资产管理部</v>
      </c>
      <c r="G63" s="34" t="str">
        <f t="shared" si="38"/>
        <v>深分公司合计</v>
      </c>
      <c r="H63" s="40" t="str">
        <f t="shared" si="38"/>
        <v>固定收益部</v>
      </c>
      <c r="I63" s="40" t="str">
        <f>I3</f>
        <v>投顾业务部</v>
      </c>
      <c r="J63" s="40" t="str">
        <f t="shared" si="38"/>
        <v>证券投资部</v>
      </c>
      <c r="K63" s="40" t="str">
        <f>K3</f>
        <v>做市业务部</v>
      </c>
      <c r="L63" s="40" t="str">
        <f t="shared" si="38"/>
        <v>金融衍生品投资部</v>
      </c>
      <c r="M63" s="40" t="str">
        <f t="shared" si="38"/>
        <v>风险管理部</v>
      </c>
      <c r="N63" s="40" t="str">
        <f t="shared" si="38"/>
        <v>深圳管理部</v>
      </c>
      <c r="O63" s="40" t="str">
        <f t="shared" si="38"/>
        <v>金融工程部</v>
      </c>
      <c r="P63" s="34" t="str">
        <f t="shared" si="38"/>
        <v>中小企业融资部</v>
      </c>
      <c r="Q63" s="34" t="str">
        <f t="shared" si="38"/>
        <v>投资银行合计</v>
      </c>
      <c r="R63" s="40" t="str">
        <f t="shared" si="38"/>
        <v>财务顾问部</v>
      </c>
      <c r="S63" s="40" t="str">
        <f t="shared" si="38"/>
        <v>债券融资部</v>
      </c>
      <c r="T63" s="40" t="str">
        <f t="shared" si="38"/>
        <v>股权融资部</v>
      </c>
      <c r="U63" s="40" t="str">
        <f t="shared" si="38"/>
        <v>投资银行总部</v>
      </c>
      <c r="V63" s="34" t="str">
        <f t="shared" si="38"/>
        <v>浙江分公司小计</v>
      </c>
      <c r="W63" s="40" t="str">
        <f t="shared" si="38"/>
        <v>浙分总部</v>
      </c>
      <c r="X63" s="40" t="str">
        <f t="shared" si="38"/>
        <v>综合业务部</v>
      </c>
      <c r="Y63" s="34" t="str">
        <f t="shared" si="38"/>
        <v>网络金融部</v>
      </c>
      <c r="Z63" s="34" t="str">
        <f t="shared" ref="Z63" si="39">Z3</f>
        <v>广东分公司</v>
      </c>
    </row>
    <row r="64" spans="1:26" s="99" customFormat="1">
      <c r="A64" s="63" t="s">
        <v>25</v>
      </c>
      <c r="B64" s="63">
        <f t="shared" ref="B64:Y64" si="40">B4+B33</f>
        <v>1144217911.3733337</v>
      </c>
      <c r="C64" s="63">
        <f t="shared" si="40"/>
        <v>-47940272.750000007</v>
      </c>
      <c r="D64" s="63">
        <f t="shared" si="40"/>
        <v>-233224085.39788258</v>
      </c>
      <c r="E64" s="63">
        <f t="shared" si="40"/>
        <v>1121060631.9133332</v>
      </c>
      <c r="F64" s="63">
        <f>F4+F33</f>
        <v>-154543204.44999999</v>
      </c>
      <c r="G64" s="63">
        <f t="shared" si="40"/>
        <v>73555.676926642656</v>
      </c>
      <c r="H64" s="63">
        <f t="shared" si="40"/>
        <v>158951334.14020967</v>
      </c>
      <c r="I64" s="63">
        <f>I4+I33</f>
        <v>0</v>
      </c>
      <c r="J64" s="63">
        <f>J4+J33</f>
        <v>-148922556.16667926</v>
      </c>
      <c r="K64" s="63">
        <f>K4+K33</f>
        <v>0</v>
      </c>
      <c r="L64" s="63">
        <f t="shared" si="40"/>
        <v>5765888.4900000002</v>
      </c>
      <c r="M64" s="63">
        <f t="shared" si="40"/>
        <v>0</v>
      </c>
      <c r="N64" s="63">
        <f t="shared" si="40"/>
        <v>5630.8799999999992</v>
      </c>
      <c r="O64" s="63">
        <f t="shared" si="40"/>
        <v>-15726741.666603776</v>
      </c>
      <c r="P64" s="63">
        <f t="shared" si="40"/>
        <v>36296846.203471698</v>
      </c>
      <c r="Q64" s="63">
        <f t="shared" si="40"/>
        <v>420935445.66748434</v>
      </c>
      <c r="R64" s="63">
        <f t="shared" si="40"/>
        <v>0</v>
      </c>
      <c r="S64" s="63">
        <f t="shared" si="40"/>
        <v>347668822.43000001</v>
      </c>
      <c r="T64" s="63">
        <f t="shared" si="40"/>
        <v>68283310.874150947</v>
      </c>
      <c r="U64" s="63">
        <f t="shared" si="40"/>
        <v>4983312.3633333333</v>
      </c>
      <c r="V64" s="63">
        <f t="shared" si="40"/>
        <v>1559185.4200000002</v>
      </c>
      <c r="W64" s="63">
        <f t="shared" si="40"/>
        <v>1694.85</v>
      </c>
      <c r="X64" s="63">
        <f t="shared" si="40"/>
        <v>1557490.57</v>
      </c>
      <c r="Y64" s="63">
        <f t="shared" si="40"/>
        <v>-199.84000000000003</v>
      </c>
      <c r="Z64" s="63">
        <f t="shared" ref="Z64" si="41">Z4+Z33</f>
        <v>8.93</v>
      </c>
    </row>
    <row r="65" spans="1:26" s="50" customFormat="1">
      <c r="A65" s="64" t="s">
        <v>26</v>
      </c>
      <c r="B65" s="67">
        <f t="shared" ref="B65:Y70" si="42">B5+B34</f>
        <v>1091921992.4300001</v>
      </c>
      <c r="C65" s="67">
        <f t="shared" si="42"/>
        <v>58500.870000000112</v>
      </c>
      <c r="D65" s="67">
        <f t="shared" si="42"/>
        <v>-785383.67999989132</v>
      </c>
      <c r="E65" s="67">
        <f t="shared" si="42"/>
        <v>571188339.31999993</v>
      </c>
      <c r="F65" s="67">
        <f t="shared" si="42"/>
        <v>62096182.980000004</v>
      </c>
      <c r="G65" s="67">
        <f t="shared" si="42"/>
        <v>6439160.330000001</v>
      </c>
      <c r="H65" s="91">
        <f t="shared" si="42"/>
        <v>5542969.9200000009</v>
      </c>
      <c r="I65" s="67">
        <f t="shared" si="42"/>
        <v>0</v>
      </c>
      <c r="J65" s="67">
        <f t="shared" si="42"/>
        <v>600000</v>
      </c>
      <c r="K65" s="67">
        <f t="shared" ref="K65" si="43">K5+K34</f>
        <v>0</v>
      </c>
      <c r="L65" s="67">
        <f t="shared" si="42"/>
        <v>35530.800000000003</v>
      </c>
      <c r="M65" s="67">
        <f t="shared" si="42"/>
        <v>0</v>
      </c>
      <c r="N65" s="67">
        <f t="shared" si="42"/>
        <v>-3820</v>
      </c>
      <c r="O65" s="67">
        <f t="shared" si="42"/>
        <v>264479.61</v>
      </c>
      <c r="P65" s="67">
        <f t="shared" si="42"/>
        <v>35833032.93</v>
      </c>
      <c r="Q65" s="67">
        <f t="shared" si="42"/>
        <v>415935048.95000005</v>
      </c>
      <c r="R65" s="67">
        <f t="shared" si="42"/>
        <v>0</v>
      </c>
      <c r="S65" s="67">
        <f t="shared" si="42"/>
        <v>347668822.43000001</v>
      </c>
      <c r="T65" s="67">
        <f t="shared" si="42"/>
        <v>66307358.610000007</v>
      </c>
      <c r="U65" s="67">
        <f t="shared" si="42"/>
        <v>1958867.9100000001</v>
      </c>
      <c r="V65" s="67">
        <f>V5+V34</f>
        <v>1157310.57</v>
      </c>
      <c r="W65" s="67">
        <f t="shared" si="42"/>
        <v>-180</v>
      </c>
      <c r="X65" s="67">
        <f t="shared" si="42"/>
        <v>1157490.57</v>
      </c>
      <c r="Y65" s="67">
        <f t="shared" si="42"/>
        <v>-199.84000000000003</v>
      </c>
      <c r="Z65" s="67">
        <f t="shared" ref="Z65" si="44">Z5+Z34</f>
        <v>0</v>
      </c>
    </row>
    <row r="66" spans="1:26" s="50" customFormat="1">
      <c r="A66" s="65" t="s">
        <v>27</v>
      </c>
      <c r="B66" s="65">
        <f t="shared" ref="B66:Y66" si="45">B6+B35</f>
        <v>561558941.46000004</v>
      </c>
      <c r="C66" s="65">
        <f t="shared" si="45"/>
        <v>-824350.51</v>
      </c>
      <c r="D66" s="65">
        <f t="shared" si="45"/>
        <v>-353218.25999999838</v>
      </c>
      <c r="E66" s="65">
        <f t="shared" si="45"/>
        <v>562326133.48000002</v>
      </c>
      <c r="F66" s="65">
        <f t="shared" si="45"/>
        <v>110366.34</v>
      </c>
      <c r="G66" s="65">
        <f t="shared" si="45"/>
        <v>300010.41000000003</v>
      </c>
      <c r="H66" s="92">
        <f t="shared" si="45"/>
        <v>0</v>
      </c>
      <c r="I66" s="256">
        <f t="shared" si="42"/>
        <v>0</v>
      </c>
      <c r="J66" s="65">
        <f t="shared" si="45"/>
        <v>0</v>
      </c>
      <c r="K66" s="65">
        <f t="shared" ref="K66" si="46">K6+K35</f>
        <v>0</v>
      </c>
      <c r="L66" s="65">
        <f t="shared" si="45"/>
        <v>35530.800000000003</v>
      </c>
      <c r="M66" s="65">
        <f t="shared" si="45"/>
        <v>0</v>
      </c>
      <c r="N66" s="65">
        <f t="shared" si="45"/>
        <v>0</v>
      </c>
      <c r="O66" s="65">
        <f t="shared" si="45"/>
        <v>264479.61</v>
      </c>
      <c r="P66" s="65">
        <f t="shared" si="45"/>
        <v>0</v>
      </c>
      <c r="Q66" s="65">
        <f t="shared" si="45"/>
        <v>0</v>
      </c>
      <c r="R66" s="65">
        <f t="shared" si="45"/>
        <v>0</v>
      </c>
      <c r="S66" s="65">
        <f t="shared" si="45"/>
        <v>0</v>
      </c>
      <c r="T66" s="65">
        <f t="shared" si="45"/>
        <v>0</v>
      </c>
      <c r="U66" s="65">
        <f t="shared" si="45"/>
        <v>0</v>
      </c>
      <c r="V66" s="65">
        <f t="shared" si="45"/>
        <v>0</v>
      </c>
      <c r="W66" s="65">
        <f t="shared" si="45"/>
        <v>0</v>
      </c>
      <c r="X66" s="65">
        <f t="shared" si="45"/>
        <v>0</v>
      </c>
      <c r="Y66" s="65">
        <f t="shared" si="45"/>
        <v>0</v>
      </c>
      <c r="Z66" s="65">
        <f t="shared" ref="Z66" si="47">Z6+Z35</f>
        <v>0</v>
      </c>
    </row>
    <row r="67" spans="1:26" s="50" customFormat="1">
      <c r="A67" s="65" t="s">
        <v>28</v>
      </c>
      <c r="B67" s="65">
        <f t="shared" ref="B67:Y67" si="48">B7+B36</f>
        <v>453431982.71000004</v>
      </c>
      <c r="C67" s="65">
        <f t="shared" si="48"/>
        <v>-5073015.09</v>
      </c>
      <c r="D67" s="65">
        <f t="shared" si="48"/>
        <v>-7.2759576141834259E-8</v>
      </c>
      <c r="E67" s="65">
        <f t="shared" si="48"/>
        <v>5216925.3499999996</v>
      </c>
      <c r="F67" s="65">
        <f t="shared" si="48"/>
        <v>0</v>
      </c>
      <c r="G67" s="65">
        <f t="shared" si="48"/>
        <v>600000</v>
      </c>
      <c r="H67" s="92">
        <f t="shared" si="48"/>
        <v>0</v>
      </c>
      <c r="I67" s="256">
        <f t="shared" si="42"/>
        <v>0</v>
      </c>
      <c r="J67" s="65">
        <f t="shared" si="48"/>
        <v>600000</v>
      </c>
      <c r="K67" s="65">
        <f t="shared" ref="K67" si="49">K7+K36</f>
        <v>0</v>
      </c>
      <c r="L67" s="65">
        <f t="shared" si="48"/>
        <v>0</v>
      </c>
      <c r="M67" s="65">
        <f t="shared" si="48"/>
        <v>0</v>
      </c>
      <c r="N67" s="65">
        <f t="shared" si="48"/>
        <v>0</v>
      </c>
      <c r="O67" s="65">
        <f t="shared" si="48"/>
        <v>0</v>
      </c>
      <c r="P67" s="65">
        <f t="shared" si="48"/>
        <v>35833032.93</v>
      </c>
      <c r="Q67" s="65">
        <f t="shared" si="48"/>
        <v>415697548.95000005</v>
      </c>
      <c r="R67" s="65">
        <f t="shared" si="48"/>
        <v>0</v>
      </c>
      <c r="S67" s="65">
        <f t="shared" si="48"/>
        <v>347431322.43000001</v>
      </c>
      <c r="T67" s="65">
        <f t="shared" si="48"/>
        <v>66307358.610000007</v>
      </c>
      <c r="U67" s="65">
        <f t="shared" si="48"/>
        <v>1958867.9100000001</v>
      </c>
      <c r="V67" s="65">
        <f t="shared" si="48"/>
        <v>1157490.57</v>
      </c>
      <c r="W67" s="65">
        <f t="shared" si="48"/>
        <v>0</v>
      </c>
      <c r="X67" s="65">
        <f t="shared" si="48"/>
        <v>1157490.57</v>
      </c>
      <c r="Y67" s="65">
        <f t="shared" si="48"/>
        <v>0</v>
      </c>
      <c r="Z67" s="65">
        <f t="shared" ref="Z67" si="50">Z7+Z36</f>
        <v>0</v>
      </c>
    </row>
    <row r="68" spans="1:26" s="50" customFormat="1">
      <c r="A68" s="65" t="s">
        <v>29</v>
      </c>
      <c r="B68" s="65">
        <f t="shared" ref="B68:Y68" si="51">B8+B37</f>
        <v>68244349.840000004</v>
      </c>
      <c r="C68" s="65">
        <f t="shared" si="51"/>
        <v>5955866.4699999997</v>
      </c>
      <c r="D68" s="65">
        <f t="shared" si="51"/>
        <v>0</v>
      </c>
      <c r="E68" s="65">
        <f t="shared" si="51"/>
        <v>302000.73</v>
      </c>
      <c r="F68" s="65">
        <f t="shared" si="51"/>
        <v>61986482.640000001</v>
      </c>
      <c r="G68" s="65">
        <f t="shared" si="51"/>
        <v>0</v>
      </c>
      <c r="H68" s="92">
        <f t="shared" si="51"/>
        <v>0</v>
      </c>
      <c r="I68" s="256">
        <f t="shared" si="42"/>
        <v>0</v>
      </c>
      <c r="J68" s="65">
        <f t="shared" si="51"/>
        <v>0</v>
      </c>
      <c r="K68" s="65">
        <f t="shared" ref="K68" si="52">K8+K37</f>
        <v>0</v>
      </c>
      <c r="L68" s="65">
        <f t="shared" si="51"/>
        <v>0</v>
      </c>
      <c r="M68" s="65">
        <f t="shared" si="51"/>
        <v>0</v>
      </c>
      <c r="N68" s="65">
        <f t="shared" si="51"/>
        <v>0</v>
      </c>
      <c r="O68" s="65">
        <f t="shared" si="51"/>
        <v>0</v>
      </c>
      <c r="P68" s="65">
        <f t="shared" si="51"/>
        <v>0</v>
      </c>
      <c r="Q68" s="65">
        <f t="shared" si="51"/>
        <v>0</v>
      </c>
      <c r="R68" s="65">
        <f t="shared" si="51"/>
        <v>0</v>
      </c>
      <c r="S68" s="65">
        <f t="shared" si="51"/>
        <v>0</v>
      </c>
      <c r="T68" s="65">
        <f t="shared" si="51"/>
        <v>0</v>
      </c>
      <c r="U68" s="65">
        <f t="shared" si="51"/>
        <v>0</v>
      </c>
      <c r="V68" s="65">
        <f t="shared" si="51"/>
        <v>0</v>
      </c>
      <c r="W68" s="65">
        <f t="shared" si="51"/>
        <v>0</v>
      </c>
      <c r="X68" s="65">
        <f t="shared" si="51"/>
        <v>0</v>
      </c>
      <c r="Y68" s="65">
        <f t="shared" si="51"/>
        <v>0</v>
      </c>
      <c r="Z68" s="65">
        <f t="shared" ref="Z68" si="53">Z8+Z37</f>
        <v>0</v>
      </c>
    </row>
    <row r="69" spans="1:26" s="99" customFormat="1">
      <c r="A69" s="64" t="s">
        <v>178</v>
      </c>
      <c r="B69" s="64">
        <f t="shared" ref="B69:Y69" si="54">B9+B38</f>
        <v>287264199.19</v>
      </c>
      <c r="C69" s="64">
        <f t="shared" si="54"/>
        <v>-8070713.7700000005</v>
      </c>
      <c r="D69" s="64">
        <f t="shared" si="54"/>
        <v>-247956717.4933334</v>
      </c>
      <c r="E69" s="64">
        <f t="shared" si="54"/>
        <v>541784473.68000007</v>
      </c>
      <c r="F69" s="64">
        <f t="shared" si="54"/>
        <v>237121.52</v>
      </c>
      <c r="G69" s="64">
        <f t="shared" si="54"/>
        <v>-1756292.9799999991</v>
      </c>
      <c r="H69" s="101">
        <f t="shared" si="54"/>
        <v>-6376318.6400000006</v>
      </c>
      <c r="I69" s="64">
        <f t="shared" si="42"/>
        <v>0</v>
      </c>
      <c r="J69" s="64">
        <f t="shared" si="54"/>
        <v>4256808.0500000007</v>
      </c>
      <c r="K69" s="64">
        <f t="shared" ref="K69" si="55">K9+K38</f>
        <v>0</v>
      </c>
      <c r="L69" s="64">
        <f t="shared" si="54"/>
        <v>-282393.39</v>
      </c>
      <c r="M69" s="64">
        <f t="shared" si="54"/>
        <v>0</v>
      </c>
      <c r="N69" s="64">
        <f t="shared" si="54"/>
        <v>9450.8799999999992</v>
      </c>
      <c r="O69" s="64">
        <f t="shared" si="54"/>
        <v>636160.12</v>
      </c>
      <c r="P69" s="64">
        <f t="shared" si="54"/>
        <v>0</v>
      </c>
      <c r="Q69" s="64">
        <f t="shared" si="54"/>
        <v>3024444.4533333336</v>
      </c>
      <c r="R69" s="64">
        <f t="shared" si="54"/>
        <v>0</v>
      </c>
      <c r="S69" s="64">
        <f t="shared" si="54"/>
        <v>0</v>
      </c>
      <c r="T69" s="64">
        <f t="shared" si="54"/>
        <v>0</v>
      </c>
      <c r="U69" s="64">
        <f t="shared" si="54"/>
        <v>3024444.4533333336</v>
      </c>
      <c r="V69" s="64">
        <f t="shared" si="54"/>
        <v>1874.85</v>
      </c>
      <c r="W69" s="64">
        <f t="shared" si="54"/>
        <v>1874.85</v>
      </c>
      <c r="X69" s="64">
        <f t="shared" si="54"/>
        <v>0</v>
      </c>
      <c r="Y69" s="64">
        <f t="shared" si="54"/>
        <v>0</v>
      </c>
      <c r="Z69" s="64">
        <f t="shared" ref="Z69" si="56">Z9+Z38</f>
        <v>8.93</v>
      </c>
    </row>
    <row r="70" spans="1:26" s="99" customFormat="1">
      <c r="A70" s="64" t="s">
        <v>31</v>
      </c>
      <c r="B70" s="64">
        <f t="shared" ref="B70:Y70" si="57">B10+B39</f>
        <v>-40159995.250000007</v>
      </c>
      <c r="C70" s="64">
        <f t="shared" si="57"/>
        <v>-6787932.1799999997</v>
      </c>
      <c r="D70" s="64">
        <f t="shared" si="57"/>
        <v>15686833.405450713</v>
      </c>
      <c r="E70" s="64">
        <f t="shared" si="57"/>
        <v>667784.83999999985</v>
      </c>
      <c r="F70" s="64">
        <f t="shared" si="57"/>
        <v>-144696361.03999999</v>
      </c>
      <c r="G70" s="64">
        <f t="shared" si="57"/>
        <v>93044639.184926644</v>
      </c>
      <c r="H70" s="101">
        <f t="shared" si="57"/>
        <v>231271063.06020966</v>
      </c>
      <c r="I70" s="64">
        <f t="shared" si="42"/>
        <v>0</v>
      </c>
      <c r="J70" s="64">
        <f t="shared" si="57"/>
        <v>-122620461.83867925</v>
      </c>
      <c r="K70" s="64">
        <f t="shared" ref="K70" si="58">K10+K39</f>
        <v>0</v>
      </c>
      <c r="L70" s="64">
        <f t="shared" si="57"/>
        <v>4710304.01</v>
      </c>
      <c r="M70" s="64">
        <f t="shared" si="57"/>
        <v>0</v>
      </c>
      <c r="N70" s="64">
        <f t="shared" si="57"/>
        <v>0</v>
      </c>
      <c r="O70" s="64">
        <f t="shared" si="57"/>
        <v>-20316266.046603777</v>
      </c>
      <c r="P70" s="64">
        <f t="shared" si="57"/>
        <v>-50911.7245283019</v>
      </c>
      <c r="Q70" s="64">
        <f t="shared" si="57"/>
        <v>1975952.2641509401</v>
      </c>
      <c r="R70" s="64">
        <f t="shared" si="57"/>
        <v>0</v>
      </c>
      <c r="S70" s="64">
        <f t="shared" si="57"/>
        <v>0</v>
      </c>
      <c r="T70" s="64">
        <f t="shared" si="57"/>
        <v>1975952.2641509401</v>
      </c>
      <c r="U70" s="64">
        <f t="shared" si="57"/>
        <v>0</v>
      </c>
      <c r="V70" s="64">
        <f t="shared" si="57"/>
        <v>0</v>
      </c>
      <c r="W70" s="64">
        <f t="shared" si="57"/>
        <v>0</v>
      </c>
      <c r="X70" s="64">
        <f t="shared" si="57"/>
        <v>0</v>
      </c>
      <c r="Y70" s="64">
        <f t="shared" si="57"/>
        <v>0</v>
      </c>
      <c r="Z70" s="64">
        <f t="shared" ref="Z70" si="59">Z10+Z39</f>
        <v>0</v>
      </c>
    </row>
    <row r="71" spans="1:26" s="99" customFormat="1" ht="16.5" customHeight="1">
      <c r="A71" s="64" t="s">
        <v>179</v>
      </c>
      <c r="B71" s="64"/>
      <c r="C71" s="64"/>
      <c r="D71" s="64"/>
      <c r="E71" s="64"/>
      <c r="F71" s="64"/>
      <c r="G71" s="64"/>
      <c r="H71" s="101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</row>
    <row r="72" spans="1:26" s="99" customFormat="1">
      <c r="A72" s="64" t="s">
        <v>33</v>
      </c>
      <c r="B72" s="64">
        <f t="shared" ref="B72:Y72" si="60">B12+B41</f>
        <v>-201580921.54666668</v>
      </c>
      <c r="C72" s="64">
        <f t="shared" si="60"/>
        <v>-31543190.830000002</v>
      </c>
      <c r="D72" s="64">
        <f t="shared" si="60"/>
        <v>-72181.720000007772</v>
      </c>
      <c r="E72" s="64">
        <f t="shared" si="60"/>
        <v>-646175.22666666668</v>
      </c>
      <c r="F72" s="64">
        <f t="shared" si="60"/>
        <v>-72180147.909999996</v>
      </c>
      <c r="G72" s="64">
        <f t="shared" si="60"/>
        <v>-97653950.857999995</v>
      </c>
      <c r="H72" s="101">
        <f>H12+H41</f>
        <v>-71486380.199999988</v>
      </c>
      <c r="I72" s="64">
        <f>I12+I41</f>
        <v>0</v>
      </c>
      <c r="J72" s="64">
        <f>J12+J41</f>
        <v>-31158902.37800001</v>
      </c>
      <c r="K72" s="64">
        <f>K12+K41</f>
        <v>0</v>
      </c>
      <c r="L72" s="64">
        <f t="shared" si="60"/>
        <v>1302447.0699999998</v>
      </c>
      <c r="M72" s="64">
        <f t="shared" si="60"/>
        <v>0</v>
      </c>
      <c r="N72" s="64">
        <f t="shared" si="60"/>
        <v>0</v>
      </c>
      <c r="O72" s="64">
        <f t="shared" si="60"/>
        <v>3688884.6500000008</v>
      </c>
      <c r="P72" s="64">
        <f t="shared" si="60"/>
        <v>514724.99800000002</v>
      </c>
      <c r="Q72" s="64">
        <f t="shared" si="60"/>
        <v>0</v>
      </c>
      <c r="R72" s="64">
        <f t="shared" si="60"/>
        <v>0</v>
      </c>
      <c r="S72" s="64">
        <f t="shared" si="60"/>
        <v>0</v>
      </c>
      <c r="T72" s="64">
        <f t="shared" si="60"/>
        <v>0</v>
      </c>
      <c r="U72" s="64">
        <f t="shared" si="60"/>
        <v>0</v>
      </c>
      <c r="V72" s="64">
        <f t="shared" si="60"/>
        <v>0</v>
      </c>
      <c r="W72" s="64">
        <f t="shared" si="60"/>
        <v>0</v>
      </c>
      <c r="X72" s="64">
        <f t="shared" si="60"/>
        <v>0</v>
      </c>
      <c r="Y72" s="64">
        <f t="shared" si="60"/>
        <v>0</v>
      </c>
      <c r="Z72" s="64">
        <f t="shared" ref="Z72" si="61">Z12+Z41</f>
        <v>0</v>
      </c>
    </row>
    <row r="73" spans="1:26" s="99" customFormat="1">
      <c r="A73" s="64" t="s">
        <v>180</v>
      </c>
      <c r="B73" s="64">
        <f t="shared" ref="B73:Y87" si="62">B13+B42</f>
        <v>909251.33000000007</v>
      </c>
      <c r="C73" s="64">
        <f t="shared" si="62"/>
        <v>0</v>
      </c>
      <c r="D73" s="64">
        <f t="shared" si="62"/>
        <v>-101164.21000000002</v>
      </c>
      <c r="E73" s="64">
        <f t="shared" si="62"/>
        <v>1010415.54</v>
      </c>
      <c r="F73" s="64">
        <f t="shared" si="62"/>
        <v>0</v>
      </c>
      <c r="G73" s="64">
        <f t="shared" si="62"/>
        <v>0</v>
      </c>
      <c r="H73" s="64">
        <f t="shared" si="62"/>
        <v>0</v>
      </c>
      <c r="I73" s="64">
        <f t="shared" si="62"/>
        <v>0</v>
      </c>
      <c r="J73" s="64">
        <f t="shared" si="62"/>
        <v>0</v>
      </c>
      <c r="K73" s="64">
        <f t="shared" ref="K73" si="63">K13+K42</f>
        <v>0</v>
      </c>
      <c r="L73" s="64">
        <f t="shared" si="62"/>
        <v>0</v>
      </c>
      <c r="M73" s="64">
        <f t="shared" si="62"/>
        <v>0</v>
      </c>
      <c r="N73" s="64">
        <f t="shared" si="62"/>
        <v>0</v>
      </c>
      <c r="O73" s="64">
        <f t="shared" si="62"/>
        <v>0</v>
      </c>
      <c r="P73" s="64">
        <f t="shared" si="62"/>
        <v>0</v>
      </c>
      <c r="Q73" s="64">
        <f t="shared" si="62"/>
        <v>0</v>
      </c>
      <c r="R73" s="64">
        <f t="shared" si="62"/>
        <v>0</v>
      </c>
      <c r="S73" s="64">
        <f t="shared" si="62"/>
        <v>0</v>
      </c>
      <c r="T73" s="64">
        <f t="shared" si="62"/>
        <v>0</v>
      </c>
      <c r="U73" s="64">
        <f t="shared" si="62"/>
        <v>0</v>
      </c>
      <c r="V73" s="64">
        <f t="shared" si="62"/>
        <v>0</v>
      </c>
      <c r="W73" s="64">
        <f t="shared" si="62"/>
        <v>0</v>
      </c>
      <c r="X73" s="64">
        <f t="shared" si="62"/>
        <v>0</v>
      </c>
      <c r="Y73" s="64">
        <f t="shared" si="62"/>
        <v>0</v>
      </c>
      <c r="Z73" s="64">
        <f t="shared" ref="Z73" si="64">Z13+Z42</f>
        <v>0</v>
      </c>
    </row>
    <row r="74" spans="1:26" s="99" customFormat="1">
      <c r="A74" s="64" t="s">
        <v>181</v>
      </c>
      <c r="B74" s="64">
        <f t="shared" ref="B74:Y74" si="65">B14+B43</f>
        <v>5863385.2199999997</v>
      </c>
      <c r="C74" s="64">
        <f t="shared" si="65"/>
        <v>-1596936.84</v>
      </c>
      <c r="D74" s="64">
        <f t="shared" si="65"/>
        <v>4528.3000000006268</v>
      </c>
      <c r="E74" s="64">
        <f t="shared" si="65"/>
        <v>7055793.7599999998</v>
      </c>
      <c r="F74" s="64">
        <f t="shared" si="65"/>
        <v>0</v>
      </c>
      <c r="G74" s="64">
        <f t="shared" si="65"/>
        <v>0</v>
      </c>
      <c r="H74" s="64">
        <f t="shared" si="65"/>
        <v>0</v>
      </c>
      <c r="I74" s="64">
        <f t="shared" si="62"/>
        <v>0</v>
      </c>
      <c r="J74" s="64">
        <f t="shared" si="65"/>
        <v>0</v>
      </c>
      <c r="K74" s="64">
        <f t="shared" ref="K74" si="66">K14+K43</f>
        <v>0</v>
      </c>
      <c r="L74" s="64">
        <f t="shared" si="65"/>
        <v>0</v>
      </c>
      <c r="M74" s="64">
        <f t="shared" si="65"/>
        <v>0</v>
      </c>
      <c r="N74" s="64">
        <f t="shared" si="65"/>
        <v>0</v>
      </c>
      <c r="O74" s="64">
        <f t="shared" si="65"/>
        <v>0</v>
      </c>
      <c r="P74" s="64">
        <f t="shared" si="65"/>
        <v>0</v>
      </c>
      <c r="Q74" s="64">
        <f t="shared" si="65"/>
        <v>0</v>
      </c>
      <c r="R74" s="64">
        <f t="shared" si="65"/>
        <v>0</v>
      </c>
      <c r="S74" s="64">
        <f t="shared" si="65"/>
        <v>0</v>
      </c>
      <c r="T74" s="64">
        <f t="shared" si="65"/>
        <v>0</v>
      </c>
      <c r="U74" s="64">
        <f t="shared" si="65"/>
        <v>0</v>
      </c>
      <c r="V74" s="64">
        <f t="shared" si="65"/>
        <v>400000</v>
      </c>
      <c r="W74" s="64">
        <f t="shared" si="65"/>
        <v>0</v>
      </c>
      <c r="X74" s="64">
        <f t="shared" si="65"/>
        <v>400000</v>
      </c>
      <c r="Y74" s="64">
        <f t="shared" si="65"/>
        <v>0</v>
      </c>
      <c r="Z74" s="64">
        <f t="shared" ref="Z74" si="67">Z14+Z43</f>
        <v>0</v>
      </c>
    </row>
    <row r="75" spans="1:26" s="50" customFormat="1">
      <c r="A75" s="66" t="s">
        <v>36</v>
      </c>
      <c r="B75" s="93">
        <f t="shared" ref="B75:Y75" si="68">B15+B44</f>
        <v>802724464.82000005</v>
      </c>
      <c r="C75" s="93">
        <f t="shared" si="68"/>
        <v>-44722075.109999999</v>
      </c>
      <c r="D75" s="93">
        <f t="shared" si="68"/>
        <v>245831100.33579198</v>
      </c>
      <c r="E75" s="93">
        <f t="shared" si="68"/>
        <v>368077241.23656803</v>
      </c>
      <c r="F75" s="93">
        <f t="shared" si="68"/>
        <v>11581437.42</v>
      </c>
      <c r="G75" s="93">
        <f t="shared" si="68"/>
        <v>36044059.937639996</v>
      </c>
      <c r="H75" s="93">
        <f t="shared" si="68"/>
        <v>15857248.780000001</v>
      </c>
      <c r="I75" s="93">
        <f t="shared" si="62"/>
        <v>0</v>
      </c>
      <c r="J75" s="93">
        <f t="shared" si="68"/>
        <v>3938958.2899999996</v>
      </c>
      <c r="K75" s="93">
        <f t="shared" ref="K75" si="69">K15+K44</f>
        <v>1298669.77</v>
      </c>
      <c r="L75" s="93">
        <f t="shared" si="68"/>
        <v>4824522.67</v>
      </c>
      <c r="M75" s="93">
        <f t="shared" si="68"/>
        <v>0</v>
      </c>
      <c r="N75" s="93">
        <f t="shared" si="68"/>
        <v>4195397.87</v>
      </c>
      <c r="O75" s="93">
        <f t="shared" si="68"/>
        <v>5929262.5576400002</v>
      </c>
      <c r="P75" s="93">
        <f t="shared" si="68"/>
        <v>15413153.539999999</v>
      </c>
      <c r="Q75" s="93">
        <f t="shared" si="68"/>
        <v>154619171.71000001</v>
      </c>
      <c r="R75" s="93">
        <f t="shared" si="68"/>
        <v>0</v>
      </c>
      <c r="S75" s="93">
        <f t="shared" si="68"/>
        <v>119026797.11000001</v>
      </c>
      <c r="T75" s="93">
        <f t="shared" si="68"/>
        <v>31628939.630000003</v>
      </c>
      <c r="U75" s="93">
        <f t="shared" si="68"/>
        <v>3963434.9699999997</v>
      </c>
      <c r="V75" s="93">
        <f t="shared" si="68"/>
        <v>5196696.2000000011</v>
      </c>
      <c r="W75" s="93">
        <f t="shared" si="68"/>
        <v>3988626.13</v>
      </c>
      <c r="X75" s="93">
        <f t="shared" si="68"/>
        <v>1208070.07</v>
      </c>
      <c r="Y75" s="93">
        <f t="shared" si="68"/>
        <v>10389747.370000001</v>
      </c>
      <c r="Z75" s="93">
        <f t="shared" ref="Z75" si="70">Z15+Z44</f>
        <v>293932.18000000005</v>
      </c>
    </row>
    <row r="76" spans="1:26" s="50" customFormat="1">
      <c r="A76" s="67" t="s">
        <v>37</v>
      </c>
      <c r="B76" s="67">
        <f t="shared" ref="B76:Y76" si="71">B16+B45</f>
        <v>45573317.490000002</v>
      </c>
      <c r="C76" s="67">
        <f t="shared" si="71"/>
        <v>-816368.32</v>
      </c>
      <c r="D76" s="67">
        <f t="shared" si="71"/>
        <v>452995.88579200394</v>
      </c>
      <c r="E76" s="67">
        <f t="shared" si="71"/>
        <v>24842574.936567999</v>
      </c>
      <c r="F76" s="67">
        <f t="shared" si="71"/>
        <v>1021904.4299999999</v>
      </c>
      <c r="G76" s="67">
        <f t="shared" si="71"/>
        <v>4416712.2376399999</v>
      </c>
      <c r="H76" s="67">
        <f t="shared" si="71"/>
        <v>4754460.68</v>
      </c>
      <c r="I76" s="67">
        <f t="shared" si="62"/>
        <v>0</v>
      </c>
      <c r="J76" s="67">
        <f t="shared" si="71"/>
        <v>-305654.48000000004</v>
      </c>
      <c r="K76" s="67">
        <f t="shared" ref="K76" si="72">K16+K45</f>
        <v>-94.83</v>
      </c>
      <c r="L76" s="67">
        <f t="shared" si="71"/>
        <v>146564.85</v>
      </c>
      <c r="M76" s="67">
        <f t="shared" si="71"/>
        <v>0</v>
      </c>
      <c r="N76" s="67">
        <f t="shared" si="71"/>
        <v>-0.33</v>
      </c>
      <c r="O76" s="67">
        <f t="shared" si="71"/>
        <v>-178563.65236000001</v>
      </c>
      <c r="P76" s="67">
        <f t="shared" si="71"/>
        <v>556474</v>
      </c>
      <c r="Q76" s="67">
        <f t="shared" si="71"/>
        <v>15088098.950000001</v>
      </c>
      <c r="R76" s="67">
        <f t="shared" si="71"/>
        <v>0</v>
      </c>
      <c r="S76" s="67">
        <f t="shared" si="71"/>
        <v>12779929.67</v>
      </c>
      <c r="T76" s="67">
        <f t="shared" si="71"/>
        <v>2183208.4</v>
      </c>
      <c r="U76" s="67">
        <f t="shared" si="71"/>
        <v>124960.88</v>
      </c>
      <c r="V76" s="67">
        <f t="shared" si="71"/>
        <v>15837.939999999999</v>
      </c>
      <c r="W76" s="67">
        <f t="shared" si="71"/>
        <v>1269.21</v>
      </c>
      <c r="X76" s="67">
        <f t="shared" si="71"/>
        <v>14568.73</v>
      </c>
      <c r="Y76" s="67">
        <f t="shared" si="71"/>
        <v>-4912.57</v>
      </c>
      <c r="Z76" s="67">
        <f t="shared" ref="Z76" si="73">Z16+Z45</f>
        <v>0</v>
      </c>
    </row>
    <row r="77" spans="1:26" s="50" customFormat="1">
      <c r="A77" s="67" t="s">
        <v>38</v>
      </c>
      <c r="B77" s="67">
        <f t="shared" ref="B77:Y77" si="74">B17+B46</f>
        <v>752410517.23000002</v>
      </c>
      <c r="C77" s="67">
        <f t="shared" si="74"/>
        <v>-43905706.789999999</v>
      </c>
      <c r="D77" s="67">
        <f t="shared" si="74"/>
        <v>246242461.62</v>
      </c>
      <c r="E77" s="67">
        <f t="shared" si="74"/>
        <v>337629679.03000003</v>
      </c>
      <c r="F77" s="67">
        <f t="shared" si="74"/>
        <v>10559532.989999998</v>
      </c>
      <c r="G77" s="67">
        <f>G17+G46</f>
        <v>31627347.699999999</v>
      </c>
      <c r="H77" s="67">
        <f t="shared" si="74"/>
        <v>11102788.100000001</v>
      </c>
      <c r="I77" s="67">
        <f t="shared" si="62"/>
        <v>0</v>
      </c>
      <c r="J77" s="67">
        <f t="shared" si="74"/>
        <v>4244612.7699999996</v>
      </c>
      <c r="K77" s="67">
        <f t="shared" ref="K77" si="75">K17+K46</f>
        <v>1298764.6000000001</v>
      </c>
      <c r="L77" s="67">
        <f t="shared" si="74"/>
        <v>4677957.82</v>
      </c>
      <c r="M77" s="67">
        <f t="shared" si="74"/>
        <v>0</v>
      </c>
      <c r="N77" s="67">
        <f t="shared" si="74"/>
        <v>4195398.2</v>
      </c>
      <c r="O77" s="67">
        <f t="shared" si="74"/>
        <v>6107826.209999999</v>
      </c>
      <c r="P77" s="67">
        <f t="shared" si="74"/>
        <v>14856679.539999999</v>
      </c>
      <c r="Q77" s="67">
        <f t="shared" si="74"/>
        <v>139531072.76000002</v>
      </c>
      <c r="R77" s="67">
        <f t="shared" si="74"/>
        <v>0</v>
      </c>
      <c r="S77" s="67">
        <f t="shared" si="74"/>
        <v>106246867.44000001</v>
      </c>
      <c r="T77" s="67">
        <f t="shared" si="74"/>
        <v>29445731.23</v>
      </c>
      <c r="U77" s="67">
        <f t="shared" si="74"/>
        <v>3838474.09</v>
      </c>
      <c r="V77" s="67">
        <f t="shared" si="74"/>
        <v>5180858.2600000007</v>
      </c>
      <c r="W77" s="67">
        <f t="shared" si="74"/>
        <v>3987356.92</v>
      </c>
      <c r="X77" s="67">
        <f t="shared" si="74"/>
        <v>1193501.3399999999</v>
      </c>
      <c r="Y77" s="67">
        <f t="shared" si="74"/>
        <v>10394659.939999999</v>
      </c>
      <c r="Z77" s="67">
        <f t="shared" ref="Z77" si="76">Z17+Z46</f>
        <v>293932.18000000005</v>
      </c>
    </row>
    <row r="78" spans="1:26" s="50" customFormat="1">
      <c r="A78" s="67" t="s">
        <v>39</v>
      </c>
      <c r="B78" s="67">
        <f t="shared" ref="B78:Y78" si="77">B18+B47</f>
        <v>-864357.17000000016</v>
      </c>
      <c r="C78" s="67">
        <f t="shared" si="77"/>
        <v>0</v>
      </c>
      <c r="D78" s="67">
        <f t="shared" si="77"/>
        <v>-864357.17000000016</v>
      </c>
      <c r="E78" s="67">
        <f t="shared" si="77"/>
        <v>0</v>
      </c>
      <c r="F78" s="67">
        <f t="shared" si="77"/>
        <v>0</v>
      </c>
      <c r="G78" s="67">
        <f t="shared" si="77"/>
        <v>0</v>
      </c>
      <c r="H78" s="67">
        <f t="shared" si="77"/>
        <v>0</v>
      </c>
      <c r="I78" s="67">
        <f t="shared" si="62"/>
        <v>0</v>
      </c>
      <c r="J78" s="67">
        <f t="shared" si="77"/>
        <v>0</v>
      </c>
      <c r="K78" s="67">
        <f t="shared" ref="K78" si="78">K18+K47</f>
        <v>0</v>
      </c>
      <c r="L78" s="67">
        <f t="shared" si="77"/>
        <v>0</v>
      </c>
      <c r="M78" s="67">
        <f t="shared" si="77"/>
        <v>0</v>
      </c>
      <c r="N78" s="67">
        <f t="shared" si="77"/>
        <v>0</v>
      </c>
      <c r="O78" s="67">
        <f t="shared" si="77"/>
        <v>0</v>
      </c>
      <c r="P78" s="67">
        <f t="shared" si="77"/>
        <v>0</v>
      </c>
      <c r="Q78" s="67">
        <f t="shared" si="77"/>
        <v>0</v>
      </c>
      <c r="R78" s="67">
        <f t="shared" si="77"/>
        <v>0</v>
      </c>
      <c r="S78" s="67">
        <f t="shared" si="77"/>
        <v>0</v>
      </c>
      <c r="T78" s="67">
        <f t="shared" si="77"/>
        <v>0</v>
      </c>
      <c r="U78" s="67">
        <f t="shared" si="77"/>
        <v>0</v>
      </c>
      <c r="V78" s="67">
        <f t="shared" si="77"/>
        <v>0</v>
      </c>
      <c r="W78" s="67">
        <f t="shared" si="77"/>
        <v>0</v>
      </c>
      <c r="X78" s="67">
        <f t="shared" si="77"/>
        <v>0</v>
      </c>
      <c r="Y78" s="67">
        <f t="shared" si="77"/>
        <v>0</v>
      </c>
      <c r="Z78" s="67">
        <f t="shared" ref="Z78" si="79">Z18+Z47</f>
        <v>0</v>
      </c>
    </row>
    <row r="79" spans="1:26" s="50" customFormat="1">
      <c r="A79" s="67" t="s">
        <v>40</v>
      </c>
      <c r="B79" s="67">
        <f t="shared" ref="B79:Y79" si="80">B19+B48</f>
        <v>5604987.2699999996</v>
      </c>
      <c r="C79" s="67">
        <f t="shared" si="80"/>
        <v>0</v>
      </c>
      <c r="D79" s="67">
        <f t="shared" si="80"/>
        <v>0</v>
      </c>
      <c r="E79" s="67">
        <f t="shared" si="80"/>
        <v>5604987.2699999996</v>
      </c>
      <c r="F79" s="67">
        <f t="shared" si="80"/>
        <v>0</v>
      </c>
      <c r="G79" s="67">
        <f t="shared" si="80"/>
        <v>0</v>
      </c>
      <c r="H79" s="67">
        <f t="shared" si="80"/>
        <v>0</v>
      </c>
      <c r="I79" s="67">
        <f t="shared" si="62"/>
        <v>0</v>
      </c>
      <c r="J79" s="67">
        <f t="shared" si="80"/>
        <v>0</v>
      </c>
      <c r="K79" s="67">
        <f t="shared" ref="K79" si="81">K19+K48</f>
        <v>0</v>
      </c>
      <c r="L79" s="67">
        <f t="shared" si="80"/>
        <v>0</v>
      </c>
      <c r="M79" s="67">
        <f t="shared" si="80"/>
        <v>0</v>
      </c>
      <c r="N79" s="67">
        <f t="shared" si="80"/>
        <v>0</v>
      </c>
      <c r="O79" s="67">
        <f t="shared" si="80"/>
        <v>0</v>
      </c>
      <c r="P79" s="67">
        <f t="shared" si="80"/>
        <v>0</v>
      </c>
      <c r="Q79" s="67">
        <f t="shared" si="80"/>
        <v>0</v>
      </c>
      <c r="R79" s="67">
        <f t="shared" si="80"/>
        <v>0</v>
      </c>
      <c r="S79" s="67">
        <f t="shared" si="80"/>
        <v>0</v>
      </c>
      <c r="T79" s="67">
        <f t="shared" si="80"/>
        <v>0</v>
      </c>
      <c r="U79" s="67">
        <f t="shared" si="80"/>
        <v>0</v>
      </c>
      <c r="V79" s="67">
        <f t="shared" si="80"/>
        <v>0</v>
      </c>
      <c r="W79" s="67">
        <f t="shared" si="80"/>
        <v>0</v>
      </c>
      <c r="X79" s="67">
        <f t="shared" si="80"/>
        <v>0</v>
      </c>
      <c r="Y79" s="67">
        <f t="shared" si="80"/>
        <v>0</v>
      </c>
      <c r="Z79" s="67">
        <f t="shared" ref="Z79" si="82">Z19+Z48</f>
        <v>0</v>
      </c>
    </row>
    <row r="80" spans="1:26" s="50" customFormat="1">
      <c r="A80" s="66" t="s">
        <v>41</v>
      </c>
      <c r="B80" s="93">
        <f t="shared" ref="B80:Y80" si="83">B20+B49</f>
        <v>341493446.55333364</v>
      </c>
      <c r="C80" s="93">
        <f t="shared" si="83"/>
        <v>-3218197.6400000076</v>
      </c>
      <c r="D80" s="93">
        <f t="shared" si="83"/>
        <v>-479055185.73367453</v>
      </c>
      <c r="E80" s="93">
        <f t="shared" si="83"/>
        <v>752983390.6767652</v>
      </c>
      <c r="F80" s="93">
        <f t="shared" si="83"/>
        <v>-166124641.87</v>
      </c>
      <c r="G80" s="93">
        <f t="shared" si="83"/>
        <v>-35970504.260713354</v>
      </c>
      <c r="H80" s="93">
        <f t="shared" si="83"/>
        <v>143094085.36020967</v>
      </c>
      <c r="I80" s="93">
        <f t="shared" si="62"/>
        <v>0</v>
      </c>
      <c r="J80" s="93">
        <f t="shared" si="83"/>
        <v>-152861514.45667925</v>
      </c>
      <c r="K80" s="93">
        <f>K20+K49</f>
        <v>-1298669.77</v>
      </c>
      <c r="L80" s="93">
        <f t="shared" si="83"/>
        <v>941365.82000000007</v>
      </c>
      <c r="M80" s="93">
        <f t="shared" si="83"/>
        <v>0</v>
      </c>
      <c r="N80" s="93">
        <f t="shared" si="83"/>
        <v>-4189766.99</v>
      </c>
      <c r="O80" s="93">
        <f t="shared" si="83"/>
        <v>-21656004.224243779</v>
      </c>
      <c r="P80" s="93">
        <f t="shared" si="83"/>
        <v>20883692.663471699</v>
      </c>
      <c r="Q80" s="93">
        <f t="shared" si="83"/>
        <v>266316273.95748433</v>
      </c>
      <c r="R80" s="93">
        <f t="shared" si="83"/>
        <v>0</v>
      </c>
      <c r="S80" s="93">
        <f t="shared" si="83"/>
        <v>228642025.31999999</v>
      </c>
      <c r="T80" s="93">
        <f t="shared" si="83"/>
        <v>36654371.244150937</v>
      </c>
      <c r="U80" s="93">
        <f t="shared" si="83"/>
        <v>1019877.3933333335</v>
      </c>
      <c r="V80" s="93">
        <f t="shared" si="83"/>
        <v>-3637510.7800000007</v>
      </c>
      <c r="W80" s="93">
        <f t="shared" si="83"/>
        <v>-3986931.2799999993</v>
      </c>
      <c r="X80" s="93">
        <f t="shared" si="83"/>
        <v>349420.5</v>
      </c>
      <c r="Y80" s="93">
        <f t="shared" si="83"/>
        <v>-10389947.210000001</v>
      </c>
      <c r="Z80" s="93">
        <f t="shared" ref="Z80" si="84">Z20+Z49</f>
        <v>-293923.25</v>
      </c>
    </row>
    <row r="81" spans="1:26" s="50" customFormat="1">
      <c r="A81" s="67" t="s">
        <v>42</v>
      </c>
      <c r="B81" s="67">
        <f t="shared" ref="B81:Y81" si="85">B21+B50</f>
        <v>1257806.76</v>
      </c>
      <c r="C81" s="67">
        <f t="shared" si="85"/>
        <v>0</v>
      </c>
      <c r="D81" s="67">
        <f t="shared" si="85"/>
        <v>407987.40999999992</v>
      </c>
      <c r="E81" s="67">
        <f t="shared" si="85"/>
        <v>103688.35</v>
      </c>
      <c r="F81" s="67">
        <f t="shared" si="85"/>
        <v>0</v>
      </c>
      <c r="G81" s="67">
        <f t="shared" si="85"/>
        <v>446131</v>
      </c>
      <c r="H81" s="67">
        <f t="shared" si="85"/>
        <v>0</v>
      </c>
      <c r="I81" s="67">
        <f t="shared" si="62"/>
        <v>0</v>
      </c>
      <c r="J81" s="67">
        <f t="shared" si="85"/>
        <v>0</v>
      </c>
      <c r="K81" s="67">
        <f t="shared" ref="K81" si="86">K21+K50</f>
        <v>0</v>
      </c>
      <c r="L81" s="67">
        <f t="shared" si="85"/>
        <v>0</v>
      </c>
      <c r="M81" s="67">
        <f t="shared" si="85"/>
        <v>0</v>
      </c>
      <c r="N81" s="67">
        <f t="shared" si="85"/>
        <v>446131</v>
      </c>
      <c r="O81" s="67">
        <f t="shared" si="85"/>
        <v>0</v>
      </c>
      <c r="P81" s="67">
        <f t="shared" si="85"/>
        <v>0</v>
      </c>
      <c r="Q81" s="67">
        <f t="shared" si="85"/>
        <v>300000</v>
      </c>
      <c r="R81" s="67">
        <f t="shared" si="85"/>
        <v>0</v>
      </c>
      <c r="S81" s="67">
        <f t="shared" si="85"/>
        <v>0</v>
      </c>
      <c r="T81" s="67">
        <f t="shared" si="85"/>
        <v>300000</v>
      </c>
      <c r="U81" s="67">
        <f t="shared" si="85"/>
        <v>0</v>
      </c>
      <c r="V81" s="67">
        <f t="shared" si="85"/>
        <v>0</v>
      </c>
      <c r="W81" s="67">
        <f t="shared" si="85"/>
        <v>0</v>
      </c>
      <c r="X81" s="67">
        <f t="shared" si="85"/>
        <v>0</v>
      </c>
      <c r="Y81" s="67">
        <f t="shared" si="85"/>
        <v>0</v>
      </c>
      <c r="Z81" s="67">
        <f t="shared" ref="Z81" si="87">Z21+Z50</f>
        <v>0</v>
      </c>
    </row>
    <row r="82" spans="1:26" s="50" customFormat="1">
      <c r="A82" s="67" t="s">
        <v>43</v>
      </c>
      <c r="B82" s="67">
        <f t="shared" ref="B82:Y82" si="88">B22+B51</f>
        <v>1286760.95</v>
      </c>
      <c r="C82" s="67">
        <f t="shared" si="88"/>
        <v>0</v>
      </c>
      <c r="D82" s="67">
        <f t="shared" si="88"/>
        <v>208628.74000000017</v>
      </c>
      <c r="E82" s="67">
        <f t="shared" si="88"/>
        <v>1021523.19</v>
      </c>
      <c r="F82" s="67">
        <f t="shared" si="88"/>
        <v>775</v>
      </c>
      <c r="G82" s="67">
        <f t="shared" si="88"/>
        <v>3348.4599999999996</v>
      </c>
      <c r="H82" s="67">
        <f t="shared" si="88"/>
        <v>0</v>
      </c>
      <c r="I82" s="67">
        <f t="shared" si="62"/>
        <v>0</v>
      </c>
      <c r="J82" s="67">
        <f t="shared" si="88"/>
        <v>1398.46</v>
      </c>
      <c r="K82" s="67">
        <f t="shared" ref="K82" si="89">K22+K51</f>
        <v>0</v>
      </c>
      <c r="L82" s="67">
        <f t="shared" si="88"/>
        <v>1950</v>
      </c>
      <c r="M82" s="67">
        <f t="shared" si="88"/>
        <v>0</v>
      </c>
      <c r="N82" s="67">
        <f t="shared" si="88"/>
        <v>0</v>
      </c>
      <c r="O82" s="67">
        <f t="shared" si="88"/>
        <v>0</v>
      </c>
      <c r="P82" s="67">
        <f t="shared" si="88"/>
        <v>51338.74</v>
      </c>
      <c r="Q82" s="67">
        <f t="shared" si="88"/>
        <v>1146.82</v>
      </c>
      <c r="R82" s="67">
        <f t="shared" si="88"/>
        <v>0</v>
      </c>
      <c r="S82" s="67">
        <f t="shared" si="88"/>
        <v>0</v>
      </c>
      <c r="T82" s="67">
        <f t="shared" si="88"/>
        <v>0</v>
      </c>
      <c r="U82" s="67">
        <f t="shared" si="88"/>
        <v>1146.82</v>
      </c>
      <c r="V82" s="67">
        <f t="shared" si="88"/>
        <v>0</v>
      </c>
      <c r="W82" s="67">
        <f t="shared" si="88"/>
        <v>0</v>
      </c>
      <c r="X82" s="67">
        <f t="shared" si="88"/>
        <v>0</v>
      </c>
      <c r="Y82" s="67">
        <f t="shared" si="88"/>
        <v>0</v>
      </c>
      <c r="Z82" s="67">
        <f t="shared" ref="Z82" si="90">Z22+Z51</f>
        <v>0</v>
      </c>
    </row>
    <row r="83" spans="1:26" s="50" customFormat="1">
      <c r="A83" s="66" t="s">
        <v>44</v>
      </c>
      <c r="B83" s="93">
        <f t="shared" ref="B83:Y83" si="91">B23+B52</f>
        <v>341464492.36333364</v>
      </c>
      <c r="C83" s="93">
        <f t="shared" si="91"/>
        <v>-3218197.6400000076</v>
      </c>
      <c r="D83" s="93">
        <f t="shared" si="91"/>
        <v>-478855827.06367451</v>
      </c>
      <c r="E83" s="93">
        <f t="shared" si="91"/>
        <v>752065555.83676517</v>
      </c>
      <c r="F83" s="93">
        <f t="shared" si="91"/>
        <v>-166125416.87</v>
      </c>
      <c r="G83" s="93">
        <f t="shared" si="91"/>
        <v>-35527721.720713355</v>
      </c>
      <c r="H83" s="93">
        <f t="shared" si="91"/>
        <v>143094085.36020967</v>
      </c>
      <c r="I83" s="93">
        <f t="shared" si="62"/>
        <v>0</v>
      </c>
      <c r="J83" s="93">
        <f t="shared" si="91"/>
        <v>-152862912.91667926</v>
      </c>
      <c r="K83" s="93">
        <f t="shared" ref="K83" si="92">K23+K52</f>
        <v>-1298669.77</v>
      </c>
      <c r="L83" s="93">
        <f t="shared" si="91"/>
        <v>939415.8200000003</v>
      </c>
      <c r="M83" s="93">
        <f t="shared" si="91"/>
        <v>0</v>
      </c>
      <c r="N83" s="93">
        <f t="shared" si="91"/>
        <v>-3743635.9899999993</v>
      </c>
      <c r="O83" s="93">
        <f t="shared" si="91"/>
        <v>-21656004.224243779</v>
      </c>
      <c r="P83" s="93">
        <f t="shared" si="91"/>
        <v>20832353.923471697</v>
      </c>
      <c r="Q83" s="93">
        <f t="shared" si="91"/>
        <v>266615127.13748434</v>
      </c>
      <c r="R83" s="93">
        <f t="shared" si="91"/>
        <v>0</v>
      </c>
      <c r="S83" s="93">
        <f t="shared" si="91"/>
        <v>228642025.31999999</v>
      </c>
      <c r="T83" s="93">
        <f t="shared" si="91"/>
        <v>36954371.244150937</v>
      </c>
      <c r="U83" s="93">
        <f t="shared" si="91"/>
        <v>1018730.5733333332</v>
      </c>
      <c r="V83" s="93">
        <f t="shared" si="91"/>
        <v>-3637510.7800000007</v>
      </c>
      <c r="W83" s="93">
        <f t="shared" si="91"/>
        <v>-3986931.2799999993</v>
      </c>
      <c r="X83" s="93">
        <f t="shared" si="91"/>
        <v>349420.5</v>
      </c>
      <c r="Y83" s="93">
        <f t="shared" si="91"/>
        <v>-10389947.210000001</v>
      </c>
      <c r="Z83" s="93">
        <f t="shared" ref="Z83" si="93">Z23+Z52</f>
        <v>-293923.25</v>
      </c>
    </row>
    <row r="84" spans="1:26" s="50" customFormat="1">
      <c r="A84" s="67" t="s">
        <v>45</v>
      </c>
      <c r="B84" s="67">
        <f t="shared" ref="B84:Y84" si="94">B24+B53</f>
        <v>37336515.290000007</v>
      </c>
      <c r="C84" s="67">
        <f>C24+C53</f>
        <v>-32080774.970000003</v>
      </c>
      <c r="D84" s="67">
        <f t="shared" si="94"/>
        <v>69417290.260000005</v>
      </c>
      <c r="E84" s="67">
        <f t="shared" si="94"/>
        <v>0</v>
      </c>
      <c r="F84" s="67">
        <f t="shared" si="94"/>
        <v>0</v>
      </c>
      <c r="G84" s="67">
        <f t="shared" si="94"/>
        <v>0</v>
      </c>
      <c r="H84" s="67">
        <f t="shared" si="94"/>
        <v>0</v>
      </c>
      <c r="I84" s="67">
        <f t="shared" si="62"/>
        <v>0</v>
      </c>
      <c r="J84" s="67">
        <f t="shared" si="94"/>
        <v>0</v>
      </c>
      <c r="K84" s="67">
        <f t="shared" ref="K84" si="95">K24+K53</f>
        <v>0</v>
      </c>
      <c r="L84" s="67">
        <f t="shared" si="94"/>
        <v>0</v>
      </c>
      <c r="M84" s="67">
        <f t="shared" si="94"/>
        <v>0</v>
      </c>
      <c r="N84" s="67">
        <f t="shared" si="94"/>
        <v>0</v>
      </c>
      <c r="O84" s="67">
        <f t="shared" si="94"/>
        <v>0</v>
      </c>
      <c r="P84" s="67">
        <f t="shared" si="94"/>
        <v>0</v>
      </c>
      <c r="Q84" s="67">
        <f t="shared" si="94"/>
        <v>0</v>
      </c>
      <c r="R84" s="67">
        <f t="shared" si="94"/>
        <v>0</v>
      </c>
      <c r="S84" s="67">
        <f t="shared" si="94"/>
        <v>0</v>
      </c>
      <c r="T84" s="67">
        <f t="shared" si="94"/>
        <v>0</v>
      </c>
      <c r="U84" s="67">
        <f t="shared" si="94"/>
        <v>0</v>
      </c>
      <c r="V84" s="67">
        <f t="shared" si="94"/>
        <v>0</v>
      </c>
      <c r="W84" s="67">
        <f t="shared" si="94"/>
        <v>0</v>
      </c>
      <c r="X84" s="67">
        <f t="shared" si="94"/>
        <v>0</v>
      </c>
      <c r="Y84" s="67">
        <f t="shared" si="94"/>
        <v>0</v>
      </c>
      <c r="Z84" s="67">
        <f t="shared" ref="Z84" si="96">Z24+Z53</f>
        <v>0</v>
      </c>
    </row>
    <row r="85" spans="1:26" s="50" customFormat="1">
      <c r="A85" s="66" t="s">
        <v>46</v>
      </c>
      <c r="B85" s="93">
        <f t="shared" ref="B85:Y85" si="97">B25+B54</f>
        <v>304127977.07333362</v>
      </c>
      <c r="C85" s="93">
        <f t="shared" si="97"/>
        <v>28862577.329999994</v>
      </c>
      <c r="D85" s="93">
        <f t="shared" si="97"/>
        <v>-548273117.32367456</v>
      </c>
      <c r="E85" s="93">
        <f t="shared" si="97"/>
        <v>752065555.83676517</v>
      </c>
      <c r="F85" s="93">
        <f t="shared" si="97"/>
        <v>-166125416.87</v>
      </c>
      <c r="G85" s="93">
        <f t="shared" si="97"/>
        <v>-35527721.720713355</v>
      </c>
      <c r="H85" s="93">
        <f t="shared" si="97"/>
        <v>143094085.36020967</v>
      </c>
      <c r="I85" s="93">
        <f t="shared" si="62"/>
        <v>0</v>
      </c>
      <c r="J85" s="93">
        <f t="shared" si="97"/>
        <v>-152862912.91667926</v>
      </c>
      <c r="K85" s="93">
        <f t="shared" ref="K85" si="98">K25+K54</f>
        <v>-1298669.77</v>
      </c>
      <c r="L85" s="93">
        <f t="shared" si="97"/>
        <v>939415.8200000003</v>
      </c>
      <c r="M85" s="93">
        <f t="shared" si="97"/>
        <v>0</v>
      </c>
      <c r="N85" s="93">
        <f t="shared" si="97"/>
        <v>-3743635.9899999993</v>
      </c>
      <c r="O85" s="93">
        <f t="shared" si="97"/>
        <v>-21656004.224243779</v>
      </c>
      <c r="P85" s="93">
        <f t="shared" si="97"/>
        <v>20832353.923471697</v>
      </c>
      <c r="Q85" s="93">
        <f t="shared" si="97"/>
        <v>266615127.13748434</v>
      </c>
      <c r="R85" s="93">
        <f t="shared" si="97"/>
        <v>0</v>
      </c>
      <c r="S85" s="93">
        <f t="shared" si="97"/>
        <v>228642025.31999999</v>
      </c>
      <c r="T85" s="93">
        <f t="shared" si="97"/>
        <v>36954371.244150937</v>
      </c>
      <c r="U85" s="93">
        <f t="shared" si="97"/>
        <v>1018730.5733333332</v>
      </c>
      <c r="V85" s="93">
        <f t="shared" si="97"/>
        <v>-3637510.7800000007</v>
      </c>
      <c r="W85" s="93">
        <f t="shared" si="97"/>
        <v>-3986931.2799999993</v>
      </c>
      <c r="X85" s="93">
        <f t="shared" si="97"/>
        <v>349420.5</v>
      </c>
      <c r="Y85" s="93">
        <f t="shared" si="97"/>
        <v>-10389947.210000001</v>
      </c>
      <c r="Z85" s="93">
        <f t="shared" ref="Z85" si="99">Z25+Z54</f>
        <v>-293923.25</v>
      </c>
    </row>
    <row r="86" spans="1:26" s="50" customFormat="1">
      <c r="A86" s="68" t="s">
        <v>47</v>
      </c>
      <c r="B86" s="94">
        <f t="shared" ref="B86:Y86" si="100">B26+B55</f>
        <v>0</v>
      </c>
      <c r="C86" s="94">
        <f t="shared" si="100"/>
        <v>0</v>
      </c>
      <c r="D86" s="94">
        <f t="shared" si="100"/>
        <v>0</v>
      </c>
      <c r="E86" s="94">
        <f t="shared" si="100"/>
        <v>0</v>
      </c>
      <c r="F86" s="94">
        <f t="shared" si="100"/>
        <v>0</v>
      </c>
      <c r="G86" s="94">
        <f t="shared" si="100"/>
        <v>0</v>
      </c>
      <c r="H86" s="94">
        <f t="shared" si="100"/>
        <v>0</v>
      </c>
      <c r="I86" s="94">
        <f t="shared" si="62"/>
        <v>0</v>
      </c>
      <c r="J86" s="94">
        <f t="shared" si="100"/>
        <v>0</v>
      </c>
      <c r="K86" s="94">
        <f t="shared" ref="K86" si="101">K26+K55</f>
        <v>0</v>
      </c>
      <c r="L86" s="94">
        <f t="shared" si="100"/>
        <v>0</v>
      </c>
      <c r="M86" s="94">
        <f t="shared" si="100"/>
        <v>0</v>
      </c>
      <c r="N86" s="94">
        <f t="shared" si="100"/>
        <v>0</v>
      </c>
      <c r="O86" s="94">
        <f t="shared" si="100"/>
        <v>0</v>
      </c>
      <c r="P86" s="94">
        <f t="shared" si="100"/>
        <v>0</v>
      </c>
      <c r="Q86" s="94">
        <f t="shared" si="100"/>
        <v>0</v>
      </c>
      <c r="R86" s="94">
        <f t="shared" si="100"/>
        <v>0</v>
      </c>
      <c r="S86" s="94">
        <f t="shared" si="100"/>
        <v>0</v>
      </c>
      <c r="T86" s="94">
        <f t="shared" si="100"/>
        <v>0</v>
      </c>
      <c r="U86" s="94">
        <f t="shared" si="100"/>
        <v>0</v>
      </c>
      <c r="V86" s="94">
        <f t="shared" si="100"/>
        <v>0</v>
      </c>
      <c r="W86" s="94">
        <f t="shared" si="100"/>
        <v>0</v>
      </c>
      <c r="X86" s="94">
        <f t="shared" si="100"/>
        <v>0</v>
      </c>
      <c r="Y86" s="94">
        <f t="shared" si="100"/>
        <v>0</v>
      </c>
      <c r="Z86" s="94">
        <f t="shared" ref="Z86" si="102">Z26+Z55</f>
        <v>0</v>
      </c>
    </row>
    <row r="87" spans="1:26" s="50" customFormat="1" ht="15" customHeight="1" thickBot="1">
      <c r="A87" s="69" t="s">
        <v>48</v>
      </c>
      <c r="B87" s="95">
        <f t="shared" ref="B87:Y87" si="103">B27+B56</f>
        <v>304127977.07333362</v>
      </c>
      <c r="C87" s="95">
        <f t="shared" si="103"/>
        <v>28862577.329999994</v>
      </c>
      <c r="D87" s="95">
        <f t="shared" si="103"/>
        <v>-548273117.32367456</v>
      </c>
      <c r="E87" s="95">
        <f t="shared" si="103"/>
        <v>752065555.83676529</v>
      </c>
      <c r="F87" s="95">
        <f t="shared" si="103"/>
        <v>-166125416.87</v>
      </c>
      <c r="G87" s="95">
        <f t="shared" si="103"/>
        <v>-35527721.720713355</v>
      </c>
      <c r="H87" s="95">
        <f t="shared" si="103"/>
        <v>143094085.36020967</v>
      </c>
      <c r="I87" s="95">
        <f t="shared" si="62"/>
        <v>0</v>
      </c>
      <c r="J87" s="95">
        <f t="shared" si="103"/>
        <v>-152862912.91667926</v>
      </c>
      <c r="K87" s="95">
        <f t="shared" ref="K87" si="104">K27+K56</f>
        <v>-1298669.77</v>
      </c>
      <c r="L87" s="95">
        <f t="shared" si="103"/>
        <v>939415.8200000003</v>
      </c>
      <c r="M87" s="95">
        <f t="shared" si="103"/>
        <v>0</v>
      </c>
      <c r="N87" s="95">
        <f t="shared" si="103"/>
        <v>-3743635.9899999993</v>
      </c>
      <c r="O87" s="95">
        <f t="shared" si="103"/>
        <v>-21656004.224243779</v>
      </c>
      <c r="P87" s="95">
        <f t="shared" si="103"/>
        <v>20832353.923471697</v>
      </c>
      <c r="Q87" s="95">
        <f t="shared" si="103"/>
        <v>266615127.13748434</v>
      </c>
      <c r="R87" s="95">
        <f t="shared" si="103"/>
        <v>0</v>
      </c>
      <c r="S87" s="95">
        <f t="shared" si="103"/>
        <v>228642025.31999999</v>
      </c>
      <c r="T87" s="95">
        <f t="shared" si="103"/>
        <v>36954371.244150937</v>
      </c>
      <c r="U87" s="95">
        <f t="shared" si="103"/>
        <v>1018730.5733333332</v>
      </c>
      <c r="V87" s="95">
        <f t="shared" si="103"/>
        <v>-3637510.7800000007</v>
      </c>
      <c r="W87" s="95">
        <f t="shared" si="103"/>
        <v>-3986931.2799999993</v>
      </c>
      <c r="X87" s="95">
        <f t="shared" si="103"/>
        <v>349420.5</v>
      </c>
      <c r="Y87" s="95">
        <f t="shared" si="103"/>
        <v>-10389947.210000001</v>
      </c>
      <c r="Z87" s="95">
        <f t="shared" ref="Z87" si="105">Z27+Z56</f>
        <v>-293923.25</v>
      </c>
    </row>
    <row r="88" spans="1:26" s="47" customFormat="1"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spans="1:26" s="47" customFormat="1">
      <c r="A89" s="58" t="s">
        <v>51</v>
      </c>
      <c r="B89" s="96">
        <f t="shared" ref="B89:O89" si="106">B59</f>
        <v>267383419.97999999</v>
      </c>
      <c r="C89" s="96">
        <f t="shared" si="106"/>
        <v>0</v>
      </c>
      <c r="D89" s="96">
        <f t="shared" si="106"/>
        <v>0</v>
      </c>
      <c r="E89" s="96">
        <f t="shared" si="106"/>
        <v>267383419.97999999</v>
      </c>
      <c r="F89" s="96">
        <f t="shared" si="106"/>
        <v>0</v>
      </c>
      <c r="G89" s="96">
        <f t="shared" si="106"/>
        <v>0</v>
      </c>
      <c r="H89" s="96">
        <f t="shared" si="106"/>
        <v>0</v>
      </c>
      <c r="I89" s="96"/>
      <c r="J89" s="96">
        <f t="shared" si="106"/>
        <v>0</v>
      </c>
      <c r="K89" s="96">
        <f t="shared" ref="K89" si="107">K59</f>
        <v>0</v>
      </c>
      <c r="L89" s="96">
        <f t="shared" si="106"/>
        <v>0</v>
      </c>
      <c r="M89" s="96">
        <f t="shared" si="106"/>
        <v>0</v>
      </c>
      <c r="N89" s="96">
        <f t="shared" si="106"/>
        <v>0</v>
      </c>
      <c r="O89" s="96">
        <f t="shared" si="106"/>
        <v>0</v>
      </c>
      <c r="P89" s="96">
        <f t="shared" ref="P89:Y89" si="108">P59</f>
        <v>0</v>
      </c>
      <c r="Q89" s="96">
        <f t="shared" si="108"/>
        <v>0</v>
      </c>
      <c r="R89" s="96">
        <f t="shared" si="108"/>
        <v>0</v>
      </c>
      <c r="S89" s="96">
        <f t="shared" si="108"/>
        <v>0</v>
      </c>
      <c r="T89" s="96">
        <f t="shared" si="108"/>
        <v>0</v>
      </c>
      <c r="U89" s="96">
        <f t="shared" si="108"/>
        <v>0</v>
      </c>
      <c r="V89" s="96">
        <f t="shared" si="108"/>
        <v>0</v>
      </c>
      <c r="W89" s="96">
        <f t="shared" si="108"/>
        <v>0</v>
      </c>
      <c r="X89" s="96">
        <f t="shared" si="108"/>
        <v>0</v>
      </c>
      <c r="Y89" s="96">
        <f t="shared" si="108"/>
        <v>0</v>
      </c>
      <c r="Z89" s="96">
        <f t="shared" ref="Z89" si="109">Z59</f>
        <v>0</v>
      </c>
    </row>
    <row r="90" spans="1:26" s="47" customFormat="1" ht="14.25" thickBot="1">
      <c r="A90" s="61" t="s">
        <v>54</v>
      </c>
      <c r="B90" s="97"/>
      <c r="C90" s="97">
        <f>C87-C89</f>
        <v>28862577.329999994</v>
      </c>
      <c r="D90" s="97">
        <f t="shared" ref="D90:Y90" si="110">D87-D89</f>
        <v>-548273117.32367456</v>
      </c>
      <c r="E90" s="97">
        <f>E87-E89</f>
        <v>484682135.85676527</v>
      </c>
      <c r="F90" s="97">
        <f t="shared" si="110"/>
        <v>-166125416.87</v>
      </c>
      <c r="G90" s="97">
        <f t="shared" si="110"/>
        <v>-35527721.720713355</v>
      </c>
      <c r="H90" s="97">
        <f t="shared" si="110"/>
        <v>143094085.36020967</v>
      </c>
      <c r="I90" s="97"/>
      <c r="J90" s="97">
        <f t="shared" si="110"/>
        <v>-152862912.91667926</v>
      </c>
      <c r="K90" s="97">
        <f t="shared" ref="K90" si="111">K87-K89</f>
        <v>-1298669.77</v>
      </c>
      <c r="L90" s="97">
        <f t="shared" si="110"/>
        <v>939415.8200000003</v>
      </c>
      <c r="M90" s="97">
        <f t="shared" si="110"/>
        <v>0</v>
      </c>
      <c r="N90" s="97">
        <f t="shared" si="110"/>
        <v>-3743635.9899999993</v>
      </c>
      <c r="O90" s="97">
        <f t="shared" si="110"/>
        <v>-21656004.224243779</v>
      </c>
      <c r="P90" s="97">
        <f t="shared" si="110"/>
        <v>20832353.923471697</v>
      </c>
      <c r="Q90" s="97">
        <f t="shared" si="110"/>
        <v>266615127.13748434</v>
      </c>
      <c r="R90" s="97">
        <f t="shared" si="110"/>
        <v>0</v>
      </c>
      <c r="S90" s="97">
        <f t="shared" si="110"/>
        <v>228642025.31999999</v>
      </c>
      <c r="T90" s="97">
        <f t="shared" si="110"/>
        <v>36954371.244150937</v>
      </c>
      <c r="U90" s="97">
        <f t="shared" si="110"/>
        <v>1018730.5733333332</v>
      </c>
      <c r="V90" s="97">
        <f t="shared" si="110"/>
        <v>-3637510.7800000007</v>
      </c>
      <c r="W90" s="97">
        <f t="shared" si="110"/>
        <v>-3986931.2799999993</v>
      </c>
      <c r="X90" s="97">
        <f t="shared" si="110"/>
        <v>349420.5</v>
      </c>
      <c r="Y90" s="97">
        <f t="shared" si="110"/>
        <v>-10389947.210000001</v>
      </c>
      <c r="Z90" s="97">
        <f t="shared" ref="Z90" si="112">Z87-Z89</f>
        <v>-293923.25</v>
      </c>
    </row>
    <row r="91" spans="1:26"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</row>
    <row r="92" spans="1:26">
      <c r="C92" s="317">
        <f>C77-累计考核费用!D156</f>
        <v>0</v>
      </c>
      <c r="D92" s="317">
        <f>D77-累计考核费用!E156</f>
        <v>-0.2199999988079071</v>
      </c>
      <c r="E92" s="47">
        <f>E79+E82-E81</f>
        <v>6522822.1099999994</v>
      </c>
    </row>
    <row r="93" spans="1:26" ht="14.25" thickBot="1">
      <c r="H93" s="73"/>
      <c r="I93" s="73"/>
      <c r="J93" s="73"/>
      <c r="K93" s="73"/>
      <c r="L93" s="73"/>
      <c r="M93" s="73"/>
      <c r="N93" s="73"/>
      <c r="O93" s="73"/>
    </row>
    <row r="94" spans="1:26" customFormat="1" ht="14.25" thickBot="1">
      <c r="A94" s="34" t="s">
        <v>3</v>
      </c>
      <c r="B94" s="34" t="s">
        <v>4</v>
      </c>
      <c r="C94" s="34" t="s">
        <v>5</v>
      </c>
      <c r="D94" s="34" t="s">
        <v>6</v>
      </c>
      <c r="E94" s="34" t="s">
        <v>7</v>
      </c>
      <c r="F94" s="34" t="s">
        <v>8</v>
      </c>
      <c r="G94" s="34" t="s">
        <v>9</v>
      </c>
      <c r="H94" s="40" t="s">
        <v>10</v>
      </c>
      <c r="I94" s="40" t="s">
        <v>11</v>
      </c>
      <c r="J94" s="40" t="s">
        <v>12</v>
      </c>
      <c r="K94" s="40" t="s">
        <v>13</v>
      </c>
      <c r="L94" s="40" t="s">
        <v>14</v>
      </c>
      <c r="M94" s="40" t="s">
        <v>15</v>
      </c>
      <c r="N94" s="34" t="s">
        <v>16</v>
      </c>
      <c r="O94" s="34" t="s">
        <v>17</v>
      </c>
      <c r="P94" s="40" t="s">
        <v>18</v>
      </c>
      <c r="Q94" s="40" t="s">
        <v>19</v>
      </c>
      <c r="R94" s="40" t="s">
        <v>20</v>
      </c>
      <c r="S94" s="40" t="s">
        <v>365</v>
      </c>
      <c r="T94" s="34" t="s">
        <v>21</v>
      </c>
      <c r="U94" s="40" t="s">
        <v>22</v>
      </c>
      <c r="V94" s="40" t="s">
        <v>23</v>
      </c>
      <c r="W94" s="40" t="s">
        <v>24</v>
      </c>
      <c r="X94" s="34" t="s">
        <v>393</v>
      </c>
      <c r="Y94" s="34">
        <v>0</v>
      </c>
    </row>
    <row r="95" spans="1:26" customFormat="1">
      <c r="A95" s="34" t="s">
        <v>3</v>
      </c>
      <c r="B95" s="34" t="s">
        <v>4</v>
      </c>
      <c r="C95" s="34" t="s">
        <v>5</v>
      </c>
      <c r="D95" s="34" t="s">
        <v>6</v>
      </c>
      <c r="E95" s="34" t="s">
        <v>7</v>
      </c>
      <c r="F95" s="34" t="s">
        <v>8</v>
      </c>
      <c r="G95" s="34" t="s">
        <v>9</v>
      </c>
      <c r="H95" s="40" t="s">
        <v>10</v>
      </c>
      <c r="I95" s="40" t="s">
        <v>11</v>
      </c>
      <c r="J95" s="40" t="s">
        <v>12</v>
      </c>
      <c r="K95" s="40" t="s">
        <v>13</v>
      </c>
      <c r="L95" s="40" t="s">
        <v>14</v>
      </c>
      <c r="M95" s="40" t="s">
        <v>15</v>
      </c>
      <c r="N95" s="34" t="s">
        <v>16</v>
      </c>
      <c r="O95" s="34" t="s">
        <v>17</v>
      </c>
      <c r="P95" s="40" t="s">
        <v>18</v>
      </c>
      <c r="Q95" s="40" t="s">
        <v>19</v>
      </c>
      <c r="R95" s="40" t="s">
        <v>20</v>
      </c>
      <c r="S95" s="40" t="s">
        <v>365</v>
      </c>
      <c r="T95" s="34" t="s">
        <v>21</v>
      </c>
      <c r="U95" s="40" t="s">
        <v>22</v>
      </c>
      <c r="V95" s="40" t="s">
        <v>23</v>
      </c>
      <c r="W95" s="40" t="s">
        <v>24</v>
      </c>
      <c r="X95" s="34" t="s">
        <v>393</v>
      </c>
      <c r="Y95" s="34">
        <v>0</v>
      </c>
    </row>
    <row r="96" spans="1:26">
      <c r="A96" s="283" t="s">
        <v>25</v>
      </c>
      <c r="B96" s="47">
        <f>B64</f>
        <v>1144217911.3733337</v>
      </c>
      <c r="C96" s="47">
        <f>C64+Z64</f>
        <v>-47940263.820000008</v>
      </c>
      <c r="D96" s="47">
        <f t="shared" ref="D96:H96" si="113">D64</f>
        <v>-233224085.39788258</v>
      </c>
      <c r="E96" s="47">
        <f t="shared" si="113"/>
        <v>1121060631.9133332</v>
      </c>
      <c r="F96" s="47">
        <f t="shared" si="113"/>
        <v>-154543204.44999999</v>
      </c>
      <c r="G96" s="47">
        <f t="shared" si="113"/>
        <v>73555.676926642656</v>
      </c>
      <c r="H96" s="47">
        <f t="shared" si="113"/>
        <v>158951334.14020967</v>
      </c>
      <c r="I96" s="47">
        <f>J64+K64</f>
        <v>-148922556.16667926</v>
      </c>
      <c r="J96" s="74">
        <f>L64</f>
        <v>5765888.4900000002</v>
      </c>
      <c r="K96" s="74">
        <f>M64</f>
        <v>0</v>
      </c>
      <c r="L96" s="47">
        <f>N64</f>
        <v>5630.8799999999992</v>
      </c>
      <c r="M96" s="47">
        <f t="shared" ref="M96:S96" si="114">O64</f>
        <v>-15726741.666603776</v>
      </c>
      <c r="N96" s="47">
        <f t="shared" si="114"/>
        <v>36296846.203471698</v>
      </c>
      <c r="O96" s="47">
        <f t="shared" si="114"/>
        <v>420935445.66748434</v>
      </c>
      <c r="P96" s="47">
        <f t="shared" si="114"/>
        <v>0</v>
      </c>
      <c r="Q96" s="47">
        <f t="shared" si="114"/>
        <v>347668822.43000001</v>
      </c>
      <c r="R96" s="47">
        <f t="shared" si="114"/>
        <v>68283310.874150947</v>
      </c>
      <c r="S96" s="47">
        <f t="shared" si="114"/>
        <v>4983312.3633333333</v>
      </c>
      <c r="T96" s="47">
        <f>V64</f>
        <v>1559185.4200000002</v>
      </c>
      <c r="U96" s="47">
        <f t="shared" ref="U96" si="115">W64</f>
        <v>1694.85</v>
      </c>
      <c r="V96" s="47">
        <f t="shared" ref="V96" si="116">X64</f>
        <v>1557490.57</v>
      </c>
      <c r="W96" s="47">
        <f t="shared" ref="W96" si="117">Y64</f>
        <v>-199.84000000000003</v>
      </c>
      <c r="X96" s="47">
        <f>Z64</f>
        <v>8.93</v>
      </c>
    </row>
    <row r="97" spans="1:24">
      <c r="A97" s="284" t="s">
        <v>110</v>
      </c>
      <c r="B97" s="47">
        <f t="shared" ref="B97:H97" si="118">B65</f>
        <v>1091921992.4300001</v>
      </c>
      <c r="C97" s="47">
        <f t="shared" ref="C97:C122" si="119">C65+Z65</f>
        <v>58500.870000000112</v>
      </c>
      <c r="D97" s="47">
        <f t="shared" si="118"/>
        <v>-785383.67999989132</v>
      </c>
      <c r="E97" s="47">
        <f t="shared" si="118"/>
        <v>571188339.31999993</v>
      </c>
      <c r="F97" s="47">
        <f t="shared" si="118"/>
        <v>62096182.980000004</v>
      </c>
      <c r="G97" s="47">
        <f t="shared" si="118"/>
        <v>6439160.330000001</v>
      </c>
      <c r="H97" s="47">
        <f t="shared" si="118"/>
        <v>5542969.9200000009</v>
      </c>
      <c r="I97" s="47">
        <f t="shared" ref="I97:I121" si="120">J65+K65</f>
        <v>600000</v>
      </c>
      <c r="J97" s="74">
        <f t="shared" ref="J97:L97" si="121">L65</f>
        <v>35530.800000000003</v>
      </c>
      <c r="K97" s="74">
        <f t="shared" si="121"/>
        <v>0</v>
      </c>
      <c r="L97" s="47">
        <f t="shared" si="121"/>
        <v>-3820</v>
      </c>
      <c r="M97" s="47">
        <f t="shared" ref="M97:M122" si="122">O65</f>
        <v>264479.61</v>
      </c>
      <c r="N97" s="47">
        <f t="shared" ref="N97:N122" si="123">P65</f>
        <v>35833032.93</v>
      </c>
      <c r="O97" s="47">
        <f t="shared" ref="O97:O122" si="124">Q65</f>
        <v>415935048.95000005</v>
      </c>
      <c r="P97" s="47">
        <f t="shared" ref="P97:P122" si="125">R65</f>
        <v>0</v>
      </c>
      <c r="Q97" s="47">
        <f t="shared" ref="Q97:Q122" si="126">S65</f>
        <v>347668822.43000001</v>
      </c>
      <c r="R97" s="47">
        <f t="shared" ref="R97:R122" si="127">T65</f>
        <v>66307358.610000007</v>
      </c>
      <c r="S97" s="47">
        <f t="shared" ref="S97:T112" si="128">U65</f>
        <v>1958867.9100000001</v>
      </c>
      <c r="T97" s="47">
        <f t="shared" si="128"/>
        <v>1157310.57</v>
      </c>
      <c r="U97" s="47">
        <f t="shared" ref="U97:U122" si="129">W65</f>
        <v>-180</v>
      </c>
      <c r="V97" s="47">
        <f t="shared" ref="V97:V122" si="130">X65</f>
        <v>1157490.57</v>
      </c>
      <c r="W97" s="47">
        <f t="shared" ref="W97:W122" si="131">Y65</f>
        <v>-199.84000000000003</v>
      </c>
      <c r="X97" s="47">
        <f t="shared" ref="X97:X122" si="132">Z65</f>
        <v>0</v>
      </c>
    </row>
    <row r="98" spans="1:24">
      <c r="A98" s="285" t="s">
        <v>27</v>
      </c>
      <c r="B98" s="47">
        <f t="shared" ref="B98:H98" si="133">B66</f>
        <v>561558941.46000004</v>
      </c>
      <c r="C98" s="47">
        <f t="shared" si="119"/>
        <v>-824350.51</v>
      </c>
      <c r="D98" s="47">
        <f t="shared" si="133"/>
        <v>-353218.25999999838</v>
      </c>
      <c r="E98" s="47">
        <f t="shared" si="133"/>
        <v>562326133.48000002</v>
      </c>
      <c r="F98" s="47">
        <f t="shared" si="133"/>
        <v>110366.34</v>
      </c>
      <c r="G98" s="47">
        <f t="shared" si="133"/>
        <v>300010.41000000003</v>
      </c>
      <c r="H98" s="47">
        <f t="shared" si="133"/>
        <v>0</v>
      </c>
      <c r="I98" s="47">
        <f t="shared" si="120"/>
        <v>0</v>
      </c>
      <c r="J98" s="74">
        <f t="shared" ref="J98:L98" si="134">L66</f>
        <v>35530.800000000003</v>
      </c>
      <c r="K98" s="74">
        <f t="shared" si="134"/>
        <v>0</v>
      </c>
      <c r="L98" s="47">
        <f t="shared" si="134"/>
        <v>0</v>
      </c>
      <c r="M98" s="47">
        <f t="shared" si="122"/>
        <v>264479.61</v>
      </c>
      <c r="N98" s="47">
        <f t="shared" si="123"/>
        <v>0</v>
      </c>
      <c r="O98" s="47">
        <f t="shared" si="124"/>
        <v>0</v>
      </c>
      <c r="P98" s="47">
        <f t="shared" si="125"/>
        <v>0</v>
      </c>
      <c r="Q98" s="47">
        <f t="shared" si="126"/>
        <v>0</v>
      </c>
      <c r="R98" s="47">
        <f t="shared" si="127"/>
        <v>0</v>
      </c>
      <c r="S98" s="47">
        <f t="shared" si="128"/>
        <v>0</v>
      </c>
      <c r="T98" s="47">
        <f t="shared" ref="T98:T121" si="135">V66</f>
        <v>0</v>
      </c>
      <c r="U98" s="47">
        <f t="shared" si="129"/>
        <v>0</v>
      </c>
      <c r="V98" s="47">
        <f t="shared" si="130"/>
        <v>0</v>
      </c>
      <c r="W98" s="47">
        <f t="shared" si="131"/>
        <v>0</v>
      </c>
      <c r="X98" s="47">
        <f t="shared" si="132"/>
        <v>0</v>
      </c>
    </row>
    <row r="99" spans="1:24">
      <c r="A99" s="285" t="s">
        <v>28</v>
      </c>
      <c r="B99" s="47">
        <f t="shared" ref="B99:H99" si="136">B67</f>
        <v>453431982.71000004</v>
      </c>
      <c r="C99" s="47">
        <f t="shared" si="119"/>
        <v>-5073015.09</v>
      </c>
      <c r="D99" s="47">
        <f t="shared" si="136"/>
        <v>-7.2759576141834259E-8</v>
      </c>
      <c r="E99" s="47">
        <f t="shared" si="136"/>
        <v>5216925.3499999996</v>
      </c>
      <c r="F99" s="47">
        <f t="shared" si="136"/>
        <v>0</v>
      </c>
      <c r="G99" s="47">
        <f t="shared" si="136"/>
        <v>600000</v>
      </c>
      <c r="H99" s="47">
        <f t="shared" si="136"/>
        <v>0</v>
      </c>
      <c r="I99" s="47">
        <f t="shared" si="120"/>
        <v>600000</v>
      </c>
      <c r="J99" s="74">
        <f t="shared" ref="J99:L99" si="137">L67</f>
        <v>0</v>
      </c>
      <c r="K99" s="74">
        <f t="shared" si="137"/>
        <v>0</v>
      </c>
      <c r="L99" s="47">
        <f t="shared" si="137"/>
        <v>0</v>
      </c>
      <c r="M99" s="47">
        <f t="shared" si="122"/>
        <v>0</v>
      </c>
      <c r="N99" s="47">
        <f t="shared" si="123"/>
        <v>35833032.93</v>
      </c>
      <c r="O99" s="47">
        <f t="shared" si="124"/>
        <v>415697548.95000005</v>
      </c>
      <c r="P99" s="47">
        <f t="shared" si="125"/>
        <v>0</v>
      </c>
      <c r="Q99" s="47">
        <f t="shared" si="126"/>
        <v>347431322.43000001</v>
      </c>
      <c r="R99" s="47">
        <f t="shared" si="127"/>
        <v>66307358.610000007</v>
      </c>
      <c r="S99" s="47">
        <f t="shared" si="128"/>
        <v>1958867.9100000001</v>
      </c>
      <c r="T99" s="47">
        <f t="shared" si="135"/>
        <v>1157490.57</v>
      </c>
      <c r="U99" s="47">
        <f t="shared" si="129"/>
        <v>0</v>
      </c>
      <c r="V99" s="47">
        <f t="shared" si="130"/>
        <v>1157490.57</v>
      </c>
      <c r="W99" s="47">
        <f t="shared" si="131"/>
        <v>0</v>
      </c>
      <c r="X99" s="47">
        <f t="shared" si="132"/>
        <v>0</v>
      </c>
    </row>
    <row r="100" spans="1:24">
      <c r="A100" s="285" t="s">
        <v>29</v>
      </c>
      <c r="B100" s="47">
        <f t="shared" ref="B100:H100" si="138">B68</f>
        <v>68244349.840000004</v>
      </c>
      <c r="C100" s="47">
        <f t="shared" si="119"/>
        <v>5955866.4699999997</v>
      </c>
      <c r="D100" s="47">
        <f t="shared" si="138"/>
        <v>0</v>
      </c>
      <c r="E100" s="47">
        <f t="shared" si="138"/>
        <v>302000.73</v>
      </c>
      <c r="F100" s="47">
        <f t="shared" si="138"/>
        <v>61986482.640000001</v>
      </c>
      <c r="G100" s="47">
        <f t="shared" si="138"/>
        <v>0</v>
      </c>
      <c r="H100" s="47">
        <f t="shared" si="138"/>
        <v>0</v>
      </c>
      <c r="I100" s="47">
        <f t="shared" si="120"/>
        <v>0</v>
      </c>
      <c r="J100" s="74">
        <f t="shared" ref="J100:L100" si="139">L68</f>
        <v>0</v>
      </c>
      <c r="K100" s="74">
        <f t="shared" si="139"/>
        <v>0</v>
      </c>
      <c r="L100" s="47">
        <f t="shared" si="139"/>
        <v>0</v>
      </c>
      <c r="M100" s="47">
        <f t="shared" si="122"/>
        <v>0</v>
      </c>
      <c r="N100" s="47">
        <f t="shared" si="123"/>
        <v>0</v>
      </c>
      <c r="O100" s="47">
        <f t="shared" si="124"/>
        <v>0</v>
      </c>
      <c r="P100" s="47">
        <f t="shared" si="125"/>
        <v>0</v>
      </c>
      <c r="Q100" s="47">
        <f t="shared" si="126"/>
        <v>0</v>
      </c>
      <c r="R100" s="47">
        <f t="shared" si="127"/>
        <v>0</v>
      </c>
      <c r="S100" s="47">
        <f t="shared" si="128"/>
        <v>0</v>
      </c>
      <c r="T100" s="47">
        <f t="shared" si="135"/>
        <v>0</v>
      </c>
      <c r="U100" s="47">
        <f t="shared" si="129"/>
        <v>0</v>
      </c>
      <c r="V100" s="47">
        <f t="shared" si="130"/>
        <v>0</v>
      </c>
      <c r="W100" s="47">
        <f t="shared" si="131"/>
        <v>0</v>
      </c>
      <c r="X100" s="47">
        <f t="shared" si="132"/>
        <v>0</v>
      </c>
    </row>
    <row r="101" spans="1:24">
      <c r="A101" s="284" t="s">
        <v>111</v>
      </c>
      <c r="B101" s="47">
        <f t="shared" ref="B101:H101" si="140">B69</f>
        <v>287264199.19</v>
      </c>
      <c r="C101" s="47">
        <f t="shared" si="119"/>
        <v>-8070704.8400000008</v>
      </c>
      <c r="D101" s="47">
        <f t="shared" si="140"/>
        <v>-247956717.4933334</v>
      </c>
      <c r="E101" s="47">
        <f t="shared" si="140"/>
        <v>541784473.68000007</v>
      </c>
      <c r="F101" s="47">
        <f t="shared" si="140"/>
        <v>237121.52</v>
      </c>
      <c r="G101" s="47">
        <f t="shared" si="140"/>
        <v>-1756292.9799999991</v>
      </c>
      <c r="H101" s="47">
        <f t="shared" si="140"/>
        <v>-6376318.6400000006</v>
      </c>
      <c r="I101" s="47">
        <f t="shared" si="120"/>
        <v>4256808.0500000007</v>
      </c>
      <c r="J101" s="74">
        <f t="shared" ref="J101:L101" si="141">L69</f>
        <v>-282393.39</v>
      </c>
      <c r="K101" s="74">
        <f t="shared" si="141"/>
        <v>0</v>
      </c>
      <c r="L101" s="47">
        <f t="shared" si="141"/>
        <v>9450.8799999999992</v>
      </c>
      <c r="M101" s="47">
        <f t="shared" si="122"/>
        <v>636160.12</v>
      </c>
      <c r="N101" s="47">
        <f t="shared" si="123"/>
        <v>0</v>
      </c>
      <c r="O101" s="47">
        <f t="shared" si="124"/>
        <v>3024444.4533333336</v>
      </c>
      <c r="P101" s="47">
        <f t="shared" si="125"/>
        <v>0</v>
      </c>
      <c r="Q101" s="47">
        <f t="shared" si="126"/>
        <v>0</v>
      </c>
      <c r="R101" s="47">
        <f t="shared" si="127"/>
        <v>0</v>
      </c>
      <c r="S101" s="47">
        <f t="shared" si="128"/>
        <v>3024444.4533333336</v>
      </c>
      <c r="T101" s="47">
        <f t="shared" si="135"/>
        <v>1874.85</v>
      </c>
      <c r="U101" s="47">
        <f t="shared" si="129"/>
        <v>1874.85</v>
      </c>
      <c r="V101" s="47">
        <f t="shared" si="130"/>
        <v>0</v>
      </c>
      <c r="W101" s="47">
        <f t="shared" si="131"/>
        <v>0</v>
      </c>
      <c r="X101" s="47">
        <f t="shared" si="132"/>
        <v>8.93</v>
      </c>
    </row>
    <row r="102" spans="1:24">
      <c r="A102" s="284" t="s">
        <v>31</v>
      </c>
      <c r="B102" s="47">
        <f t="shared" ref="B102:H102" si="142">B70</f>
        <v>-40159995.250000007</v>
      </c>
      <c r="C102" s="47">
        <f t="shared" si="119"/>
        <v>-6787932.1799999997</v>
      </c>
      <c r="D102" s="47">
        <f t="shared" si="142"/>
        <v>15686833.405450713</v>
      </c>
      <c r="E102" s="47">
        <f t="shared" si="142"/>
        <v>667784.83999999985</v>
      </c>
      <c r="F102" s="47">
        <f t="shared" si="142"/>
        <v>-144696361.03999999</v>
      </c>
      <c r="G102" s="47">
        <f t="shared" si="142"/>
        <v>93044639.184926644</v>
      </c>
      <c r="H102" s="47">
        <f t="shared" si="142"/>
        <v>231271063.06020966</v>
      </c>
      <c r="I102" s="47">
        <f t="shared" si="120"/>
        <v>-122620461.83867925</v>
      </c>
      <c r="J102" s="74">
        <f t="shared" ref="J102:L102" si="143">L70</f>
        <v>4710304.01</v>
      </c>
      <c r="K102" s="74">
        <f t="shared" si="143"/>
        <v>0</v>
      </c>
      <c r="L102" s="47">
        <f t="shared" si="143"/>
        <v>0</v>
      </c>
      <c r="M102" s="47">
        <f t="shared" si="122"/>
        <v>-20316266.046603777</v>
      </c>
      <c r="N102" s="47">
        <f t="shared" si="123"/>
        <v>-50911.7245283019</v>
      </c>
      <c r="O102" s="47">
        <f t="shared" si="124"/>
        <v>1975952.2641509401</v>
      </c>
      <c r="P102" s="47">
        <f t="shared" si="125"/>
        <v>0</v>
      </c>
      <c r="Q102" s="47">
        <f t="shared" si="126"/>
        <v>0</v>
      </c>
      <c r="R102" s="47">
        <f t="shared" si="127"/>
        <v>1975952.2641509401</v>
      </c>
      <c r="S102" s="47">
        <f t="shared" si="128"/>
        <v>0</v>
      </c>
      <c r="T102" s="47">
        <f t="shared" si="135"/>
        <v>0</v>
      </c>
      <c r="U102" s="47">
        <f t="shared" si="129"/>
        <v>0</v>
      </c>
      <c r="V102" s="47">
        <f t="shared" si="130"/>
        <v>0</v>
      </c>
      <c r="W102" s="47">
        <f t="shared" si="131"/>
        <v>0</v>
      </c>
      <c r="X102" s="47">
        <f t="shared" si="132"/>
        <v>0</v>
      </c>
    </row>
    <row r="103" spans="1:24">
      <c r="A103" s="284" t="s">
        <v>366</v>
      </c>
      <c r="B103" s="47">
        <f t="shared" ref="B103:H103" si="144">B71</f>
        <v>0</v>
      </c>
      <c r="C103" s="47">
        <f t="shared" si="119"/>
        <v>0</v>
      </c>
      <c r="D103" s="47">
        <f t="shared" si="144"/>
        <v>0</v>
      </c>
      <c r="E103" s="47">
        <f t="shared" si="144"/>
        <v>0</v>
      </c>
      <c r="F103" s="47">
        <f t="shared" si="144"/>
        <v>0</v>
      </c>
      <c r="G103" s="47">
        <f t="shared" si="144"/>
        <v>0</v>
      </c>
      <c r="H103" s="47">
        <f t="shared" si="144"/>
        <v>0</v>
      </c>
      <c r="I103" s="47">
        <f t="shared" si="120"/>
        <v>0</v>
      </c>
      <c r="J103" s="74">
        <f t="shared" ref="J103:L103" si="145">L71</f>
        <v>0</v>
      </c>
      <c r="K103" s="74">
        <f t="shared" si="145"/>
        <v>0</v>
      </c>
      <c r="L103" s="47">
        <f t="shared" si="145"/>
        <v>0</v>
      </c>
      <c r="M103" s="47">
        <f t="shared" si="122"/>
        <v>0</v>
      </c>
      <c r="N103" s="47">
        <f t="shared" si="123"/>
        <v>0</v>
      </c>
      <c r="O103" s="47">
        <f t="shared" si="124"/>
        <v>0</v>
      </c>
      <c r="P103" s="47">
        <f t="shared" si="125"/>
        <v>0</v>
      </c>
      <c r="Q103" s="47">
        <f t="shared" si="126"/>
        <v>0</v>
      </c>
      <c r="R103" s="47">
        <f t="shared" si="127"/>
        <v>0</v>
      </c>
      <c r="S103" s="47">
        <f t="shared" si="128"/>
        <v>0</v>
      </c>
      <c r="T103" s="47">
        <f t="shared" si="135"/>
        <v>0</v>
      </c>
      <c r="U103" s="47">
        <f t="shared" si="129"/>
        <v>0</v>
      </c>
      <c r="V103" s="47">
        <f t="shared" si="130"/>
        <v>0</v>
      </c>
      <c r="W103" s="47">
        <f t="shared" si="131"/>
        <v>0</v>
      </c>
      <c r="X103" s="47">
        <f t="shared" si="132"/>
        <v>0</v>
      </c>
    </row>
    <row r="104" spans="1:24">
      <c r="A104" s="284" t="s">
        <v>33</v>
      </c>
      <c r="B104" s="47">
        <f t="shared" ref="B104:H104" si="146">B72</f>
        <v>-201580921.54666668</v>
      </c>
      <c r="C104" s="47">
        <f t="shared" si="119"/>
        <v>-31543190.830000002</v>
      </c>
      <c r="D104" s="47">
        <f t="shared" si="146"/>
        <v>-72181.720000007772</v>
      </c>
      <c r="E104" s="47">
        <f t="shared" si="146"/>
        <v>-646175.22666666668</v>
      </c>
      <c r="F104" s="47">
        <f t="shared" si="146"/>
        <v>-72180147.909999996</v>
      </c>
      <c r="G104" s="47">
        <f t="shared" si="146"/>
        <v>-97653950.857999995</v>
      </c>
      <c r="H104" s="47">
        <f t="shared" si="146"/>
        <v>-71486380.199999988</v>
      </c>
      <c r="I104" s="47">
        <f t="shared" si="120"/>
        <v>-31158902.37800001</v>
      </c>
      <c r="J104" s="74">
        <f t="shared" ref="J104:L104" si="147">L72</f>
        <v>1302447.0699999998</v>
      </c>
      <c r="K104" s="74">
        <f t="shared" si="147"/>
        <v>0</v>
      </c>
      <c r="L104" s="47">
        <f t="shared" si="147"/>
        <v>0</v>
      </c>
      <c r="M104" s="47">
        <f t="shared" si="122"/>
        <v>3688884.6500000008</v>
      </c>
      <c r="N104" s="47">
        <f t="shared" si="123"/>
        <v>514724.99800000002</v>
      </c>
      <c r="O104" s="47">
        <f t="shared" si="124"/>
        <v>0</v>
      </c>
      <c r="P104" s="47">
        <f t="shared" si="125"/>
        <v>0</v>
      </c>
      <c r="Q104" s="47">
        <f t="shared" si="126"/>
        <v>0</v>
      </c>
      <c r="R104" s="47">
        <f t="shared" si="127"/>
        <v>0</v>
      </c>
      <c r="S104" s="47">
        <f t="shared" si="128"/>
        <v>0</v>
      </c>
      <c r="T104" s="47">
        <f t="shared" si="135"/>
        <v>0</v>
      </c>
      <c r="U104" s="47">
        <f t="shared" si="129"/>
        <v>0</v>
      </c>
      <c r="V104" s="47">
        <f t="shared" si="130"/>
        <v>0</v>
      </c>
      <c r="W104" s="47">
        <f t="shared" si="131"/>
        <v>0</v>
      </c>
      <c r="X104" s="47">
        <f t="shared" si="132"/>
        <v>0</v>
      </c>
    </row>
    <row r="105" spans="1:24">
      <c r="A105" s="284" t="s">
        <v>112</v>
      </c>
      <c r="B105" s="47">
        <f t="shared" ref="B105:H105" si="148">B73</f>
        <v>909251.33000000007</v>
      </c>
      <c r="C105" s="47">
        <f t="shared" si="119"/>
        <v>0</v>
      </c>
      <c r="D105" s="47">
        <f t="shared" si="148"/>
        <v>-101164.21000000002</v>
      </c>
      <c r="E105" s="47">
        <f t="shared" si="148"/>
        <v>1010415.54</v>
      </c>
      <c r="F105" s="47">
        <f t="shared" si="148"/>
        <v>0</v>
      </c>
      <c r="G105" s="47">
        <f t="shared" si="148"/>
        <v>0</v>
      </c>
      <c r="H105" s="47">
        <f t="shared" si="148"/>
        <v>0</v>
      </c>
      <c r="I105" s="47">
        <f t="shared" si="120"/>
        <v>0</v>
      </c>
      <c r="J105" s="74">
        <f t="shared" ref="J105:L105" si="149">L73</f>
        <v>0</v>
      </c>
      <c r="K105" s="74">
        <f t="shared" si="149"/>
        <v>0</v>
      </c>
      <c r="L105" s="47">
        <f t="shared" si="149"/>
        <v>0</v>
      </c>
      <c r="M105" s="47">
        <f t="shared" si="122"/>
        <v>0</v>
      </c>
      <c r="N105" s="47">
        <f t="shared" si="123"/>
        <v>0</v>
      </c>
      <c r="O105" s="47">
        <f t="shared" si="124"/>
        <v>0</v>
      </c>
      <c r="P105" s="47">
        <f t="shared" si="125"/>
        <v>0</v>
      </c>
      <c r="Q105" s="47">
        <f t="shared" si="126"/>
        <v>0</v>
      </c>
      <c r="R105" s="47">
        <f t="shared" si="127"/>
        <v>0</v>
      </c>
      <c r="S105" s="47">
        <f t="shared" si="128"/>
        <v>0</v>
      </c>
      <c r="T105" s="47">
        <f t="shared" si="135"/>
        <v>0</v>
      </c>
      <c r="U105" s="47">
        <f t="shared" si="129"/>
        <v>0</v>
      </c>
      <c r="V105" s="47">
        <f t="shared" si="130"/>
        <v>0</v>
      </c>
      <c r="W105" s="47">
        <f t="shared" si="131"/>
        <v>0</v>
      </c>
      <c r="X105" s="47">
        <f t="shared" si="132"/>
        <v>0</v>
      </c>
    </row>
    <row r="106" spans="1:24">
      <c r="A106" s="284" t="s">
        <v>113</v>
      </c>
      <c r="B106" s="47">
        <f t="shared" ref="B106:H106" si="150">B74</f>
        <v>5863385.2199999997</v>
      </c>
      <c r="C106" s="47">
        <f t="shared" si="119"/>
        <v>-1596936.84</v>
      </c>
      <c r="D106" s="47">
        <f t="shared" si="150"/>
        <v>4528.3000000006268</v>
      </c>
      <c r="E106" s="47">
        <f t="shared" si="150"/>
        <v>7055793.7599999998</v>
      </c>
      <c r="F106" s="47">
        <f t="shared" si="150"/>
        <v>0</v>
      </c>
      <c r="G106" s="47">
        <f t="shared" si="150"/>
        <v>0</v>
      </c>
      <c r="H106" s="47">
        <f t="shared" si="150"/>
        <v>0</v>
      </c>
      <c r="I106" s="47">
        <f t="shared" si="120"/>
        <v>0</v>
      </c>
      <c r="J106" s="74">
        <f t="shared" ref="J106:L106" si="151">L74</f>
        <v>0</v>
      </c>
      <c r="K106" s="74">
        <f t="shared" si="151"/>
        <v>0</v>
      </c>
      <c r="L106" s="47">
        <f t="shared" si="151"/>
        <v>0</v>
      </c>
      <c r="M106" s="47">
        <f t="shared" si="122"/>
        <v>0</v>
      </c>
      <c r="N106" s="47">
        <f t="shared" si="123"/>
        <v>0</v>
      </c>
      <c r="O106" s="47">
        <f t="shared" si="124"/>
        <v>0</v>
      </c>
      <c r="P106" s="47">
        <f t="shared" si="125"/>
        <v>0</v>
      </c>
      <c r="Q106" s="47">
        <f t="shared" si="126"/>
        <v>0</v>
      </c>
      <c r="R106" s="47">
        <f t="shared" si="127"/>
        <v>0</v>
      </c>
      <c r="S106" s="47">
        <f t="shared" si="128"/>
        <v>0</v>
      </c>
      <c r="T106" s="47">
        <f t="shared" si="135"/>
        <v>400000</v>
      </c>
      <c r="U106" s="47">
        <f t="shared" si="129"/>
        <v>0</v>
      </c>
      <c r="V106" s="47">
        <f t="shared" si="130"/>
        <v>400000</v>
      </c>
      <c r="W106" s="47">
        <f t="shared" si="131"/>
        <v>0</v>
      </c>
      <c r="X106" s="47">
        <f t="shared" si="132"/>
        <v>0</v>
      </c>
    </row>
    <row r="107" spans="1:24">
      <c r="A107" s="286" t="s">
        <v>36</v>
      </c>
      <c r="B107" s="47">
        <f t="shared" ref="B107:H107" si="152">B75</f>
        <v>802724464.82000005</v>
      </c>
      <c r="C107" s="47">
        <f t="shared" si="119"/>
        <v>-44428142.93</v>
      </c>
      <c r="D107" s="47">
        <f t="shared" si="152"/>
        <v>245831100.33579198</v>
      </c>
      <c r="E107" s="47">
        <f t="shared" si="152"/>
        <v>368077241.23656803</v>
      </c>
      <c r="F107" s="47">
        <f t="shared" si="152"/>
        <v>11581437.42</v>
      </c>
      <c r="G107" s="47">
        <f t="shared" si="152"/>
        <v>36044059.937639996</v>
      </c>
      <c r="H107" s="47">
        <f t="shared" si="152"/>
        <v>15857248.780000001</v>
      </c>
      <c r="I107" s="47">
        <f t="shared" si="120"/>
        <v>5237628.0599999996</v>
      </c>
      <c r="J107" s="74">
        <f t="shared" ref="J107:L107" si="153">L75</f>
        <v>4824522.67</v>
      </c>
      <c r="K107" s="74">
        <f t="shared" si="153"/>
        <v>0</v>
      </c>
      <c r="L107" s="47">
        <f t="shared" si="153"/>
        <v>4195397.87</v>
      </c>
      <c r="M107" s="47">
        <f t="shared" si="122"/>
        <v>5929262.5576400002</v>
      </c>
      <c r="N107" s="47">
        <f t="shared" si="123"/>
        <v>15413153.539999999</v>
      </c>
      <c r="O107" s="47">
        <f t="shared" si="124"/>
        <v>154619171.71000001</v>
      </c>
      <c r="P107" s="47">
        <f t="shared" si="125"/>
        <v>0</v>
      </c>
      <c r="Q107" s="47">
        <f t="shared" si="126"/>
        <v>119026797.11000001</v>
      </c>
      <c r="R107" s="47">
        <f t="shared" si="127"/>
        <v>31628939.630000003</v>
      </c>
      <c r="S107" s="47">
        <f t="shared" si="128"/>
        <v>3963434.9699999997</v>
      </c>
      <c r="T107" s="47">
        <f t="shared" si="135"/>
        <v>5196696.2000000011</v>
      </c>
      <c r="U107" s="47">
        <f t="shared" si="129"/>
        <v>3988626.13</v>
      </c>
      <c r="V107" s="47">
        <f t="shared" si="130"/>
        <v>1208070.07</v>
      </c>
      <c r="W107" s="47">
        <f t="shared" si="131"/>
        <v>10389747.370000001</v>
      </c>
      <c r="X107" s="47">
        <f t="shared" si="132"/>
        <v>293932.18000000005</v>
      </c>
    </row>
    <row r="108" spans="1:24">
      <c r="A108" s="287" t="s">
        <v>114</v>
      </c>
      <c r="B108" s="47">
        <f t="shared" ref="B108:H108" si="154">B76</f>
        <v>45573317.490000002</v>
      </c>
      <c r="C108" s="47">
        <f t="shared" si="119"/>
        <v>-816368.32</v>
      </c>
      <c r="D108" s="47">
        <f t="shared" si="154"/>
        <v>452995.88579200394</v>
      </c>
      <c r="E108" s="47">
        <f t="shared" si="154"/>
        <v>24842574.936567999</v>
      </c>
      <c r="F108" s="47">
        <f t="shared" si="154"/>
        <v>1021904.4299999999</v>
      </c>
      <c r="G108" s="47">
        <f t="shared" si="154"/>
        <v>4416712.2376399999</v>
      </c>
      <c r="H108" s="47">
        <f t="shared" si="154"/>
        <v>4754460.68</v>
      </c>
      <c r="I108" s="47">
        <f t="shared" si="120"/>
        <v>-305749.31000000006</v>
      </c>
      <c r="J108" s="74">
        <f t="shared" ref="J108:L108" si="155">L76</f>
        <v>146564.85</v>
      </c>
      <c r="K108" s="74">
        <f t="shared" si="155"/>
        <v>0</v>
      </c>
      <c r="L108" s="47">
        <f t="shared" si="155"/>
        <v>-0.33</v>
      </c>
      <c r="M108" s="47">
        <f t="shared" si="122"/>
        <v>-178563.65236000001</v>
      </c>
      <c r="N108" s="47">
        <f t="shared" si="123"/>
        <v>556474</v>
      </c>
      <c r="O108" s="47">
        <f t="shared" si="124"/>
        <v>15088098.950000001</v>
      </c>
      <c r="P108" s="47">
        <f t="shared" si="125"/>
        <v>0</v>
      </c>
      <c r="Q108" s="47">
        <f t="shared" si="126"/>
        <v>12779929.67</v>
      </c>
      <c r="R108" s="47">
        <f t="shared" si="127"/>
        <v>2183208.4</v>
      </c>
      <c r="S108" s="47">
        <f t="shared" si="128"/>
        <v>124960.88</v>
      </c>
      <c r="T108" s="47">
        <f t="shared" si="135"/>
        <v>15837.939999999999</v>
      </c>
      <c r="U108" s="47">
        <f t="shared" si="129"/>
        <v>1269.21</v>
      </c>
      <c r="V108" s="47">
        <f t="shared" si="130"/>
        <v>14568.73</v>
      </c>
      <c r="W108" s="47">
        <f t="shared" si="131"/>
        <v>-4912.57</v>
      </c>
      <c r="X108" s="47">
        <f t="shared" si="132"/>
        <v>0</v>
      </c>
    </row>
    <row r="109" spans="1:24">
      <c r="A109" s="287" t="s">
        <v>115</v>
      </c>
      <c r="B109" s="47">
        <f t="shared" ref="B109:H109" si="156">B77</f>
        <v>752410517.23000002</v>
      </c>
      <c r="C109" s="47">
        <f t="shared" si="119"/>
        <v>-43611774.609999999</v>
      </c>
      <c r="D109" s="47">
        <f t="shared" si="156"/>
        <v>246242461.62</v>
      </c>
      <c r="E109" s="47">
        <f t="shared" si="156"/>
        <v>337629679.03000003</v>
      </c>
      <c r="F109" s="47">
        <f t="shared" si="156"/>
        <v>10559532.989999998</v>
      </c>
      <c r="G109" s="47">
        <f>G77</f>
        <v>31627347.699999999</v>
      </c>
      <c r="H109" s="47">
        <f t="shared" si="156"/>
        <v>11102788.100000001</v>
      </c>
      <c r="I109" s="47">
        <f t="shared" si="120"/>
        <v>5543377.3699999992</v>
      </c>
      <c r="J109" s="74">
        <f t="shared" ref="J109:L109" si="157">L77</f>
        <v>4677957.82</v>
      </c>
      <c r="K109" s="74">
        <f t="shared" si="157"/>
        <v>0</v>
      </c>
      <c r="L109" s="47">
        <f t="shared" si="157"/>
        <v>4195398.2</v>
      </c>
      <c r="M109" s="47">
        <f t="shared" si="122"/>
        <v>6107826.209999999</v>
      </c>
      <c r="N109" s="47">
        <f t="shared" si="123"/>
        <v>14856679.539999999</v>
      </c>
      <c r="O109" s="47">
        <f t="shared" si="124"/>
        <v>139531072.76000002</v>
      </c>
      <c r="P109" s="47">
        <f t="shared" si="125"/>
        <v>0</v>
      </c>
      <c r="Q109" s="47">
        <f t="shared" si="126"/>
        <v>106246867.44000001</v>
      </c>
      <c r="R109" s="47">
        <f t="shared" si="127"/>
        <v>29445731.23</v>
      </c>
      <c r="S109" s="47">
        <f t="shared" si="128"/>
        <v>3838474.09</v>
      </c>
      <c r="T109" s="47">
        <f t="shared" si="135"/>
        <v>5180858.2600000007</v>
      </c>
      <c r="U109" s="47">
        <f t="shared" si="129"/>
        <v>3987356.92</v>
      </c>
      <c r="V109" s="47">
        <f t="shared" si="130"/>
        <v>1193501.3399999999</v>
      </c>
      <c r="W109" s="47">
        <f t="shared" si="131"/>
        <v>10394659.939999999</v>
      </c>
      <c r="X109" s="47">
        <f t="shared" si="132"/>
        <v>293932.18000000005</v>
      </c>
    </row>
    <row r="110" spans="1:24">
      <c r="A110" s="287" t="s">
        <v>116</v>
      </c>
      <c r="B110" s="47">
        <f t="shared" ref="B110:H110" si="158">B78</f>
        <v>-864357.17000000016</v>
      </c>
      <c r="C110" s="47">
        <f t="shared" si="119"/>
        <v>0</v>
      </c>
      <c r="D110" s="47">
        <f t="shared" si="158"/>
        <v>-864357.17000000016</v>
      </c>
      <c r="E110" s="47">
        <f t="shared" si="158"/>
        <v>0</v>
      </c>
      <c r="F110" s="47">
        <f t="shared" si="158"/>
        <v>0</v>
      </c>
      <c r="G110" s="47">
        <f t="shared" si="158"/>
        <v>0</v>
      </c>
      <c r="H110" s="47">
        <f t="shared" si="158"/>
        <v>0</v>
      </c>
      <c r="I110" s="47">
        <f t="shared" si="120"/>
        <v>0</v>
      </c>
      <c r="J110" s="74">
        <f t="shared" ref="J110:L110" si="159">L78</f>
        <v>0</v>
      </c>
      <c r="K110" s="74">
        <f t="shared" si="159"/>
        <v>0</v>
      </c>
      <c r="L110" s="47">
        <f t="shared" si="159"/>
        <v>0</v>
      </c>
      <c r="M110" s="47">
        <f t="shared" si="122"/>
        <v>0</v>
      </c>
      <c r="N110" s="47">
        <f t="shared" si="123"/>
        <v>0</v>
      </c>
      <c r="O110" s="47">
        <f t="shared" si="124"/>
        <v>0</v>
      </c>
      <c r="P110" s="47">
        <f t="shared" si="125"/>
        <v>0</v>
      </c>
      <c r="Q110" s="47">
        <f t="shared" si="126"/>
        <v>0</v>
      </c>
      <c r="R110" s="47">
        <f t="shared" si="127"/>
        <v>0</v>
      </c>
      <c r="S110" s="47">
        <f t="shared" si="128"/>
        <v>0</v>
      </c>
      <c r="T110" s="47">
        <f t="shared" si="135"/>
        <v>0</v>
      </c>
      <c r="U110" s="47">
        <f t="shared" si="129"/>
        <v>0</v>
      </c>
      <c r="V110" s="47">
        <f t="shared" si="130"/>
        <v>0</v>
      </c>
      <c r="W110" s="47">
        <f t="shared" si="131"/>
        <v>0</v>
      </c>
      <c r="X110" s="47">
        <f t="shared" si="132"/>
        <v>0</v>
      </c>
    </row>
    <row r="111" spans="1:24">
      <c r="A111" s="287" t="s">
        <v>117</v>
      </c>
      <c r="B111" s="47">
        <f t="shared" ref="B111:H111" si="160">B79</f>
        <v>5604987.2699999996</v>
      </c>
      <c r="C111" s="47">
        <f t="shared" si="119"/>
        <v>0</v>
      </c>
      <c r="D111" s="47">
        <f t="shared" si="160"/>
        <v>0</v>
      </c>
      <c r="E111" s="47">
        <f t="shared" si="160"/>
        <v>5604987.2699999996</v>
      </c>
      <c r="F111" s="47">
        <f t="shared" si="160"/>
        <v>0</v>
      </c>
      <c r="G111" s="47">
        <f t="shared" si="160"/>
        <v>0</v>
      </c>
      <c r="H111" s="47">
        <f t="shared" si="160"/>
        <v>0</v>
      </c>
      <c r="I111" s="47">
        <f t="shared" si="120"/>
        <v>0</v>
      </c>
      <c r="J111" s="74">
        <f t="shared" ref="J111:L111" si="161">L79</f>
        <v>0</v>
      </c>
      <c r="K111" s="74">
        <f t="shared" si="161"/>
        <v>0</v>
      </c>
      <c r="L111" s="47">
        <f t="shared" si="161"/>
        <v>0</v>
      </c>
      <c r="M111" s="47">
        <f t="shared" si="122"/>
        <v>0</v>
      </c>
      <c r="N111" s="47">
        <f t="shared" si="123"/>
        <v>0</v>
      </c>
      <c r="O111" s="47">
        <f t="shared" si="124"/>
        <v>0</v>
      </c>
      <c r="P111" s="47">
        <f t="shared" si="125"/>
        <v>0</v>
      </c>
      <c r="Q111" s="47">
        <f t="shared" si="126"/>
        <v>0</v>
      </c>
      <c r="R111" s="47">
        <f t="shared" si="127"/>
        <v>0</v>
      </c>
      <c r="S111" s="47">
        <f t="shared" si="128"/>
        <v>0</v>
      </c>
      <c r="T111" s="47">
        <f t="shared" si="135"/>
        <v>0</v>
      </c>
      <c r="U111" s="47">
        <f t="shared" si="129"/>
        <v>0</v>
      </c>
      <c r="V111" s="47">
        <f t="shared" si="130"/>
        <v>0</v>
      </c>
      <c r="W111" s="47">
        <f t="shared" si="131"/>
        <v>0</v>
      </c>
      <c r="X111" s="47">
        <f t="shared" si="132"/>
        <v>0</v>
      </c>
    </row>
    <row r="112" spans="1:24">
      <c r="A112" s="286" t="s">
        <v>41</v>
      </c>
      <c r="B112" s="47">
        <f t="shared" ref="B112:H112" si="162">B80</f>
        <v>341493446.55333364</v>
      </c>
      <c r="C112" s="47">
        <f t="shared" si="119"/>
        <v>-3512120.8900000076</v>
      </c>
      <c r="D112" s="47">
        <f t="shared" si="162"/>
        <v>-479055185.73367453</v>
      </c>
      <c r="E112" s="47">
        <f t="shared" si="162"/>
        <v>752983390.6767652</v>
      </c>
      <c r="F112" s="47">
        <f t="shared" si="162"/>
        <v>-166124641.87</v>
      </c>
      <c r="G112" s="47">
        <f t="shared" si="162"/>
        <v>-35970504.260713354</v>
      </c>
      <c r="H112" s="47">
        <f t="shared" si="162"/>
        <v>143094085.36020967</v>
      </c>
      <c r="I112" s="47">
        <f t="shared" si="120"/>
        <v>-154160184.22667927</v>
      </c>
      <c r="J112" s="74">
        <f t="shared" ref="J112:L112" si="163">L80</f>
        <v>941365.82000000007</v>
      </c>
      <c r="K112" s="74">
        <f t="shared" si="163"/>
        <v>0</v>
      </c>
      <c r="L112" s="47">
        <f t="shared" si="163"/>
        <v>-4189766.99</v>
      </c>
      <c r="M112" s="47">
        <f t="shared" si="122"/>
        <v>-21656004.224243779</v>
      </c>
      <c r="N112" s="47">
        <f t="shared" si="123"/>
        <v>20883692.663471699</v>
      </c>
      <c r="O112" s="47">
        <f t="shared" si="124"/>
        <v>266316273.95748433</v>
      </c>
      <c r="P112" s="47">
        <f t="shared" si="125"/>
        <v>0</v>
      </c>
      <c r="Q112" s="47">
        <f t="shared" si="126"/>
        <v>228642025.31999999</v>
      </c>
      <c r="R112" s="47">
        <f t="shared" si="127"/>
        <v>36654371.244150937</v>
      </c>
      <c r="S112" s="47">
        <f t="shared" si="128"/>
        <v>1019877.3933333335</v>
      </c>
      <c r="T112" s="47">
        <f t="shared" si="135"/>
        <v>-3637510.7800000007</v>
      </c>
      <c r="U112" s="47">
        <f t="shared" si="129"/>
        <v>-3986931.2799999993</v>
      </c>
      <c r="V112" s="47">
        <f t="shared" si="130"/>
        <v>349420.5</v>
      </c>
      <c r="W112" s="47">
        <f t="shared" si="131"/>
        <v>-10389947.210000001</v>
      </c>
      <c r="X112" s="47">
        <f t="shared" si="132"/>
        <v>-293923.25</v>
      </c>
    </row>
    <row r="113" spans="1:24">
      <c r="A113" s="287" t="s">
        <v>118</v>
      </c>
      <c r="B113" s="47">
        <f t="shared" ref="B113:H113" si="164">B81</f>
        <v>1257806.76</v>
      </c>
      <c r="C113" s="47">
        <f t="shared" si="119"/>
        <v>0</v>
      </c>
      <c r="D113" s="47">
        <f t="shared" si="164"/>
        <v>407987.40999999992</v>
      </c>
      <c r="E113" s="47">
        <f t="shared" si="164"/>
        <v>103688.35</v>
      </c>
      <c r="F113" s="47">
        <f t="shared" si="164"/>
        <v>0</v>
      </c>
      <c r="G113" s="47">
        <f t="shared" si="164"/>
        <v>446131</v>
      </c>
      <c r="H113" s="47">
        <f t="shared" si="164"/>
        <v>0</v>
      </c>
      <c r="I113" s="47">
        <f t="shared" si="120"/>
        <v>0</v>
      </c>
      <c r="J113" s="74">
        <f t="shared" ref="J113:L113" si="165">L81</f>
        <v>0</v>
      </c>
      <c r="K113" s="74">
        <f t="shared" si="165"/>
        <v>0</v>
      </c>
      <c r="L113" s="47">
        <f t="shared" si="165"/>
        <v>446131</v>
      </c>
      <c r="M113" s="47">
        <f t="shared" si="122"/>
        <v>0</v>
      </c>
      <c r="N113" s="47">
        <f t="shared" si="123"/>
        <v>0</v>
      </c>
      <c r="O113" s="47">
        <f t="shared" si="124"/>
        <v>300000</v>
      </c>
      <c r="P113" s="47">
        <f t="shared" si="125"/>
        <v>0</v>
      </c>
      <c r="Q113" s="47">
        <f t="shared" si="126"/>
        <v>0</v>
      </c>
      <c r="R113" s="47">
        <f t="shared" si="127"/>
        <v>300000</v>
      </c>
      <c r="S113" s="47">
        <f t="shared" ref="S113:S122" si="166">U81</f>
        <v>0</v>
      </c>
      <c r="T113" s="47">
        <f t="shared" si="135"/>
        <v>0</v>
      </c>
      <c r="U113" s="47">
        <f t="shared" si="129"/>
        <v>0</v>
      </c>
      <c r="V113" s="47">
        <f t="shared" si="130"/>
        <v>0</v>
      </c>
      <c r="W113" s="47">
        <f t="shared" si="131"/>
        <v>0</v>
      </c>
      <c r="X113" s="47">
        <f t="shared" si="132"/>
        <v>0</v>
      </c>
    </row>
    <row r="114" spans="1:24">
      <c r="A114" s="287" t="s">
        <v>119</v>
      </c>
      <c r="B114" s="47">
        <f t="shared" ref="B114:H114" si="167">B82</f>
        <v>1286760.95</v>
      </c>
      <c r="C114" s="47">
        <f t="shared" si="119"/>
        <v>0</v>
      </c>
      <c r="D114" s="47">
        <f t="shared" si="167"/>
        <v>208628.74000000017</v>
      </c>
      <c r="E114" s="47">
        <f t="shared" si="167"/>
        <v>1021523.19</v>
      </c>
      <c r="F114" s="47">
        <f t="shared" si="167"/>
        <v>775</v>
      </c>
      <c r="G114" s="47">
        <f t="shared" si="167"/>
        <v>3348.4599999999996</v>
      </c>
      <c r="H114" s="47">
        <f t="shared" si="167"/>
        <v>0</v>
      </c>
      <c r="I114" s="47">
        <f t="shared" si="120"/>
        <v>1398.46</v>
      </c>
      <c r="J114" s="74">
        <f t="shared" ref="J114:L114" si="168">L82</f>
        <v>1950</v>
      </c>
      <c r="K114" s="74">
        <f t="shared" si="168"/>
        <v>0</v>
      </c>
      <c r="L114" s="47">
        <f t="shared" si="168"/>
        <v>0</v>
      </c>
      <c r="M114" s="47">
        <f t="shared" si="122"/>
        <v>0</v>
      </c>
      <c r="N114" s="47">
        <f t="shared" si="123"/>
        <v>51338.74</v>
      </c>
      <c r="O114" s="47">
        <f t="shared" si="124"/>
        <v>1146.82</v>
      </c>
      <c r="P114" s="47">
        <f t="shared" si="125"/>
        <v>0</v>
      </c>
      <c r="Q114" s="47">
        <f t="shared" si="126"/>
        <v>0</v>
      </c>
      <c r="R114" s="47">
        <f t="shared" si="127"/>
        <v>0</v>
      </c>
      <c r="S114" s="47">
        <f t="shared" si="166"/>
        <v>1146.82</v>
      </c>
      <c r="T114" s="47">
        <f t="shared" si="135"/>
        <v>0</v>
      </c>
      <c r="U114" s="47">
        <f t="shared" si="129"/>
        <v>0</v>
      </c>
      <c r="V114" s="47">
        <f t="shared" si="130"/>
        <v>0</v>
      </c>
      <c r="W114" s="47">
        <f t="shared" si="131"/>
        <v>0</v>
      </c>
      <c r="X114" s="47">
        <f t="shared" si="132"/>
        <v>0</v>
      </c>
    </row>
    <row r="115" spans="1:24">
      <c r="A115" s="286" t="s">
        <v>44</v>
      </c>
      <c r="B115" s="47">
        <f t="shared" ref="B115:H115" si="169">B83</f>
        <v>341464492.36333364</v>
      </c>
      <c r="C115" s="47">
        <f t="shared" si="119"/>
        <v>-3512120.8900000076</v>
      </c>
      <c r="D115" s="47">
        <f t="shared" si="169"/>
        <v>-478855827.06367451</v>
      </c>
      <c r="E115" s="47">
        <f t="shared" si="169"/>
        <v>752065555.83676517</v>
      </c>
      <c r="F115" s="47">
        <f t="shared" si="169"/>
        <v>-166125416.87</v>
      </c>
      <c r="G115" s="47">
        <f t="shared" si="169"/>
        <v>-35527721.720713355</v>
      </c>
      <c r="H115" s="47">
        <f t="shared" si="169"/>
        <v>143094085.36020967</v>
      </c>
      <c r="I115" s="47">
        <f t="shared" si="120"/>
        <v>-154161582.68667927</v>
      </c>
      <c r="J115" s="74">
        <f t="shared" ref="J115:L115" si="170">L83</f>
        <v>939415.8200000003</v>
      </c>
      <c r="K115" s="74">
        <f t="shared" si="170"/>
        <v>0</v>
      </c>
      <c r="L115" s="47">
        <f t="shared" si="170"/>
        <v>-3743635.9899999993</v>
      </c>
      <c r="M115" s="47">
        <f t="shared" si="122"/>
        <v>-21656004.224243779</v>
      </c>
      <c r="N115" s="47">
        <f t="shared" si="123"/>
        <v>20832353.923471697</v>
      </c>
      <c r="O115" s="47">
        <f t="shared" si="124"/>
        <v>266615127.13748434</v>
      </c>
      <c r="P115" s="47">
        <f t="shared" si="125"/>
        <v>0</v>
      </c>
      <c r="Q115" s="47">
        <f t="shared" si="126"/>
        <v>228642025.31999999</v>
      </c>
      <c r="R115" s="47">
        <f t="shared" si="127"/>
        <v>36954371.244150937</v>
      </c>
      <c r="S115" s="47">
        <f t="shared" si="166"/>
        <v>1018730.5733333332</v>
      </c>
      <c r="T115" s="47">
        <f t="shared" si="135"/>
        <v>-3637510.7800000007</v>
      </c>
      <c r="U115" s="47">
        <f t="shared" si="129"/>
        <v>-3986931.2799999993</v>
      </c>
      <c r="V115" s="47">
        <f t="shared" si="130"/>
        <v>349420.5</v>
      </c>
      <c r="W115" s="47">
        <f t="shared" si="131"/>
        <v>-10389947.210000001</v>
      </c>
      <c r="X115" s="47">
        <f t="shared" si="132"/>
        <v>-293923.25</v>
      </c>
    </row>
    <row r="116" spans="1:24">
      <c r="A116" s="287" t="s">
        <v>121</v>
      </c>
      <c r="B116" s="47">
        <f t="shared" ref="B116:H116" si="171">B84</f>
        <v>37336515.290000007</v>
      </c>
      <c r="C116" s="47">
        <f t="shared" si="119"/>
        <v>-32080774.970000003</v>
      </c>
      <c r="D116" s="47">
        <f t="shared" si="171"/>
        <v>69417290.260000005</v>
      </c>
      <c r="E116" s="47">
        <f t="shared" si="171"/>
        <v>0</v>
      </c>
      <c r="F116" s="47">
        <f t="shared" si="171"/>
        <v>0</v>
      </c>
      <c r="G116" s="47">
        <f t="shared" si="171"/>
        <v>0</v>
      </c>
      <c r="H116" s="47">
        <f t="shared" si="171"/>
        <v>0</v>
      </c>
      <c r="I116" s="47">
        <f t="shared" si="120"/>
        <v>0</v>
      </c>
      <c r="J116" s="74">
        <f t="shared" ref="J116:L116" si="172">L84</f>
        <v>0</v>
      </c>
      <c r="K116" s="74">
        <f t="shared" si="172"/>
        <v>0</v>
      </c>
      <c r="L116" s="47">
        <f t="shared" si="172"/>
        <v>0</v>
      </c>
      <c r="M116" s="47">
        <f t="shared" si="122"/>
        <v>0</v>
      </c>
      <c r="N116" s="47">
        <f t="shared" si="123"/>
        <v>0</v>
      </c>
      <c r="O116" s="47">
        <f t="shared" si="124"/>
        <v>0</v>
      </c>
      <c r="P116" s="47">
        <f t="shared" si="125"/>
        <v>0</v>
      </c>
      <c r="Q116" s="47">
        <f t="shared" si="126"/>
        <v>0</v>
      </c>
      <c r="R116" s="47">
        <f t="shared" si="127"/>
        <v>0</v>
      </c>
      <c r="S116" s="47">
        <f t="shared" si="166"/>
        <v>0</v>
      </c>
      <c r="T116" s="47">
        <f t="shared" si="135"/>
        <v>0</v>
      </c>
      <c r="U116" s="47">
        <f t="shared" si="129"/>
        <v>0</v>
      </c>
      <c r="V116" s="47">
        <f t="shared" si="130"/>
        <v>0</v>
      </c>
      <c r="W116" s="47">
        <f t="shared" si="131"/>
        <v>0</v>
      </c>
      <c r="X116" s="47">
        <f t="shared" si="132"/>
        <v>0</v>
      </c>
    </row>
    <row r="117" spans="1:24">
      <c r="A117" s="286" t="s">
        <v>46</v>
      </c>
      <c r="B117" s="47">
        <f t="shared" ref="B117:H117" si="173">B85</f>
        <v>304127977.07333362</v>
      </c>
      <c r="C117" s="47">
        <f t="shared" si="119"/>
        <v>28568654.079999994</v>
      </c>
      <c r="D117" s="47">
        <f t="shared" si="173"/>
        <v>-548273117.32367456</v>
      </c>
      <c r="E117" s="47">
        <f t="shared" si="173"/>
        <v>752065555.83676517</v>
      </c>
      <c r="F117" s="47">
        <f t="shared" si="173"/>
        <v>-166125416.87</v>
      </c>
      <c r="G117" s="47">
        <f t="shared" si="173"/>
        <v>-35527721.720713355</v>
      </c>
      <c r="H117" s="47">
        <f t="shared" si="173"/>
        <v>143094085.36020967</v>
      </c>
      <c r="I117" s="47">
        <f t="shared" si="120"/>
        <v>-154161582.68667927</v>
      </c>
      <c r="J117" s="74">
        <f t="shared" ref="J117:L117" si="174">L85</f>
        <v>939415.8200000003</v>
      </c>
      <c r="K117" s="74">
        <f t="shared" si="174"/>
        <v>0</v>
      </c>
      <c r="L117" s="47">
        <f t="shared" si="174"/>
        <v>-3743635.9899999993</v>
      </c>
      <c r="M117" s="47">
        <f t="shared" si="122"/>
        <v>-21656004.224243779</v>
      </c>
      <c r="N117" s="47">
        <f t="shared" si="123"/>
        <v>20832353.923471697</v>
      </c>
      <c r="O117" s="47">
        <f t="shared" si="124"/>
        <v>266615127.13748434</v>
      </c>
      <c r="P117" s="47">
        <f t="shared" si="125"/>
        <v>0</v>
      </c>
      <c r="Q117" s="47">
        <f t="shared" si="126"/>
        <v>228642025.31999999</v>
      </c>
      <c r="R117" s="47">
        <f t="shared" si="127"/>
        <v>36954371.244150937</v>
      </c>
      <c r="S117" s="47">
        <f t="shared" si="166"/>
        <v>1018730.5733333332</v>
      </c>
      <c r="T117" s="47">
        <f t="shared" si="135"/>
        <v>-3637510.7800000007</v>
      </c>
      <c r="U117" s="47">
        <f t="shared" si="129"/>
        <v>-3986931.2799999993</v>
      </c>
      <c r="V117" s="47">
        <f t="shared" si="130"/>
        <v>349420.5</v>
      </c>
      <c r="W117" s="47">
        <f t="shared" si="131"/>
        <v>-10389947.210000001</v>
      </c>
      <c r="X117" s="47">
        <f t="shared" si="132"/>
        <v>-293923.25</v>
      </c>
    </row>
    <row r="118" spans="1:24">
      <c r="A118" s="288" t="s">
        <v>47</v>
      </c>
      <c r="B118" s="47">
        <f t="shared" ref="B118:H118" si="175">B86</f>
        <v>0</v>
      </c>
      <c r="C118" s="47">
        <f t="shared" si="119"/>
        <v>0</v>
      </c>
      <c r="D118" s="47">
        <f t="shared" si="175"/>
        <v>0</v>
      </c>
      <c r="E118" s="47">
        <f t="shared" si="175"/>
        <v>0</v>
      </c>
      <c r="F118" s="47">
        <f t="shared" si="175"/>
        <v>0</v>
      </c>
      <c r="G118" s="47">
        <f t="shared" si="175"/>
        <v>0</v>
      </c>
      <c r="H118" s="47">
        <f t="shared" si="175"/>
        <v>0</v>
      </c>
      <c r="I118" s="47">
        <f t="shared" si="120"/>
        <v>0</v>
      </c>
      <c r="J118" s="74">
        <f t="shared" ref="J118:L118" si="176">L86</f>
        <v>0</v>
      </c>
      <c r="K118" s="74">
        <f t="shared" si="176"/>
        <v>0</v>
      </c>
      <c r="L118" s="47">
        <f t="shared" si="176"/>
        <v>0</v>
      </c>
      <c r="M118" s="47">
        <f t="shared" si="122"/>
        <v>0</v>
      </c>
      <c r="N118" s="47">
        <f t="shared" si="123"/>
        <v>0</v>
      </c>
      <c r="O118" s="47">
        <f t="shared" si="124"/>
        <v>0</v>
      </c>
      <c r="P118" s="47">
        <f t="shared" si="125"/>
        <v>0</v>
      </c>
      <c r="Q118" s="47">
        <f t="shared" si="126"/>
        <v>0</v>
      </c>
      <c r="R118" s="47">
        <f t="shared" si="127"/>
        <v>0</v>
      </c>
      <c r="S118" s="47">
        <f t="shared" si="166"/>
        <v>0</v>
      </c>
      <c r="T118" s="47">
        <f t="shared" si="135"/>
        <v>0</v>
      </c>
      <c r="U118" s="47">
        <f t="shared" si="129"/>
        <v>0</v>
      </c>
      <c r="V118" s="47">
        <f t="shared" si="130"/>
        <v>0</v>
      </c>
      <c r="W118" s="47">
        <f t="shared" si="131"/>
        <v>0</v>
      </c>
      <c r="X118" s="47">
        <f t="shared" si="132"/>
        <v>0</v>
      </c>
    </row>
    <row r="119" spans="1:24" ht="14.25" thickBot="1">
      <c r="A119" s="289" t="s">
        <v>48</v>
      </c>
      <c r="B119" s="47">
        <f t="shared" ref="B119:H119" si="177">B87</f>
        <v>304127977.07333362</v>
      </c>
      <c r="C119" s="47">
        <f t="shared" si="119"/>
        <v>28568654.079999994</v>
      </c>
      <c r="D119" s="47">
        <f t="shared" si="177"/>
        <v>-548273117.32367456</v>
      </c>
      <c r="E119" s="47">
        <f t="shared" si="177"/>
        <v>752065555.83676529</v>
      </c>
      <c r="F119" s="47">
        <f t="shared" si="177"/>
        <v>-166125416.87</v>
      </c>
      <c r="G119" s="47">
        <f t="shared" si="177"/>
        <v>-35527721.720713355</v>
      </c>
      <c r="H119" s="47">
        <f t="shared" si="177"/>
        <v>143094085.36020967</v>
      </c>
      <c r="I119" s="47">
        <f t="shared" si="120"/>
        <v>-154161582.68667927</v>
      </c>
      <c r="J119" s="74">
        <f t="shared" ref="J119:L119" si="178">L87</f>
        <v>939415.8200000003</v>
      </c>
      <c r="K119" s="74">
        <f t="shared" si="178"/>
        <v>0</v>
      </c>
      <c r="L119" s="47">
        <f t="shared" si="178"/>
        <v>-3743635.9899999993</v>
      </c>
      <c r="M119" s="47">
        <f t="shared" si="122"/>
        <v>-21656004.224243779</v>
      </c>
      <c r="N119" s="47">
        <f t="shared" si="123"/>
        <v>20832353.923471697</v>
      </c>
      <c r="O119" s="47">
        <f t="shared" si="124"/>
        <v>266615127.13748434</v>
      </c>
      <c r="P119" s="47">
        <f t="shared" si="125"/>
        <v>0</v>
      </c>
      <c r="Q119" s="47">
        <f t="shared" si="126"/>
        <v>228642025.31999999</v>
      </c>
      <c r="R119" s="47">
        <f t="shared" si="127"/>
        <v>36954371.244150937</v>
      </c>
      <c r="S119" s="47">
        <f t="shared" si="166"/>
        <v>1018730.5733333332</v>
      </c>
      <c r="T119" s="47">
        <f t="shared" si="135"/>
        <v>-3637510.7800000007</v>
      </c>
      <c r="U119" s="47">
        <f t="shared" si="129"/>
        <v>-3986931.2799999993</v>
      </c>
      <c r="V119" s="47">
        <f t="shared" si="130"/>
        <v>349420.5</v>
      </c>
      <c r="W119" s="47">
        <f t="shared" si="131"/>
        <v>-10389947.210000001</v>
      </c>
      <c r="X119" s="47">
        <f t="shared" si="132"/>
        <v>-293923.25</v>
      </c>
    </row>
    <row r="120" spans="1:24">
      <c r="A120" s="47"/>
      <c r="B120" s="47">
        <f t="shared" ref="B120:H120" si="179">B88</f>
        <v>0</v>
      </c>
      <c r="C120" s="47">
        <f t="shared" si="119"/>
        <v>0</v>
      </c>
      <c r="D120" s="47">
        <f t="shared" si="179"/>
        <v>0</v>
      </c>
      <c r="E120" s="47">
        <f t="shared" si="179"/>
        <v>0</v>
      </c>
      <c r="F120" s="47">
        <f t="shared" si="179"/>
        <v>0</v>
      </c>
      <c r="G120" s="47">
        <f t="shared" si="179"/>
        <v>0</v>
      </c>
      <c r="H120" s="47">
        <f t="shared" si="179"/>
        <v>0</v>
      </c>
      <c r="I120" s="47">
        <f t="shared" si="120"/>
        <v>0</v>
      </c>
      <c r="J120" s="74">
        <f t="shared" ref="J120:L120" si="180">L88</f>
        <v>0</v>
      </c>
      <c r="K120" s="74">
        <f t="shared" si="180"/>
        <v>0</v>
      </c>
      <c r="L120" s="47">
        <f t="shared" si="180"/>
        <v>0</v>
      </c>
      <c r="M120" s="47">
        <f t="shared" si="122"/>
        <v>0</v>
      </c>
      <c r="N120" s="47">
        <f t="shared" si="123"/>
        <v>0</v>
      </c>
      <c r="O120" s="47">
        <f t="shared" si="124"/>
        <v>0</v>
      </c>
      <c r="P120" s="47">
        <f t="shared" si="125"/>
        <v>0</v>
      </c>
      <c r="Q120" s="47">
        <f t="shared" si="126"/>
        <v>0</v>
      </c>
      <c r="R120" s="47">
        <f t="shared" si="127"/>
        <v>0</v>
      </c>
      <c r="S120" s="47">
        <f t="shared" si="166"/>
        <v>0</v>
      </c>
      <c r="T120" s="47">
        <f t="shared" si="135"/>
        <v>0</v>
      </c>
      <c r="U120" s="47">
        <f t="shared" si="129"/>
        <v>0</v>
      </c>
      <c r="V120" s="47">
        <f t="shared" si="130"/>
        <v>0</v>
      </c>
      <c r="W120" s="47">
        <f t="shared" si="131"/>
        <v>0</v>
      </c>
      <c r="X120" s="47">
        <f t="shared" si="132"/>
        <v>0</v>
      </c>
    </row>
    <row r="121" spans="1:24">
      <c r="A121" s="254" t="s">
        <v>51</v>
      </c>
      <c r="B121" s="47">
        <f t="shared" ref="B121:H122" si="181">B89</f>
        <v>267383419.97999999</v>
      </c>
      <c r="C121" s="47">
        <f t="shared" si="119"/>
        <v>0</v>
      </c>
      <c r="D121" s="47">
        <f t="shared" si="181"/>
        <v>0</v>
      </c>
      <c r="E121" s="47">
        <f t="shared" si="181"/>
        <v>267383419.97999999</v>
      </c>
      <c r="F121" s="47">
        <f t="shared" si="181"/>
        <v>0</v>
      </c>
      <c r="G121" s="47">
        <f t="shared" si="181"/>
        <v>0</v>
      </c>
      <c r="H121" s="47">
        <f t="shared" si="181"/>
        <v>0</v>
      </c>
      <c r="I121" s="47">
        <f t="shared" si="120"/>
        <v>0</v>
      </c>
      <c r="J121" s="74">
        <f t="shared" ref="J121:L121" si="182">L89</f>
        <v>0</v>
      </c>
      <c r="K121" s="74">
        <f t="shared" si="182"/>
        <v>0</v>
      </c>
      <c r="L121" s="47">
        <f t="shared" si="182"/>
        <v>0</v>
      </c>
      <c r="M121" s="47">
        <f t="shared" si="122"/>
        <v>0</v>
      </c>
      <c r="N121" s="47">
        <f t="shared" si="123"/>
        <v>0</v>
      </c>
      <c r="O121" s="47">
        <f t="shared" si="124"/>
        <v>0</v>
      </c>
      <c r="P121" s="47">
        <f t="shared" si="125"/>
        <v>0</v>
      </c>
      <c r="Q121" s="47">
        <f t="shared" si="126"/>
        <v>0</v>
      </c>
      <c r="R121" s="47">
        <f t="shared" si="127"/>
        <v>0</v>
      </c>
      <c r="S121" s="47">
        <f t="shared" si="166"/>
        <v>0</v>
      </c>
      <c r="T121" s="47">
        <f t="shared" si="135"/>
        <v>0</v>
      </c>
      <c r="U121" s="47">
        <f t="shared" si="129"/>
        <v>0</v>
      </c>
      <c r="V121" s="47">
        <f t="shared" si="130"/>
        <v>0</v>
      </c>
      <c r="W121" s="47">
        <f t="shared" si="131"/>
        <v>0</v>
      </c>
      <c r="X121" s="47">
        <f t="shared" si="132"/>
        <v>0</v>
      </c>
    </row>
    <row r="122" spans="1:24" ht="14.25" thickBot="1">
      <c r="A122" s="290" t="s">
        <v>54</v>
      </c>
      <c r="B122" s="47">
        <f>B90</f>
        <v>0</v>
      </c>
      <c r="C122" s="47">
        <f t="shared" si="119"/>
        <v>28568654.079999994</v>
      </c>
      <c r="D122" s="47">
        <f t="shared" si="181"/>
        <v>-548273117.32367456</v>
      </c>
      <c r="E122" s="47">
        <f t="shared" si="181"/>
        <v>484682135.85676527</v>
      </c>
      <c r="F122" s="47">
        <f t="shared" si="181"/>
        <v>-166125416.87</v>
      </c>
      <c r="G122" s="47">
        <f t="shared" si="181"/>
        <v>-35527721.720713355</v>
      </c>
      <c r="H122" s="47">
        <f t="shared" si="181"/>
        <v>143094085.36020967</v>
      </c>
      <c r="I122" s="47">
        <f>J90+K90</f>
        <v>-154161582.68667927</v>
      </c>
      <c r="J122" s="74">
        <f>L90</f>
        <v>939415.8200000003</v>
      </c>
      <c r="K122" s="74">
        <f>M90</f>
        <v>0</v>
      </c>
      <c r="L122" s="47">
        <f>N90</f>
        <v>-3743635.9899999993</v>
      </c>
      <c r="M122" s="47">
        <f t="shared" si="122"/>
        <v>-21656004.224243779</v>
      </c>
      <c r="N122" s="47">
        <f t="shared" si="123"/>
        <v>20832353.923471697</v>
      </c>
      <c r="O122" s="47">
        <f t="shared" si="124"/>
        <v>266615127.13748434</v>
      </c>
      <c r="P122" s="47">
        <f t="shared" si="125"/>
        <v>0</v>
      </c>
      <c r="Q122" s="47">
        <f t="shared" si="126"/>
        <v>228642025.31999999</v>
      </c>
      <c r="R122" s="47">
        <f t="shared" si="127"/>
        <v>36954371.244150937</v>
      </c>
      <c r="S122" s="47">
        <f t="shared" si="166"/>
        <v>1018730.5733333332</v>
      </c>
      <c r="T122" s="47">
        <f>V90</f>
        <v>-3637510.7800000007</v>
      </c>
      <c r="U122" s="47">
        <f t="shared" si="129"/>
        <v>-3986931.2799999993</v>
      </c>
      <c r="V122" s="47">
        <f t="shared" si="130"/>
        <v>349420.5</v>
      </c>
      <c r="W122" s="47">
        <f t="shared" si="131"/>
        <v>-10389947.210000001</v>
      </c>
      <c r="X122" s="47">
        <f t="shared" si="132"/>
        <v>-293923.25</v>
      </c>
    </row>
  </sheetData>
  <mergeCells count="1">
    <mergeCell ref="A1:Y1"/>
  </mergeCells>
  <phoneticPr fontId="2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209"/>
  <sheetViews>
    <sheetView zoomScaleNormal="100" workbookViewId="0">
      <pane xSplit="3" ySplit="4" topLeftCell="L115" activePane="bottomRight" state="frozen"/>
      <selection pane="topRight"/>
      <selection pane="bottomLeft"/>
      <selection pane="bottomRight" activeCell="D120" sqref="D120"/>
    </sheetView>
  </sheetViews>
  <sheetFormatPr defaultColWidth="9" defaultRowHeight="13.5"/>
  <cols>
    <col min="1" max="1" width="6" style="27" customWidth="1"/>
    <col min="2" max="2" width="17.375" style="27" customWidth="1"/>
    <col min="3" max="3" width="18" style="27" customWidth="1"/>
    <col min="4" max="4" width="19.25" style="27" customWidth="1"/>
    <col min="5" max="5" width="17.75" style="27" customWidth="1"/>
    <col min="6" max="6" width="18.375" style="27" customWidth="1"/>
    <col min="7" max="7" width="14.625" style="27" customWidth="1"/>
    <col min="8" max="8" width="17.75" style="27" customWidth="1"/>
    <col min="9" max="9" width="16.75" style="27" customWidth="1"/>
    <col min="10" max="10" width="15.875" style="27" customWidth="1"/>
    <col min="11" max="11" width="15.5" style="27" customWidth="1"/>
    <col min="12" max="12" width="13" style="27" customWidth="1"/>
    <col min="13" max="13" width="17.5" style="27" customWidth="1"/>
    <col min="14" max="14" width="13" style="27" customWidth="1"/>
    <col min="15" max="15" width="15.25" style="27" customWidth="1"/>
    <col min="16" max="16" width="16.875" style="28" customWidth="1"/>
    <col min="17" max="17" width="13" style="28" customWidth="1"/>
    <col min="18" max="18" width="18.625" style="28" customWidth="1"/>
    <col min="19" max="21" width="13" style="28" customWidth="1"/>
    <col min="22" max="22" width="13" style="27" customWidth="1"/>
    <col min="23" max="23" width="18.375" style="27" customWidth="1"/>
    <col min="24" max="24" width="17" style="27" customWidth="1"/>
    <col min="25" max="25" width="13" style="27" customWidth="1"/>
    <col min="26" max="26" width="16.25" style="27" customWidth="1"/>
    <col min="27" max="27" width="12.75" style="27" customWidth="1"/>
    <col min="28" max="16384" width="9" style="27"/>
  </cols>
  <sheetData>
    <row r="1" spans="1:27" s="25" customFormat="1" ht="21" customHeight="1">
      <c r="A1" s="173" t="s">
        <v>55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</row>
    <row r="2" spans="1:27" ht="14.25" thickBot="1">
      <c r="A2" s="29"/>
      <c r="B2" s="30" t="s">
        <v>56</v>
      </c>
      <c r="C2" s="31" t="s">
        <v>2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9"/>
      <c r="Q2" s="39"/>
      <c r="R2" s="39"/>
      <c r="S2" s="39"/>
      <c r="T2" s="39"/>
      <c r="U2" s="39"/>
      <c r="V2" s="29"/>
      <c r="W2" s="29"/>
      <c r="X2" s="29"/>
      <c r="Y2" s="29"/>
      <c r="Z2" s="29"/>
    </row>
    <row r="3" spans="1:27">
      <c r="A3" s="32" t="s">
        <v>57</v>
      </c>
      <c r="B3" s="33" t="s">
        <v>58</v>
      </c>
      <c r="C3" s="34" t="str">
        <f>累计利润调整表!B3</f>
        <v>合计</v>
      </c>
      <c r="D3" s="34" t="str">
        <f>累计利润调整表!C3</f>
        <v>其他</v>
      </c>
      <c r="E3" s="34" t="str">
        <f>累计利润调整表!D3</f>
        <v>总部中后台</v>
      </c>
      <c r="F3" s="34" t="str">
        <f>累计利润调整表!E3</f>
        <v>经纪业务部</v>
      </c>
      <c r="G3" s="34" t="str">
        <f>累计利润调整表!F3</f>
        <v>资产管理部</v>
      </c>
      <c r="H3" s="34" t="str">
        <f>累计利润调整表!G3</f>
        <v>深分公司合计</v>
      </c>
      <c r="I3" s="40" t="str">
        <f>累计利润调整表!H3</f>
        <v>固定收益部</v>
      </c>
      <c r="J3" s="40" t="s">
        <v>354</v>
      </c>
      <c r="K3" s="40" t="str">
        <f>累计利润调整表!J3</f>
        <v>证券投资部</v>
      </c>
      <c r="L3" s="40" t="s">
        <v>355</v>
      </c>
      <c r="M3" s="40" t="str">
        <f>累计利润调整表!L3</f>
        <v>金融衍生品投资部</v>
      </c>
      <c r="N3" s="40" t="str">
        <f>累计利润调整表!M3</f>
        <v>风险管理部</v>
      </c>
      <c r="O3" s="40" t="str">
        <f>累计利润调整表!N3</f>
        <v>深圳管理部</v>
      </c>
      <c r="P3" s="40" t="str">
        <f>累计利润调整表!O3</f>
        <v>金融工程部</v>
      </c>
      <c r="Q3" s="34" t="str">
        <f>累计利润调整表!P3</f>
        <v>中小企业融资部</v>
      </c>
      <c r="R3" s="34" t="str">
        <f>累计利润调整表!Q3</f>
        <v>投资银行合计</v>
      </c>
      <c r="S3" s="40" t="str">
        <f>累计利润调整表!R3</f>
        <v>财务顾问部</v>
      </c>
      <c r="T3" s="40" t="str">
        <f>累计利润调整表!S3</f>
        <v>债券融资部</v>
      </c>
      <c r="U3" s="40" t="str">
        <f>累计利润调整表!T3</f>
        <v>股权融资部</v>
      </c>
      <c r="V3" s="40" t="str">
        <f>累计利润调整表!U3</f>
        <v>投资银行总部</v>
      </c>
      <c r="W3" s="34" t="str">
        <f>累计利润调整表!V3</f>
        <v>浙江分公司小计</v>
      </c>
      <c r="X3" s="40" t="str">
        <f>累计利润调整表!W3</f>
        <v>浙分总部</v>
      </c>
      <c r="Y3" s="40" t="str">
        <f>累计利润调整表!X3</f>
        <v>综合业务部</v>
      </c>
      <c r="Z3" s="34" t="str">
        <f>累计利润调整表!Y3</f>
        <v>网络金融部</v>
      </c>
      <c r="AA3" s="34" t="s">
        <v>240</v>
      </c>
    </row>
    <row r="4" spans="1:27" ht="13.5" customHeight="1">
      <c r="A4" s="322" t="s">
        <v>59</v>
      </c>
      <c r="B4" s="174" t="s">
        <v>60</v>
      </c>
      <c r="C4" s="155">
        <v>167987020.57999998</v>
      </c>
      <c r="D4" s="155">
        <v>0</v>
      </c>
      <c r="E4" s="155">
        <v>41720778.090000004</v>
      </c>
      <c r="F4" s="155">
        <v>78833634.840000004</v>
      </c>
      <c r="G4" s="155">
        <v>5047022.1399999997</v>
      </c>
      <c r="H4" s="155">
        <v>13510216.120000001</v>
      </c>
      <c r="I4" s="155">
        <v>3896871.1799999997</v>
      </c>
      <c r="J4" s="258">
        <v>606428.30000000005</v>
      </c>
      <c r="K4" s="155">
        <v>2828186.8899999997</v>
      </c>
      <c r="L4" s="258">
        <v>0</v>
      </c>
      <c r="M4" s="155">
        <v>1709302.23</v>
      </c>
      <c r="N4" s="155">
        <v>0</v>
      </c>
      <c r="O4" s="155">
        <v>1618734.27</v>
      </c>
      <c r="P4" s="155">
        <v>2850693.25</v>
      </c>
      <c r="Q4" s="155">
        <v>5251444.5</v>
      </c>
      <c r="R4" s="155">
        <v>16155467.620000001</v>
      </c>
      <c r="S4" s="155">
        <v>0</v>
      </c>
      <c r="T4" s="155">
        <v>5080045.57</v>
      </c>
      <c r="U4" s="155">
        <v>9013416.3300000001</v>
      </c>
      <c r="V4" s="155">
        <v>2062005.7200000002</v>
      </c>
      <c r="W4" s="155">
        <v>2392286.6499999994</v>
      </c>
      <c r="X4" s="155">
        <v>1824527.7299999997</v>
      </c>
      <c r="Y4" s="155">
        <v>567758.91999999993</v>
      </c>
      <c r="Z4" s="155">
        <v>4995966.24</v>
      </c>
      <c r="AA4" s="155">
        <v>80204.38</v>
      </c>
    </row>
    <row r="5" spans="1:27">
      <c r="A5" s="323"/>
      <c r="B5" s="174" t="s">
        <v>61</v>
      </c>
      <c r="C5" s="155">
        <v>2325662.2399999998</v>
      </c>
      <c r="D5" s="155">
        <v>0</v>
      </c>
      <c r="E5" s="155">
        <v>674142.52999999991</v>
      </c>
      <c r="F5" s="155">
        <v>1147020.4200000002</v>
      </c>
      <c r="G5" s="155">
        <v>90783.91</v>
      </c>
      <c r="H5" s="155">
        <v>75808.22</v>
      </c>
      <c r="I5" s="155">
        <v>9552.99</v>
      </c>
      <c r="J5" s="258">
        <v>2555</v>
      </c>
      <c r="K5" s="155">
        <v>15075.23</v>
      </c>
      <c r="L5" s="258">
        <v>0</v>
      </c>
      <c r="M5" s="155">
        <v>1600</v>
      </c>
      <c r="N5" s="155">
        <v>0</v>
      </c>
      <c r="O5" s="155">
        <v>42050</v>
      </c>
      <c r="P5" s="155">
        <v>4975</v>
      </c>
      <c r="Q5" s="155">
        <v>92257.91</v>
      </c>
      <c r="R5" s="155">
        <v>210967.75</v>
      </c>
      <c r="S5" s="155">
        <v>0</v>
      </c>
      <c r="T5" s="155">
        <v>103033.77</v>
      </c>
      <c r="U5" s="155">
        <v>43028</v>
      </c>
      <c r="V5" s="155">
        <v>64905.979999999996</v>
      </c>
      <c r="W5" s="155">
        <v>9257.43</v>
      </c>
      <c r="X5" s="155">
        <v>8301.73</v>
      </c>
      <c r="Y5" s="155">
        <v>955.7</v>
      </c>
      <c r="Z5" s="155">
        <v>25324.870000000003</v>
      </c>
      <c r="AA5" s="155">
        <v>99.2</v>
      </c>
    </row>
    <row r="6" spans="1:27">
      <c r="A6" s="323"/>
      <c r="B6" s="174" t="s">
        <v>62</v>
      </c>
      <c r="C6" s="155">
        <v>8967621.5</v>
      </c>
      <c r="D6" s="155">
        <v>0</v>
      </c>
      <c r="E6" s="155">
        <v>3788463.1100000003</v>
      </c>
      <c r="F6" s="155">
        <v>2386188.0300000003</v>
      </c>
      <c r="G6" s="155">
        <v>123166.54999999999</v>
      </c>
      <c r="H6" s="155">
        <v>275099.18</v>
      </c>
      <c r="I6" s="155">
        <v>77590.27</v>
      </c>
      <c r="J6" s="258">
        <v>12128.550000000001</v>
      </c>
      <c r="K6" s="155">
        <v>56182.96</v>
      </c>
      <c r="L6" s="258">
        <v>0</v>
      </c>
      <c r="M6" s="155">
        <v>42198.29</v>
      </c>
      <c r="N6" s="156">
        <v>0</v>
      </c>
      <c r="O6" s="155">
        <v>27607.079999999998</v>
      </c>
      <c r="P6" s="155">
        <v>59392.030000000006</v>
      </c>
      <c r="Q6" s="155">
        <v>146384.88999999998</v>
      </c>
      <c r="R6" s="155">
        <v>2086883.0599999998</v>
      </c>
      <c r="S6" s="155">
        <v>0</v>
      </c>
      <c r="T6" s="155">
        <v>1630548.6599999997</v>
      </c>
      <c r="U6" s="155">
        <v>417539.10000000009</v>
      </c>
      <c r="V6" s="155">
        <v>38795.299999999996</v>
      </c>
      <c r="W6" s="155">
        <v>57780.539999999994</v>
      </c>
      <c r="X6" s="155">
        <v>46017.75</v>
      </c>
      <c r="Y6" s="155">
        <v>11762.789999999997</v>
      </c>
      <c r="Z6" s="155">
        <v>101998.85</v>
      </c>
      <c r="AA6" s="155">
        <v>1657.29</v>
      </c>
    </row>
    <row r="7" spans="1:27">
      <c r="A7" s="323"/>
      <c r="B7" s="174" t="s">
        <v>82</v>
      </c>
      <c r="C7" s="155">
        <v>5463611.0100000007</v>
      </c>
      <c r="D7" s="155">
        <v>0</v>
      </c>
      <c r="E7" s="155">
        <v>2221572.3199999998</v>
      </c>
      <c r="F7" s="155">
        <v>2403795.21</v>
      </c>
      <c r="G7" s="155">
        <v>73152.23</v>
      </c>
      <c r="H7" s="155">
        <v>207229.85</v>
      </c>
      <c r="I7" s="155">
        <v>59273.55</v>
      </c>
      <c r="J7" s="258">
        <v>9096.42</v>
      </c>
      <c r="K7" s="155">
        <v>42137.22</v>
      </c>
      <c r="L7" s="258">
        <v>0</v>
      </c>
      <c r="M7" s="155">
        <v>31648.720000000001</v>
      </c>
      <c r="N7" s="156">
        <v>0</v>
      </c>
      <c r="O7" s="155">
        <v>20705.310000000001</v>
      </c>
      <c r="P7" s="155">
        <v>44368.63</v>
      </c>
      <c r="Q7" s="155">
        <v>88957.81</v>
      </c>
      <c r="R7" s="155">
        <v>323121.15000000002</v>
      </c>
      <c r="S7" s="155">
        <v>0</v>
      </c>
      <c r="T7" s="155">
        <v>4420</v>
      </c>
      <c r="U7" s="155">
        <v>293183.83</v>
      </c>
      <c r="V7" s="155">
        <v>25517.32</v>
      </c>
      <c r="W7" s="155">
        <v>62403.78</v>
      </c>
      <c r="X7" s="155">
        <v>28588.32</v>
      </c>
      <c r="Y7" s="155">
        <v>33815.46</v>
      </c>
      <c r="Z7" s="155">
        <v>82135.69</v>
      </c>
      <c r="AA7" s="155">
        <v>1242.97</v>
      </c>
    </row>
    <row r="8" spans="1:27">
      <c r="A8" s="323"/>
      <c r="B8" s="174" t="s">
        <v>63</v>
      </c>
      <c r="C8" s="155">
        <v>41548509.080000006</v>
      </c>
      <c r="D8" s="155">
        <v>0</v>
      </c>
      <c r="E8" s="155">
        <v>7898176.5699999994</v>
      </c>
      <c r="F8" s="155">
        <v>23208910.249999993</v>
      </c>
      <c r="G8" s="155">
        <v>1283847.21</v>
      </c>
      <c r="H8" s="155">
        <v>2932818.76</v>
      </c>
      <c r="I8" s="155">
        <v>866974.01</v>
      </c>
      <c r="J8" s="258">
        <v>485.40999999999997</v>
      </c>
      <c r="K8" s="155">
        <v>743327.61</v>
      </c>
      <c r="L8" s="258">
        <v>0</v>
      </c>
      <c r="M8" s="155">
        <v>416728.35000000009</v>
      </c>
      <c r="N8" s="155">
        <v>0</v>
      </c>
      <c r="O8" s="155">
        <v>238622.07999999999</v>
      </c>
      <c r="P8" s="155">
        <v>666681.30000000005</v>
      </c>
      <c r="Q8" s="155">
        <v>1467159.88</v>
      </c>
      <c r="R8" s="155">
        <v>2614538.9799999995</v>
      </c>
      <c r="S8" s="155">
        <v>0</v>
      </c>
      <c r="T8" s="155">
        <v>1244764.9199999997</v>
      </c>
      <c r="U8" s="155">
        <v>965931.34999999986</v>
      </c>
      <c r="V8" s="155">
        <v>403842.70999999996</v>
      </c>
      <c r="W8" s="155">
        <v>507175.33999999997</v>
      </c>
      <c r="X8" s="155">
        <v>333445.64999999997</v>
      </c>
      <c r="Y8" s="155">
        <v>173729.68999999997</v>
      </c>
      <c r="Z8" s="155">
        <v>1618321.83</v>
      </c>
      <c r="AA8" s="155">
        <v>17560.259999999998</v>
      </c>
    </row>
    <row r="9" spans="1:27">
      <c r="A9" s="323"/>
      <c r="B9" s="174" t="s">
        <v>64</v>
      </c>
      <c r="C9" s="155">
        <v>108385</v>
      </c>
      <c r="D9" s="155">
        <v>0</v>
      </c>
      <c r="E9" s="155">
        <v>0</v>
      </c>
      <c r="F9" s="155">
        <v>98385</v>
      </c>
      <c r="G9" s="155">
        <v>0</v>
      </c>
      <c r="H9" s="155">
        <v>0</v>
      </c>
      <c r="I9" s="155">
        <v>0</v>
      </c>
      <c r="J9" s="258">
        <v>0</v>
      </c>
      <c r="K9" s="155">
        <v>0</v>
      </c>
      <c r="L9" s="258">
        <v>0</v>
      </c>
      <c r="M9" s="155">
        <v>0</v>
      </c>
      <c r="N9" s="155">
        <v>0</v>
      </c>
      <c r="O9" s="155">
        <v>0</v>
      </c>
      <c r="P9" s="155">
        <v>0</v>
      </c>
      <c r="Q9" s="155">
        <v>0</v>
      </c>
      <c r="R9" s="155">
        <v>10000</v>
      </c>
      <c r="S9" s="155">
        <v>0</v>
      </c>
      <c r="T9" s="155">
        <v>0</v>
      </c>
      <c r="U9" s="155">
        <v>0</v>
      </c>
      <c r="V9" s="155">
        <v>10000</v>
      </c>
      <c r="W9" s="155">
        <v>0</v>
      </c>
      <c r="X9" s="155">
        <v>0</v>
      </c>
      <c r="Y9" s="155">
        <v>0</v>
      </c>
      <c r="Z9" s="155">
        <v>0</v>
      </c>
      <c r="AA9" s="155">
        <v>0</v>
      </c>
    </row>
    <row r="10" spans="1:27">
      <c r="A10" s="323"/>
      <c r="B10" s="174" t="s">
        <v>65</v>
      </c>
      <c r="C10" s="155">
        <v>229304.17000000004</v>
      </c>
      <c r="D10" s="155">
        <v>0</v>
      </c>
      <c r="E10" s="155">
        <v>18825.799999999996</v>
      </c>
      <c r="F10" s="155">
        <v>180164.48000000001</v>
      </c>
      <c r="G10" s="155">
        <v>-1211.4000000000001</v>
      </c>
      <c r="H10" s="155">
        <v>1610.09</v>
      </c>
      <c r="I10" s="155">
        <v>-1211.4100000000001</v>
      </c>
      <c r="J10" s="258">
        <v>0</v>
      </c>
      <c r="K10" s="155">
        <v>0</v>
      </c>
      <c r="L10" s="258">
        <v>0</v>
      </c>
      <c r="M10" s="155">
        <v>2821.5</v>
      </c>
      <c r="N10" s="155">
        <v>0</v>
      </c>
      <c r="O10" s="155">
        <v>0</v>
      </c>
      <c r="P10" s="155">
        <v>0</v>
      </c>
      <c r="Q10" s="155">
        <v>0</v>
      </c>
      <c r="R10" s="155">
        <v>-1211.4000000000001</v>
      </c>
      <c r="S10" s="155">
        <v>0</v>
      </c>
      <c r="T10" s="155">
        <v>0</v>
      </c>
      <c r="U10" s="155">
        <v>0</v>
      </c>
      <c r="V10" s="155">
        <v>-1211.4000000000001</v>
      </c>
      <c r="W10" s="155">
        <v>0</v>
      </c>
      <c r="X10" s="155">
        <v>0</v>
      </c>
      <c r="Y10" s="155">
        <v>0</v>
      </c>
      <c r="Z10" s="155">
        <v>31126.6</v>
      </c>
      <c r="AA10" s="155">
        <v>0</v>
      </c>
    </row>
    <row r="11" spans="1:27">
      <c r="A11" s="323"/>
      <c r="B11" s="174" t="s">
        <v>66</v>
      </c>
      <c r="C11" s="155">
        <v>2704483.96</v>
      </c>
      <c r="D11" s="155">
        <v>0</v>
      </c>
      <c r="E11" s="155">
        <v>654260</v>
      </c>
      <c r="F11" s="155">
        <v>1267803.96</v>
      </c>
      <c r="G11" s="155">
        <v>89860</v>
      </c>
      <c r="H11" s="155">
        <v>176280</v>
      </c>
      <c r="I11" s="155">
        <v>56140</v>
      </c>
      <c r="J11" s="258">
        <v>0</v>
      </c>
      <c r="K11" s="155">
        <v>44940</v>
      </c>
      <c r="L11" s="258">
        <v>0</v>
      </c>
      <c r="M11" s="155">
        <v>23520</v>
      </c>
      <c r="N11" s="155">
        <v>0</v>
      </c>
      <c r="O11" s="155">
        <v>15180</v>
      </c>
      <c r="P11" s="155">
        <v>36500</v>
      </c>
      <c r="Q11" s="155">
        <v>108180</v>
      </c>
      <c r="R11" s="155">
        <v>184580</v>
      </c>
      <c r="S11" s="155">
        <v>0</v>
      </c>
      <c r="T11" s="155">
        <v>83640</v>
      </c>
      <c r="U11" s="155">
        <v>74560</v>
      </c>
      <c r="V11" s="155">
        <v>26380</v>
      </c>
      <c r="W11" s="155">
        <v>53840</v>
      </c>
      <c r="X11" s="155">
        <v>33460</v>
      </c>
      <c r="Y11" s="155">
        <v>20380</v>
      </c>
      <c r="Z11" s="155">
        <v>167020</v>
      </c>
      <c r="AA11" s="155">
        <v>2660</v>
      </c>
    </row>
    <row r="12" spans="1:27">
      <c r="A12" s="323"/>
      <c r="B12" s="174" t="s">
        <v>241</v>
      </c>
      <c r="C12" s="155">
        <v>1208168.5999999999</v>
      </c>
      <c r="D12" s="155">
        <v>0</v>
      </c>
      <c r="E12" s="155">
        <v>156726.57999999999</v>
      </c>
      <c r="F12" s="155">
        <v>766711.74</v>
      </c>
      <c r="G12" s="155">
        <v>0</v>
      </c>
      <c r="H12" s="155">
        <v>182776.58</v>
      </c>
      <c r="I12" s="155">
        <v>0</v>
      </c>
      <c r="J12" s="258">
        <v>0</v>
      </c>
      <c r="K12" s="155">
        <v>0</v>
      </c>
      <c r="L12" s="258">
        <v>0</v>
      </c>
      <c r="M12" s="155">
        <v>0</v>
      </c>
      <c r="N12" s="155">
        <v>0</v>
      </c>
      <c r="O12" s="155">
        <v>182776.58</v>
      </c>
      <c r="P12" s="155">
        <v>0</v>
      </c>
      <c r="Q12" s="155">
        <v>0</v>
      </c>
      <c r="R12" s="155">
        <v>53953.7</v>
      </c>
      <c r="S12" s="155">
        <v>0</v>
      </c>
      <c r="T12" s="155">
        <v>0</v>
      </c>
      <c r="U12" s="155">
        <v>0</v>
      </c>
      <c r="V12" s="155">
        <v>53953.7</v>
      </c>
      <c r="W12" s="155">
        <v>48000</v>
      </c>
      <c r="X12" s="155">
        <v>48000</v>
      </c>
      <c r="Y12" s="155">
        <v>0</v>
      </c>
      <c r="Z12" s="155">
        <v>0</v>
      </c>
      <c r="AA12" s="155">
        <v>0</v>
      </c>
    </row>
    <row r="13" spans="1:27">
      <c r="A13" s="323"/>
      <c r="B13" s="174" t="s">
        <v>68</v>
      </c>
      <c r="C13" s="155">
        <v>148290947.32999998</v>
      </c>
      <c r="D13" s="155">
        <v>0</v>
      </c>
      <c r="E13" s="155">
        <v>147269500</v>
      </c>
      <c r="F13" s="155">
        <v>0</v>
      </c>
      <c r="G13" s="155">
        <v>1021447.33</v>
      </c>
      <c r="H13" s="155">
        <v>0</v>
      </c>
      <c r="I13" s="155">
        <v>0</v>
      </c>
      <c r="J13" s="258">
        <v>0</v>
      </c>
      <c r="K13" s="155">
        <v>0</v>
      </c>
      <c r="L13" s="258">
        <v>0</v>
      </c>
      <c r="M13" s="155">
        <v>0</v>
      </c>
      <c r="N13" s="157">
        <v>0</v>
      </c>
      <c r="O13" s="155">
        <v>0</v>
      </c>
      <c r="P13" s="155">
        <v>0</v>
      </c>
      <c r="Q13" s="155">
        <v>0</v>
      </c>
      <c r="R13" s="155">
        <v>0</v>
      </c>
      <c r="S13" s="155">
        <v>0</v>
      </c>
      <c r="T13" s="155">
        <v>0</v>
      </c>
      <c r="U13" s="155">
        <v>0</v>
      </c>
      <c r="V13" s="155">
        <v>0</v>
      </c>
      <c r="W13" s="155">
        <v>0</v>
      </c>
      <c r="X13" s="155">
        <v>0</v>
      </c>
      <c r="Y13" s="155">
        <v>0</v>
      </c>
      <c r="Z13" s="155">
        <v>0</v>
      </c>
      <c r="AA13" s="155">
        <v>0</v>
      </c>
    </row>
    <row r="14" spans="1:27">
      <c r="A14" s="324"/>
      <c r="B14" s="175" t="s">
        <v>247</v>
      </c>
      <c r="C14" s="158">
        <v>378833713.46999997</v>
      </c>
      <c r="D14" s="158">
        <v>0</v>
      </c>
      <c r="E14" s="158">
        <v>204402444.99999997</v>
      </c>
      <c r="F14" s="158">
        <v>110292613.93000002</v>
      </c>
      <c r="G14" s="158">
        <v>7728067.9700000007</v>
      </c>
      <c r="H14" s="158">
        <v>17361838.800000001</v>
      </c>
      <c r="I14" s="158">
        <v>4965190.5900000008</v>
      </c>
      <c r="J14" s="259">
        <v>630693.67999999993</v>
      </c>
      <c r="K14" s="158">
        <v>3729849.9100000006</v>
      </c>
      <c r="L14" s="259">
        <v>0</v>
      </c>
      <c r="M14" s="158">
        <v>2227819.09</v>
      </c>
      <c r="N14" s="158">
        <v>0</v>
      </c>
      <c r="O14" s="158">
        <v>2145675.3199999998</v>
      </c>
      <c r="P14" s="158">
        <v>3662610.2099999995</v>
      </c>
      <c r="Q14" s="158">
        <v>7154384.9900000002</v>
      </c>
      <c r="R14" s="158">
        <v>21638300.859999999</v>
      </c>
      <c r="S14" s="158">
        <v>0</v>
      </c>
      <c r="T14" s="158">
        <v>8146452.9200000009</v>
      </c>
      <c r="U14" s="158">
        <v>10807658.610000001</v>
      </c>
      <c r="V14" s="158">
        <v>2684189.3299999991</v>
      </c>
      <c r="W14" s="158">
        <v>3130743.7399999998</v>
      </c>
      <c r="X14" s="158">
        <v>2322341.1799999997</v>
      </c>
      <c r="Y14" s="158">
        <v>808402.55999999994</v>
      </c>
      <c r="Z14" s="158">
        <v>7021894.0800000001</v>
      </c>
      <c r="AA14" s="158">
        <v>103424.1</v>
      </c>
    </row>
    <row r="15" spans="1:27" ht="13.5" customHeight="1">
      <c r="A15" s="325" t="s">
        <v>70</v>
      </c>
      <c r="B15" s="174" t="s">
        <v>71</v>
      </c>
      <c r="C15" s="155">
        <v>82578070.280000001</v>
      </c>
      <c r="D15" s="155">
        <v>0</v>
      </c>
      <c r="E15" s="155">
        <v>0</v>
      </c>
      <c r="F15" s="155">
        <v>36935481.06000001</v>
      </c>
      <c r="G15" s="155">
        <v>0</v>
      </c>
      <c r="H15" s="155">
        <v>332613.03000000003</v>
      </c>
      <c r="I15" s="155">
        <v>0</v>
      </c>
      <c r="J15" s="258">
        <v>0</v>
      </c>
      <c r="K15" s="155">
        <v>0</v>
      </c>
      <c r="L15" s="258">
        <v>0</v>
      </c>
      <c r="M15" s="155">
        <v>239970.86</v>
      </c>
      <c r="N15" s="156">
        <v>0</v>
      </c>
      <c r="O15" s="155">
        <v>0</v>
      </c>
      <c r="P15" s="155">
        <v>92642.170000000013</v>
      </c>
      <c r="Q15" s="155">
        <v>2015502</v>
      </c>
      <c r="R15" s="155">
        <v>42587915.670000002</v>
      </c>
      <c r="S15" s="155">
        <v>0</v>
      </c>
      <c r="T15" s="155">
        <v>34832437</v>
      </c>
      <c r="U15" s="155">
        <v>7755478.6699999999</v>
      </c>
      <c r="V15" s="155">
        <v>0</v>
      </c>
      <c r="W15" s="155">
        <v>400000</v>
      </c>
      <c r="X15" s="155">
        <v>400000</v>
      </c>
      <c r="Y15" s="155">
        <v>0</v>
      </c>
      <c r="Z15" s="155">
        <v>306558.52</v>
      </c>
      <c r="AA15" s="155">
        <v>0</v>
      </c>
    </row>
    <row r="16" spans="1:27">
      <c r="A16" s="326"/>
      <c r="B16" s="174" t="s">
        <v>242</v>
      </c>
      <c r="C16" s="155">
        <v>82456267.919999987</v>
      </c>
      <c r="D16" s="155">
        <v>0</v>
      </c>
      <c r="E16" s="155">
        <v>0</v>
      </c>
      <c r="F16" s="155">
        <v>32616953.899999987</v>
      </c>
      <c r="G16" s="155">
        <v>0</v>
      </c>
      <c r="H16" s="155">
        <v>0</v>
      </c>
      <c r="I16" s="155">
        <v>0</v>
      </c>
      <c r="J16" s="258">
        <v>0</v>
      </c>
      <c r="K16" s="155">
        <v>356</v>
      </c>
      <c r="L16" s="258">
        <v>0</v>
      </c>
      <c r="M16" s="155">
        <v>0</v>
      </c>
      <c r="N16" s="156">
        <v>0</v>
      </c>
      <c r="O16" s="155">
        <v>0</v>
      </c>
      <c r="P16" s="155">
        <v>0</v>
      </c>
      <c r="Q16" s="155">
        <v>2524825</v>
      </c>
      <c r="R16" s="155">
        <v>47314489.020000003</v>
      </c>
      <c r="S16" s="155">
        <v>0</v>
      </c>
      <c r="T16" s="155">
        <v>42071989.020000003</v>
      </c>
      <c r="U16" s="155">
        <v>5242500</v>
      </c>
      <c r="V16" s="155">
        <v>0</v>
      </c>
      <c r="W16" s="155">
        <v>0</v>
      </c>
      <c r="X16" s="155">
        <v>0</v>
      </c>
      <c r="Y16" s="155">
        <v>0</v>
      </c>
      <c r="Z16" s="155">
        <v>0</v>
      </c>
      <c r="AA16" s="155">
        <v>0</v>
      </c>
    </row>
    <row r="17" spans="1:27">
      <c r="A17" s="326"/>
      <c r="B17" s="174" t="s">
        <v>73</v>
      </c>
      <c r="C17" s="155">
        <v>17855022.870000008</v>
      </c>
      <c r="D17" s="155">
        <v>41768.44</v>
      </c>
      <c r="E17" s="155">
        <f>-3343772.18+2871</f>
        <v>-3340901.18</v>
      </c>
      <c r="F17" s="155">
        <v>15563635.960000006</v>
      </c>
      <c r="G17" s="155">
        <v>-1657866.6699999997</v>
      </c>
      <c r="H17" s="155">
        <v>683730.52999999968</v>
      </c>
      <c r="I17" s="155">
        <v>2384870.5099999998</v>
      </c>
      <c r="J17" s="258">
        <v>0</v>
      </c>
      <c r="K17" s="155">
        <v>-1495934.19</v>
      </c>
      <c r="L17" s="258">
        <v>0</v>
      </c>
      <c r="M17" s="155">
        <v>80836.69</v>
      </c>
      <c r="N17" s="156">
        <v>0</v>
      </c>
      <c r="O17" s="155">
        <v>43.45</v>
      </c>
      <c r="P17" s="155">
        <v>-286085.93</v>
      </c>
      <c r="Q17" s="155">
        <v>538000.99</v>
      </c>
      <c r="R17" s="155">
        <v>6026633.5499999989</v>
      </c>
      <c r="S17" s="155">
        <v>0</v>
      </c>
      <c r="T17" s="155">
        <v>5056652.9099999992</v>
      </c>
      <c r="U17" s="155">
        <v>969980.6399999999</v>
      </c>
      <c r="V17" s="155">
        <v>0</v>
      </c>
      <c r="W17" s="155">
        <v>24.18</v>
      </c>
      <c r="X17" s="155">
        <v>24.18</v>
      </c>
      <c r="Y17" s="155">
        <v>0</v>
      </c>
      <c r="Z17" s="155">
        <v>-2.83</v>
      </c>
      <c r="AA17" s="155">
        <v>0.12</v>
      </c>
    </row>
    <row r="18" spans="1:27">
      <c r="A18" s="326"/>
      <c r="B18" s="174" t="s">
        <v>96</v>
      </c>
      <c r="C18" s="155">
        <v>633944.4600000002</v>
      </c>
      <c r="D18" s="155">
        <v>0</v>
      </c>
      <c r="E18" s="155">
        <v>0</v>
      </c>
      <c r="F18" s="155">
        <v>610444.35</v>
      </c>
      <c r="G18" s="155">
        <v>0</v>
      </c>
      <c r="H18" s="155">
        <v>23500.11</v>
      </c>
      <c r="I18" s="155">
        <v>0</v>
      </c>
      <c r="J18" s="258">
        <v>0</v>
      </c>
      <c r="K18" s="155">
        <v>0</v>
      </c>
      <c r="L18" s="258">
        <v>0</v>
      </c>
      <c r="M18" s="155">
        <v>0</v>
      </c>
      <c r="N18" s="156">
        <v>0</v>
      </c>
      <c r="O18" s="155">
        <v>23500.11</v>
      </c>
      <c r="P18" s="155">
        <v>0</v>
      </c>
      <c r="Q18" s="155">
        <v>0</v>
      </c>
      <c r="R18" s="155">
        <v>0</v>
      </c>
      <c r="S18" s="155">
        <v>0</v>
      </c>
      <c r="T18" s="155">
        <v>0</v>
      </c>
      <c r="U18" s="155">
        <v>0</v>
      </c>
      <c r="V18" s="155">
        <v>0</v>
      </c>
      <c r="W18" s="155">
        <v>0</v>
      </c>
      <c r="X18" s="155">
        <v>0</v>
      </c>
      <c r="Y18" s="155">
        <v>0</v>
      </c>
      <c r="Z18" s="155">
        <v>0</v>
      </c>
      <c r="AA18" s="155">
        <v>0</v>
      </c>
    </row>
    <row r="19" spans="1:27">
      <c r="A19" s="326"/>
      <c r="B19" s="174" t="s">
        <v>74</v>
      </c>
      <c r="C19" s="155">
        <v>13502433.289999999</v>
      </c>
      <c r="D19" s="155">
        <v>0</v>
      </c>
      <c r="E19" s="155">
        <v>0</v>
      </c>
      <c r="F19" s="155">
        <v>12890169.689999999</v>
      </c>
      <c r="G19" s="155">
        <v>492659.83</v>
      </c>
      <c r="H19" s="155">
        <v>119603.77000000002</v>
      </c>
      <c r="I19" s="155">
        <v>111603.77000000002</v>
      </c>
      <c r="J19" s="258">
        <v>0</v>
      </c>
      <c r="K19" s="155">
        <v>0</v>
      </c>
      <c r="L19" s="258">
        <v>0</v>
      </c>
      <c r="M19" s="155">
        <v>0</v>
      </c>
      <c r="N19" s="156">
        <v>0</v>
      </c>
      <c r="O19" s="155">
        <v>8000</v>
      </c>
      <c r="P19" s="155">
        <v>0</v>
      </c>
      <c r="Q19" s="155">
        <v>0</v>
      </c>
      <c r="R19" s="155">
        <v>0</v>
      </c>
      <c r="S19" s="155">
        <v>0</v>
      </c>
      <c r="T19" s="155">
        <v>0</v>
      </c>
      <c r="U19" s="155">
        <v>0</v>
      </c>
      <c r="V19" s="155">
        <v>0</v>
      </c>
      <c r="W19" s="155">
        <v>0</v>
      </c>
      <c r="X19" s="155">
        <v>0</v>
      </c>
      <c r="Y19" s="155">
        <v>0</v>
      </c>
      <c r="Z19" s="155">
        <v>0</v>
      </c>
      <c r="AA19" s="155">
        <v>0</v>
      </c>
    </row>
    <row r="20" spans="1:27">
      <c r="A20" s="327"/>
      <c r="B20" s="175" t="s">
        <v>69</v>
      </c>
      <c r="C20" s="158">
        <v>197025738.82000002</v>
      </c>
      <c r="D20" s="158">
        <v>41768.44</v>
      </c>
      <c r="E20" s="158">
        <f>SUM(E15:E19)</f>
        <v>-3340901.18</v>
      </c>
      <c r="F20" s="158">
        <v>98616684.960000008</v>
      </c>
      <c r="G20" s="158">
        <v>-1165206.8399999996</v>
      </c>
      <c r="H20" s="158">
        <v>1159447.44</v>
      </c>
      <c r="I20" s="158">
        <v>2496474.2800000003</v>
      </c>
      <c r="J20" s="259">
        <v>0</v>
      </c>
      <c r="K20" s="158">
        <v>-1495934.19</v>
      </c>
      <c r="L20" s="259">
        <v>0</v>
      </c>
      <c r="M20" s="158">
        <v>320807.55</v>
      </c>
      <c r="N20" s="158">
        <v>0</v>
      </c>
      <c r="O20" s="158">
        <v>31543.559999999998</v>
      </c>
      <c r="P20" s="158">
        <v>-193443.75999999998</v>
      </c>
      <c r="Q20" s="158">
        <v>5078327.99</v>
      </c>
      <c r="R20" s="158">
        <v>95929038.239999995</v>
      </c>
      <c r="S20" s="158">
        <v>0</v>
      </c>
      <c r="T20" s="158">
        <v>81961078.929999992</v>
      </c>
      <c r="U20" s="158">
        <v>13967959.310000001</v>
      </c>
      <c r="V20" s="158">
        <v>0</v>
      </c>
      <c r="W20" s="158">
        <v>400024.18</v>
      </c>
      <c r="X20" s="158">
        <v>400024.18</v>
      </c>
      <c r="Y20" s="158">
        <v>0</v>
      </c>
      <c r="Z20" s="158">
        <v>306555.69</v>
      </c>
      <c r="AA20" s="158">
        <v>0.12</v>
      </c>
    </row>
    <row r="21" spans="1:27" ht="13.5" customHeight="1">
      <c r="A21" s="319" t="s">
        <v>75</v>
      </c>
      <c r="B21" s="174" t="s">
        <v>76</v>
      </c>
      <c r="C21" s="155">
        <v>34105856.309999995</v>
      </c>
      <c r="D21" s="155">
        <v>0</v>
      </c>
      <c r="E21" s="155">
        <v>4528108.3199999994</v>
      </c>
      <c r="F21" s="155">
        <v>14599316.649999999</v>
      </c>
      <c r="G21" s="155">
        <v>1349059.63</v>
      </c>
      <c r="H21" s="155">
        <v>2222945.56</v>
      </c>
      <c r="I21" s="155">
        <v>601193.79</v>
      </c>
      <c r="J21" s="258">
        <v>94203.88</v>
      </c>
      <c r="K21" s="155">
        <v>426970</v>
      </c>
      <c r="L21" s="258">
        <v>0</v>
      </c>
      <c r="M21" s="155">
        <v>312818.15000000002</v>
      </c>
      <c r="N21" s="159">
        <v>0</v>
      </c>
      <c r="O21" s="155">
        <v>280847.12</v>
      </c>
      <c r="P21" s="155">
        <v>506912.62</v>
      </c>
      <c r="Q21" s="155">
        <v>818534.04</v>
      </c>
      <c r="R21" s="155">
        <v>9391299.3300000001</v>
      </c>
      <c r="S21" s="155">
        <v>0</v>
      </c>
      <c r="T21" s="155">
        <v>6959563.7800000003</v>
      </c>
      <c r="U21" s="155">
        <v>2281339.35</v>
      </c>
      <c r="V21" s="155">
        <v>150396.19999999998</v>
      </c>
      <c r="W21" s="155">
        <v>557313.29999999993</v>
      </c>
      <c r="X21" s="155">
        <v>529726.85</v>
      </c>
      <c r="Y21" s="155">
        <v>27586.45</v>
      </c>
      <c r="Z21" s="155">
        <v>626002.19999999995</v>
      </c>
      <c r="AA21" s="155">
        <v>13277.28</v>
      </c>
    </row>
    <row r="22" spans="1:27">
      <c r="A22" s="320"/>
      <c r="B22" s="174" t="s">
        <v>77</v>
      </c>
      <c r="C22" s="155">
        <v>12965993.989999995</v>
      </c>
      <c r="D22" s="155">
        <v>0</v>
      </c>
      <c r="E22" s="155">
        <v>2131573.21</v>
      </c>
      <c r="F22" s="155">
        <v>2876453.2399999998</v>
      </c>
      <c r="G22" s="155">
        <v>332099.14999999997</v>
      </c>
      <c r="H22" s="155">
        <v>1600992.41</v>
      </c>
      <c r="I22" s="155">
        <v>569247.12</v>
      </c>
      <c r="J22" s="258">
        <v>114585.03</v>
      </c>
      <c r="K22" s="155">
        <v>346264.07999999996</v>
      </c>
      <c r="L22" s="258">
        <v>0</v>
      </c>
      <c r="M22" s="155">
        <v>232011.6</v>
      </c>
      <c r="N22" s="159">
        <v>0</v>
      </c>
      <c r="O22" s="155">
        <v>83212.100000000006</v>
      </c>
      <c r="P22" s="155">
        <v>255672.47999999998</v>
      </c>
      <c r="Q22" s="155">
        <v>985614.43</v>
      </c>
      <c r="R22" s="155">
        <v>4633356.9399999995</v>
      </c>
      <c r="S22" s="155">
        <v>0</v>
      </c>
      <c r="T22" s="155">
        <v>3195454.46</v>
      </c>
      <c r="U22" s="155">
        <v>1229047.5</v>
      </c>
      <c r="V22" s="155">
        <v>208854.97999999998</v>
      </c>
      <c r="W22" s="155">
        <v>161313.97</v>
      </c>
      <c r="X22" s="155">
        <v>87370.2</v>
      </c>
      <c r="Y22" s="155">
        <v>73943.77</v>
      </c>
      <c r="Z22" s="155">
        <v>236783.24</v>
      </c>
      <c r="AA22" s="155">
        <v>7807.4</v>
      </c>
    </row>
    <row r="23" spans="1:27">
      <c r="A23" s="320"/>
      <c r="B23" s="174" t="s">
        <v>80</v>
      </c>
      <c r="C23" s="155">
        <v>5212826.1500000004</v>
      </c>
      <c r="D23" s="155">
        <v>0</v>
      </c>
      <c r="E23" s="155">
        <v>1072504.7</v>
      </c>
      <c r="F23" s="155">
        <v>1994237.1200000006</v>
      </c>
      <c r="G23" s="155">
        <v>85495.680000000008</v>
      </c>
      <c r="H23" s="155">
        <v>176815.5</v>
      </c>
      <c r="I23" s="155">
        <v>26762.929999999997</v>
      </c>
      <c r="J23" s="258">
        <v>6696.53</v>
      </c>
      <c r="K23" s="155">
        <v>29882.359999999997</v>
      </c>
      <c r="L23" s="258">
        <v>0</v>
      </c>
      <c r="M23" s="155">
        <v>36562.01</v>
      </c>
      <c r="N23" s="159">
        <v>0</v>
      </c>
      <c r="O23" s="155">
        <v>62231.69</v>
      </c>
      <c r="P23" s="155">
        <v>14679.98</v>
      </c>
      <c r="Q23" s="155">
        <v>134720.95000000001</v>
      </c>
      <c r="R23" s="155">
        <v>1667730.4799999997</v>
      </c>
      <c r="S23" s="155">
        <v>0</v>
      </c>
      <c r="T23" s="155">
        <v>1433374.2599999998</v>
      </c>
      <c r="U23" s="155">
        <v>209836.52999999997</v>
      </c>
      <c r="V23" s="155">
        <v>24519.690000000002</v>
      </c>
      <c r="W23" s="155">
        <v>33482.119999999995</v>
      </c>
      <c r="X23" s="155">
        <v>31858.379999999997</v>
      </c>
      <c r="Y23" s="155">
        <v>1623.7400000000002</v>
      </c>
      <c r="Z23" s="155">
        <v>40321.090000000004</v>
      </c>
      <c r="AA23" s="155">
        <v>7518.51</v>
      </c>
    </row>
    <row r="24" spans="1:27">
      <c r="A24" s="320"/>
      <c r="B24" s="174" t="s">
        <v>81</v>
      </c>
      <c r="C24" s="155">
        <v>2104487.0799999996</v>
      </c>
      <c r="D24" s="155">
        <v>0</v>
      </c>
      <c r="E24" s="155">
        <v>271131.46999999997</v>
      </c>
      <c r="F24" s="155">
        <v>1117774.1599999999</v>
      </c>
      <c r="G24" s="155">
        <v>41606.730000000003</v>
      </c>
      <c r="H24" s="155">
        <v>29740.119999999995</v>
      </c>
      <c r="I24" s="155">
        <v>27964.91</v>
      </c>
      <c r="J24" s="258">
        <v>461.17</v>
      </c>
      <c r="K24" s="155">
        <v>3785.66</v>
      </c>
      <c r="L24" s="258">
        <v>0</v>
      </c>
      <c r="M24" s="155">
        <v>234.14</v>
      </c>
      <c r="N24" s="159">
        <v>0</v>
      </c>
      <c r="O24" s="155">
        <v>-6465.6000000000013</v>
      </c>
      <c r="P24" s="155">
        <v>3759.8399999999997</v>
      </c>
      <c r="Q24" s="155">
        <v>19716.32</v>
      </c>
      <c r="R24" s="155">
        <v>601382.99</v>
      </c>
      <c r="S24" s="155">
        <v>0</v>
      </c>
      <c r="T24" s="155">
        <v>526170.24</v>
      </c>
      <c r="U24" s="155">
        <v>61920.08</v>
      </c>
      <c r="V24" s="155">
        <v>13292.67</v>
      </c>
      <c r="W24" s="155">
        <v>15695.76</v>
      </c>
      <c r="X24" s="155">
        <v>15695.76</v>
      </c>
      <c r="Y24" s="155">
        <v>0</v>
      </c>
      <c r="Z24" s="155">
        <v>5989.4</v>
      </c>
      <c r="AA24" s="155">
        <v>1450.13</v>
      </c>
    </row>
    <row r="25" spans="1:27">
      <c r="A25" s="320"/>
      <c r="B25" s="174" t="s">
        <v>84</v>
      </c>
      <c r="C25" s="155">
        <v>8364687.2899999991</v>
      </c>
      <c r="D25" s="155">
        <v>0</v>
      </c>
      <c r="E25" s="155">
        <v>902921.26000000013</v>
      </c>
      <c r="F25" s="155">
        <v>7277659.9900000002</v>
      </c>
      <c r="G25" s="155">
        <v>0</v>
      </c>
      <c r="H25" s="155">
        <v>0</v>
      </c>
      <c r="I25" s="155">
        <v>0</v>
      </c>
      <c r="J25" s="258">
        <v>0</v>
      </c>
      <c r="K25" s="155">
        <v>0</v>
      </c>
      <c r="L25" s="258">
        <v>0</v>
      </c>
      <c r="M25" s="155">
        <v>0</v>
      </c>
      <c r="N25" s="159">
        <v>0</v>
      </c>
      <c r="O25" s="155">
        <v>0</v>
      </c>
      <c r="P25" s="155">
        <v>0</v>
      </c>
      <c r="Q25" s="155">
        <v>0</v>
      </c>
      <c r="R25" s="155">
        <v>5320</v>
      </c>
      <c r="S25" s="155">
        <v>0</v>
      </c>
      <c r="T25" s="155">
        <v>1520</v>
      </c>
      <c r="U25" s="155">
        <v>0</v>
      </c>
      <c r="V25" s="155">
        <v>3800</v>
      </c>
      <c r="W25" s="155">
        <v>6720.39</v>
      </c>
      <c r="X25" s="155">
        <v>6720.39</v>
      </c>
      <c r="Y25" s="155">
        <v>0</v>
      </c>
      <c r="Z25" s="155">
        <v>172065.65</v>
      </c>
      <c r="AA25" s="155">
        <v>0</v>
      </c>
    </row>
    <row r="26" spans="1:27">
      <c r="A26" s="320"/>
      <c r="B26" s="174" t="s">
        <v>86</v>
      </c>
      <c r="C26" s="155">
        <v>3989865.79</v>
      </c>
      <c r="D26" s="155">
        <v>0</v>
      </c>
      <c r="E26" s="155">
        <v>368855.80000000005</v>
      </c>
      <c r="F26" s="155">
        <v>1802532.0499999998</v>
      </c>
      <c r="G26" s="155">
        <v>217547.43</v>
      </c>
      <c r="H26" s="155">
        <v>832270.26</v>
      </c>
      <c r="I26" s="155">
        <v>178387.94</v>
      </c>
      <c r="J26" s="258">
        <v>0</v>
      </c>
      <c r="K26" s="155">
        <v>184636.43</v>
      </c>
      <c r="L26" s="258">
        <v>0</v>
      </c>
      <c r="M26" s="155">
        <v>120161.63</v>
      </c>
      <c r="N26" s="159">
        <v>0</v>
      </c>
      <c r="O26" s="155">
        <v>28265</v>
      </c>
      <c r="P26" s="155">
        <v>320819.26</v>
      </c>
      <c r="Q26" s="155">
        <v>22965</v>
      </c>
      <c r="R26" s="155">
        <v>69164</v>
      </c>
      <c r="S26" s="155">
        <v>0</v>
      </c>
      <c r="T26" s="155">
        <v>24501</v>
      </c>
      <c r="U26" s="155">
        <v>24501</v>
      </c>
      <c r="V26" s="155">
        <v>20162</v>
      </c>
      <c r="W26" s="155">
        <v>15822</v>
      </c>
      <c r="X26" s="155">
        <v>0</v>
      </c>
      <c r="Y26" s="155">
        <v>15822</v>
      </c>
      <c r="Z26" s="155">
        <v>660709.25</v>
      </c>
      <c r="AA26" s="155">
        <v>0</v>
      </c>
    </row>
    <row r="27" spans="1:27">
      <c r="A27" s="320"/>
      <c r="B27" s="174" t="s">
        <v>88</v>
      </c>
      <c r="C27" s="155">
        <v>2629662.88</v>
      </c>
      <c r="D27" s="155">
        <v>0</v>
      </c>
      <c r="E27" s="155">
        <v>855065.82000000007</v>
      </c>
      <c r="F27" s="155">
        <v>1341011.8099999998</v>
      </c>
      <c r="G27" s="155">
        <v>0</v>
      </c>
      <c r="H27" s="155">
        <v>380586.8</v>
      </c>
      <c r="I27" s="155">
        <v>372700</v>
      </c>
      <c r="J27" s="258">
        <v>6000</v>
      </c>
      <c r="K27" s="155">
        <v>1886.8</v>
      </c>
      <c r="L27" s="258">
        <v>0</v>
      </c>
      <c r="M27" s="155">
        <v>0</v>
      </c>
      <c r="N27" s="155">
        <v>0</v>
      </c>
      <c r="O27" s="155">
        <v>0</v>
      </c>
      <c r="P27" s="155">
        <v>0</v>
      </c>
      <c r="Q27" s="155">
        <v>0</v>
      </c>
      <c r="R27" s="155">
        <v>2930</v>
      </c>
      <c r="S27" s="155">
        <v>0</v>
      </c>
      <c r="T27" s="155">
        <v>2930</v>
      </c>
      <c r="U27" s="155">
        <v>0</v>
      </c>
      <c r="V27" s="155">
        <v>0</v>
      </c>
      <c r="W27" s="155">
        <v>7254.72</v>
      </c>
      <c r="X27" s="155">
        <v>0</v>
      </c>
      <c r="Y27" s="155">
        <v>7254.72</v>
      </c>
      <c r="Z27" s="155">
        <v>42813.73</v>
      </c>
      <c r="AA27" s="155">
        <v>0</v>
      </c>
    </row>
    <row r="28" spans="1:27">
      <c r="A28" s="320"/>
      <c r="B28" s="174" t="s">
        <v>89</v>
      </c>
      <c r="C28" s="155">
        <v>1092237.5999999999</v>
      </c>
      <c r="D28" s="155">
        <v>0</v>
      </c>
      <c r="E28" s="155">
        <v>129569.04999999999</v>
      </c>
      <c r="F28" s="155">
        <v>654283.51</v>
      </c>
      <c r="G28" s="155">
        <v>7548.8700000000008</v>
      </c>
      <c r="H28" s="155">
        <v>12601.1</v>
      </c>
      <c r="I28" s="155">
        <v>8866</v>
      </c>
      <c r="J28" s="258">
        <v>0</v>
      </c>
      <c r="K28" s="155">
        <v>366</v>
      </c>
      <c r="L28" s="258">
        <v>0</v>
      </c>
      <c r="M28" s="155">
        <v>1273</v>
      </c>
      <c r="N28" s="155">
        <v>0</v>
      </c>
      <c r="O28" s="155">
        <v>-101.9</v>
      </c>
      <c r="P28" s="155">
        <v>2198</v>
      </c>
      <c r="Q28" s="155">
        <v>41479.440000000002</v>
      </c>
      <c r="R28" s="155">
        <v>233322.33000000002</v>
      </c>
      <c r="S28" s="155">
        <v>0</v>
      </c>
      <c r="T28" s="155">
        <v>180724.28</v>
      </c>
      <c r="U28" s="155">
        <v>43085.32</v>
      </c>
      <c r="V28" s="155">
        <v>9512.73</v>
      </c>
      <c r="W28" s="155">
        <v>12768.39</v>
      </c>
      <c r="X28" s="155">
        <v>12568.39</v>
      </c>
      <c r="Y28" s="155">
        <v>200</v>
      </c>
      <c r="Z28" s="155">
        <v>664.91</v>
      </c>
      <c r="AA28" s="155">
        <v>0</v>
      </c>
    </row>
    <row r="29" spans="1:27">
      <c r="A29" s="320"/>
      <c r="B29" s="174" t="s">
        <v>93</v>
      </c>
      <c r="C29" s="155">
        <v>251880.70000000004</v>
      </c>
      <c r="D29" s="155">
        <v>0</v>
      </c>
      <c r="E29" s="155">
        <v>55296.930000000008</v>
      </c>
      <c r="F29" s="155">
        <v>173911.31</v>
      </c>
      <c r="G29" s="155">
        <v>3780</v>
      </c>
      <c r="H29" s="155">
        <v>10452.36</v>
      </c>
      <c r="I29" s="155">
        <v>2737</v>
      </c>
      <c r="J29" s="258">
        <v>746.9</v>
      </c>
      <c r="K29" s="155">
        <v>1488</v>
      </c>
      <c r="L29" s="258">
        <v>0</v>
      </c>
      <c r="M29" s="155">
        <v>440</v>
      </c>
      <c r="N29" s="155">
        <v>0</v>
      </c>
      <c r="O29" s="155">
        <v>3299.8</v>
      </c>
      <c r="P29" s="155">
        <v>1740.66</v>
      </c>
      <c r="Q29" s="155">
        <v>1726</v>
      </c>
      <c r="R29" s="155">
        <v>6094</v>
      </c>
      <c r="S29" s="155">
        <v>0</v>
      </c>
      <c r="T29" s="155">
        <v>4486</v>
      </c>
      <c r="U29" s="155">
        <v>1608</v>
      </c>
      <c r="V29" s="155">
        <v>0</v>
      </c>
      <c r="W29" s="155">
        <v>357.2</v>
      </c>
      <c r="X29" s="155">
        <v>357.2</v>
      </c>
      <c r="Y29" s="155">
        <v>0</v>
      </c>
      <c r="Z29" s="155">
        <v>262.89999999999998</v>
      </c>
      <c r="AA29" s="155">
        <v>0</v>
      </c>
    </row>
    <row r="30" spans="1:27">
      <c r="A30" s="320"/>
      <c r="B30" s="174" t="s">
        <v>94</v>
      </c>
      <c r="C30" s="155">
        <v>1051498.0700000003</v>
      </c>
      <c r="D30" s="155">
        <v>0</v>
      </c>
      <c r="E30" s="155">
        <v>150509.60000000003</v>
      </c>
      <c r="F30" s="155">
        <v>370495.40000000008</v>
      </c>
      <c r="G30" s="155">
        <v>1831.96</v>
      </c>
      <c r="H30" s="155">
        <v>111884.13</v>
      </c>
      <c r="I30" s="155">
        <v>14261.859999999999</v>
      </c>
      <c r="J30" s="258">
        <v>4468.8</v>
      </c>
      <c r="K30" s="155">
        <v>11740.539999999999</v>
      </c>
      <c r="L30" s="258">
        <v>0</v>
      </c>
      <c r="M30" s="155">
        <v>55347.570000000007</v>
      </c>
      <c r="N30" s="155">
        <v>0</v>
      </c>
      <c r="O30" s="155">
        <v>8040.2300000000014</v>
      </c>
      <c r="P30" s="155">
        <v>18025.13</v>
      </c>
      <c r="Q30" s="155">
        <v>145316.83999999997</v>
      </c>
      <c r="R30" s="155">
        <v>237836.38999999998</v>
      </c>
      <c r="S30" s="155">
        <v>0</v>
      </c>
      <c r="T30" s="155">
        <v>161086.91</v>
      </c>
      <c r="U30" s="155">
        <v>56213.08</v>
      </c>
      <c r="V30" s="155">
        <v>20536.400000000001</v>
      </c>
      <c r="W30" s="155">
        <v>15011.060000000001</v>
      </c>
      <c r="X30" s="155">
        <v>9083.51</v>
      </c>
      <c r="Y30" s="155">
        <v>5927.55</v>
      </c>
      <c r="Z30" s="155">
        <v>18391.29</v>
      </c>
      <c r="AA30" s="155">
        <v>221.4</v>
      </c>
    </row>
    <row r="31" spans="1:27">
      <c r="A31" s="320"/>
      <c r="B31" s="174" t="s">
        <v>90</v>
      </c>
      <c r="C31" s="155">
        <v>3843962.4400000004</v>
      </c>
      <c r="D31" s="155">
        <v>0</v>
      </c>
      <c r="E31" s="155">
        <v>1453738.8899999997</v>
      </c>
      <c r="F31" s="155">
        <v>1863690.52</v>
      </c>
      <c r="G31" s="155">
        <v>34149.64</v>
      </c>
      <c r="H31" s="155">
        <v>227813.12999999998</v>
      </c>
      <c r="I31" s="155">
        <v>35208</v>
      </c>
      <c r="J31" s="258">
        <v>0</v>
      </c>
      <c r="K31" s="155">
        <v>2484</v>
      </c>
      <c r="L31" s="258">
        <v>0</v>
      </c>
      <c r="M31" s="155">
        <v>12216.75</v>
      </c>
      <c r="N31" s="155">
        <v>0</v>
      </c>
      <c r="O31" s="155">
        <v>166040.37999999998</v>
      </c>
      <c r="P31" s="155">
        <v>11864</v>
      </c>
      <c r="Q31" s="155">
        <v>11215</v>
      </c>
      <c r="R31" s="155">
        <v>71847</v>
      </c>
      <c r="S31" s="155">
        <v>0</v>
      </c>
      <c r="T31" s="155">
        <v>20863</v>
      </c>
      <c r="U31" s="155">
        <v>6146</v>
      </c>
      <c r="V31" s="155">
        <v>44838</v>
      </c>
      <c r="W31" s="155">
        <v>155258.65999999997</v>
      </c>
      <c r="X31" s="155">
        <v>150150.85999999999</v>
      </c>
      <c r="Y31" s="155">
        <v>5107.8</v>
      </c>
      <c r="Z31" s="155">
        <v>26249.599999999999</v>
      </c>
      <c r="AA31" s="155">
        <v>0</v>
      </c>
    </row>
    <row r="32" spans="1:27">
      <c r="A32" s="320"/>
      <c r="B32" s="174" t="s">
        <v>85</v>
      </c>
      <c r="C32" s="155">
        <v>6339462.2000000002</v>
      </c>
      <c r="D32" s="155">
        <v>0</v>
      </c>
      <c r="E32" s="155">
        <v>0</v>
      </c>
      <c r="F32" s="155">
        <v>6003542.8200000012</v>
      </c>
      <c r="G32" s="155">
        <v>0</v>
      </c>
      <c r="H32" s="155">
        <v>137121.38</v>
      </c>
      <c r="I32" s="155">
        <v>0</v>
      </c>
      <c r="J32" s="258">
        <v>0</v>
      </c>
      <c r="K32" s="155">
        <v>0</v>
      </c>
      <c r="L32" s="258">
        <v>0</v>
      </c>
      <c r="M32" s="155">
        <v>137121.38</v>
      </c>
      <c r="N32" s="155">
        <v>0</v>
      </c>
      <c r="O32" s="155">
        <v>0</v>
      </c>
      <c r="P32" s="155">
        <v>0</v>
      </c>
      <c r="Q32" s="155">
        <v>0</v>
      </c>
      <c r="R32" s="155">
        <v>1997</v>
      </c>
      <c r="S32" s="155">
        <v>0</v>
      </c>
      <c r="T32" s="155">
        <v>0</v>
      </c>
      <c r="U32" s="155">
        <v>1997</v>
      </c>
      <c r="V32" s="155">
        <v>0</v>
      </c>
      <c r="W32" s="155">
        <v>0</v>
      </c>
      <c r="X32" s="155">
        <v>0</v>
      </c>
      <c r="Y32" s="155">
        <v>0</v>
      </c>
      <c r="Z32" s="155">
        <v>196801</v>
      </c>
      <c r="AA32" s="155">
        <v>0</v>
      </c>
    </row>
    <row r="33" spans="1:27">
      <c r="A33" s="320"/>
      <c r="B33" s="174" t="s">
        <v>243</v>
      </c>
      <c r="C33" s="155">
        <v>626502.12000000023</v>
      </c>
      <c r="D33" s="155">
        <v>0</v>
      </c>
      <c r="E33" s="155">
        <v>258032.04000000024</v>
      </c>
      <c r="F33" s="155">
        <v>262708.91000000003</v>
      </c>
      <c r="G33" s="155">
        <v>22831.07</v>
      </c>
      <c r="H33" s="155">
        <v>43324.1</v>
      </c>
      <c r="I33" s="155">
        <v>1270</v>
      </c>
      <c r="J33" s="258">
        <v>0</v>
      </c>
      <c r="K33" s="155">
        <v>13739.04</v>
      </c>
      <c r="L33" s="258">
        <v>0</v>
      </c>
      <c r="M33" s="155">
        <v>9166</v>
      </c>
      <c r="N33" s="155">
        <v>0</v>
      </c>
      <c r="O33" s="155">
        <v>13539.06</v>
      </c>
      <c r="P33" s="155">
        <v>5610</v>
      </c>
      <c r="Q33" s="155">
        <v>8000</v>
      </c>
      <c r="R33" s="155">
        <v>9990</v>
      </c>
      <c r="S33" s="155">
        <v>0</v>
      </c>
      <c r="T33" s="155">
        <v>1600</v>
      </c>
      <c r="U33" s="155">
        <v>0</v>
      </c>
      <c r="V33" s="155">
        <v>8390</v>
      </c>
      <c r="W33" s="155">
        <v>17096</v>
      </c>
      <c r="X33" s="155">
        <v>12290</v>
      </c>
      <c r="Y33" s="155">
        <v>4806</v>
      </c>
      <c r="Z33" s="155">
        <v>4520</v>
      </c>
      <c r="AA33" s="155">
        <v>0</v>
      </c>
    </row>
    <row r="34" spans="1:27">
      <c r="A34" s="321"/>
      <c r="B34" s="175" t="s">
        <v>69</v>
      </c>
      <c r="C34" s="158">
        <v>82578922.61999999</v>
      </c>
      <c r="D34" s="158">
        <v>0</v>
      </c>
      <c r="E34" s="158">
        <v>12177307.09</v>
      </c>
      <c r="F34" s="158">
        <v>40337617.49000001</v>
      </c>
      <c r="G34" s="158">
        <v>2095950.1599999997</v>
      </c>
      <c r="H34" s="158">
        <v>5786546.8500000006</v>
      </c>
      <c r="I34" s="158">
        <v>1838599.55</v>
      </c>
      <c r="J34" s="259">
        <v>227162.31</v>
      </c>
      <c r="K34" s="158">
        <v>1023242.9099999999</v>
      </c>
      <c r="L34" s="259">
        <v>0</v>
      </c>
      <c r="M34" s="158">
        <v>917352.2300000001</v>
      </c>
      <c r="N34" s="158">
        <v>0</v>
      </c>
      <c r="O34" s="158">
        <v>638907.88</v>
      </c>
      <c r="P34" s="158">
        <v>1141281.9700000002</v>
      </c>
      <c r="Q34" s="158">
        <v>2189288.02</v>
      </c>
      <c r="R34" s="158">
        <v>16932270.460000005</v>
      </c>
      <c r="S34" s="158">
        <v>0</v>
      </c>
      <c r="T34" s="158">
        <v>12512273.930000002</v>
      </c>
      <c r="U34" s="158">
        <v>3915693.8600000003</v>
      </c>
      <c r="V34" s="158">
        <v>504302.67000000004</v>
      </c>
      <c r="W34" s="158">
        <v>998093.57000000007</v>
      </c>
      <c r="X34" s="158">
        <v>855821.54</v>
      </c>
      <c r="Y34" s="158">
        <v>142272.03000000003</v>
      </c>
      <c r="Z34" s="158">
        <v>2031574.26</v>
      </c>
      <c r="AA34" s="158">
        <v>30274.720000000001</v>
      </c>
    </row>
    <row r="35" spans="1:27" ht="18.75" customHeight="1">
      <c r="A35" s="319" t="s">
        <v>100</v>
      </c>
      <c r="B35" s="174" t="s">
        <v>78</v>
      </c>
      <c r="C35" s="155">
        <v>4066293.59</v>
      </c>
      <c r="D35" s="155">
        <v>0</v>
      </c>
      <c r="E35" s="155">
        <v>979455.71</v>
      </c>
      <c r="F35" s="155">
        <v>2736027.84</v>
      </c>
      <c r="G35" s="155">
        <v>29544.63</v>
      </c>
      <c r="H35" s="155">
        <v>160584.27000000002</v>
      </c>
      <c r="I35" s="155">
        <v>36308.370000000003</v>
      </c>
      <c r="J35" s="258">
        <v>0</v>
      </c>
      <c r="K35" s="155">
        <v>36308.370000000003</v>
      </c>
      <c r="L35" s="258">
        <v>0</v>
      </c>
      <c r="M35" s="155">
        <v>36308.370000000003</v>
      </c>
      <c r="N35" s="155">
        <v>0</v>
      </c>
      <c r="O35" s="155">
        <v>15350.79</v>
      </c>
      <c r="P35" s="155">
        <v>36308.370000000003</v>
      </c>
      <c r="Q35" s="155">
        <v>0</v>
      </c>
      <c r="R35" s="155">
        <v>83496.36</v>
      </c>
      <c r="S35" s="155">
        <v>0</v>
      </c>
      <c r="T35" s="155">
        <v>26088.400000000001</v>
      </c>
      <c r="U35" s="155">
        <v>30871.46</v>
      </c>
      <c r="V35" s="155">
        <v>26536.5</v>
      </c>
      <c r="W35" s="155">
        <v>37414.26</v>
      </c>
      <c r="X35" s="155">
        <v>37414.26</v>
      </c>
      <c r="Y35" s="155">
        <v>0</v>
      </c>
      <c r="Z35" s="155">
        <v>39770.519999999997</v>
      </c>
      <c r="AA35" s="155">
        <v>0</v>
      </c>
    </row>
    <row r="36" spans="1:27">
      <c r="A36" s="320"/>
      <c r="B36" s="174" t="s">
        <v>79</v>
      </c>
      <c r="C36" s="155">
        <v>5180601.75</v>
      </c>
      <c r="D36" s="155">
        <v>0</v>
      </c>
      <c r="E36" s="155">
        <v>1053192.22</v>
      </c>
      <c r="F36" s="155">
        <v>2057266.33</v>
      </c>
      <c r="G36" s="155">
        <v>87161.109999999986</v>
      </c>
      <c r="H36" s="155">
        <v>430770.19999999995</v>
      </c>
      <c r="I36" s="155">
        <v>135862.26999999999</v>
      </c>
      <c r="J36" s="258">
        <v>13221.4</v>
      </c>
      <c r="K36" s="155">
        <v>56293.149999999994</v>
      </c>
      <c r="L36" s="258">
        <v>0</v>
      </c>
      <c r="M36" s="155">
        <v>45780.38</v>
      </c>
      <c r="N36" s="155">
        <v>0</v>
      </c>
      <c r="O36" s="155">
        <v>102707.18</v>
      </c>
      <c r="P36" s="155">
        <v>76905.819999999992</v>
      </c>
      <c r="Q36" s="155">
        <v>92179.650000000009</v>
      </c>
      <c r="R36" s="155">
        <v>1320404.2400000002</v>
      </c>
      <c r="S36" s="155">
        <v>0</v>
      </c>
      <c r="T36" s="155">
        <v>1245785.77</v>
      </c>
      <c r="U36" s="155">
        <v>40672.11</v>
      </c>
      <c r="V36" s="155">
        <v>33946.36</v>
      </c>
      <c r="W36" s="155">
        <v>36415.72</v>
      </c>
      <c r="X36" s="155">
        <v>29416.29</v>
      </c>
      <c r="Y36" s="155">
        <v>6999.4299999999994</v>
      </c>
      <c r="Z36" s="155">
        <v>103168.28</v>
      </c>
      <c r="AA36" s="155">
        <v>44</v>
      </c>
    </row>
    <row r="37" spans="1:27">
      <c r="A37" s="320"/>
      <c r="B37" s="174" t="s">
        <v>83</v>
      </c>
      <c r="C37" s="155">
        <v>1630684.2599999998</v>
      </c>
      <c r="D37" s="155">
        <v>0</v>
      </c>
      <c r="E37" s="155">
        <v>1584170.63</v>
      </c>
      <c r="F37" s="155">
        <v>8777.7799999999988</v>
      </c>
      <c r="G37" s="155">
        <v>0</v>
      </c>
      <c r="H37" s="155">
        <v>0</v>
      </c>
      <c r="I37" s="155">
        <v>0</v>
      </c>
      <c r="J37" s="258">
        <v>0</v>
      </c>
      <c r="K37" s="155">
        <v>0</v>
      </c>
      <c r="L37" s="258">
        <v>0</v>
      </c>
      <c r="M37" s="155">
        <v>0</v>
      </c>
      <c r="N37" s="155">
        <v>0</v>
      </c>
      <c r="O37" s="155">
        <v>0</v>
      </c>
      <c r="P37" s="155">
        <v>0</v>
      </c>
      <c r="Q37" s="155">
        <v>37735.85</v>
      </c>
      <c r="R37" s="155">
        <v>0</v>
      </c>
      <c r="S37" s="155">
        <v>0</v>
      </c>
      <c r="T37" s="155">
        <v>0</v>
      </c>
      <c r="U37" s="155">
        <v>0</v>
      </c>
      <c r="V37" s="155">
        <v>0</v>
      </c>
      <c r="W37" s="155">
        <v>0</v>
      </c>
      <c r="X37" s="155">
        <v>0</v>
      </c>
      <c r="Y37" s="155">
        <v>0</v>
      </c>
      <c r="Z37" s="155">
        <v>0</v>
      </c>
      <c r="AA37" s="155">
        <v>0</v>
      </c>
    </row>
    <row r="38" spans="1:27">
      <c r="A38" s="320"/>
      <c r="B38" s="174" t="s">
        <v>87</v>
      </c>
      <c r="C38" s="155">
        <v>2341110.8199999998</v>
      </c>
      <c r="D38" s="155">
        <v>0</v>
      </c>
      <c r="E38" s="155">
        <v>284024.78999999998</v>
      </c>
      <c r="F38" s="155">
        <v>1916093.6799999997</v>
      </c>
      <c r="G38" s="155">
        <v>16935.719999999998</v>
      </c>
      <c r="H38" s="155">
        <v>77835.48</v>
      </c>
      <c r="I38" s="155">
        <v>18926.199999999997</v>
      </c>
      <c r="J38" s="258">
        <v>0</v>
      </c>
      <c r="K38" s="155">
        <v>21494.12</v>
      </c>
      <c r="L38" s="258">
        <v>0</v>
      </c>
      <c r="M38" s="155">
        <v>18926.199999999997</v>
      </c>
      <c r="N38" s="155">
        <v>0</v>
      </c>
      <c r="O38" s="155">
        <v>-1978.62</v>
      </c>
      <c r="P38" s="155">
        <v>20467.579999999998</v>
      </c>
      <c r="Q38" s="155">
        <v>0</v>
      </c>
      <c r="R38" s="155">
        <v>0</v>
      </c>
      <c r="S38" s="155">
        <v>0</v>
      </c>
      <c r="T38" s="155">
        <v>0</v>
      </c>
      <c r="U38" s="155">
        <v>0</v>
      </c>
      <c r="V38" s="155">
        <v>0</v>
      </c>
      <c r="W38" s="155">
        <v>30053.86</v>
      </c>
      <c r="X38" s="155">
        <v>30053.86</v>
      </c>
      <c r="Y38" s="155">
        <v>0</v>
      </c>
      <c r="Z38" s="155">
        <v>16167.29</v>
      </c>
      <c r="AA38" s="155">
        <v>0</v>
      </c>
    </row>
    <row r="39" spans="1:27">
      <c r="A39" s="320"/>
      <c r="B39" s="174" t="s">
        <v>91</v>
      </c>
      <c r="C39" s="155">
        <v>148692.81</v>
      </c>
      <c r="D39" s="155">
        <v>0</v>
      </c>
      <c r="E39" s="155">
        <v>148692.81</v>
      </c>
      <c r="F39" s="155">
        <v>0</v>
      </c>
      <c r="G39" s="155">
        <v>0</v>
      </c>
      <c r="H39" s="155">
        <v>0</v>
      </c>
      <c r="I39" s="155">
        <v>0</v>
      </c>
      <c r="J39" s="258">
        <v>0</v>
      </c>
      <c r="K39" s="155">
        <v>0</v>
      </c>
      <c r="L39" s="258">
        <v>0</v>
      </c>
      <c r="M39" s="155">
        <v>0</v>
      </c>
      <c r="N39" s="155">
        <v>0</v>
      </c>
      <c r="O39" s="155">
        <v>0</v>
      </c>
      <c r="P39" s="155">
        <v>0</v>
      </c>
      <c r="Q39" s="155">
        <v>0</v>
      </c>
      <c r="R39" s="155">
        <v>0</v>
      </c>
      <c r="S39" s="155">
        <v>0</v>
      </c>
      <c r="T39" s="155">
        <v>0</v>
      </c>
      <c r="U39" s="155">
        <v>0</v>
      </c>
      <c r="V39" s="155">
        <v>0</v>
      </c>
      <c r="W39" s="155">
        <v>0</v>
      </c>
      <c r="X39" s="155">
        <v>0</v>
      </c>
      <c r="Y39" s="155">
        <v>0</v>
      </c>
      <c r="Z39" s="155">
        <v>0</v>
      </c>
      <c r="AA39" s="155">
        <v>0</v>
      </c>
    </row>
    <row r="40" spans="1:27">
      <c r="A40" s="320"/>
      <c r="B40" s="174" t="s">
        <v>92</v>
      </c>
      <c r="C40" s="155">
        <v>651511.2699999999</v>
      </c>
      <c r="D40" s="155">
        <v>0</v>
      </c>
      <c r="E40" s="155">
        <v>178942.49000000002</v>
      </c>
      <c r="F40" s="155">
        <v>403518.77999999997</v>
      </c>
      <c r="G40" s="155">
        <v>0</v>
      </c>
      <c r="H40" s="155">
        <v>23388</v>
      </c>
      <c r="I40" s="155">
        <v>4782</v>
      </c>
      <c r="J40" s="258">
        <v>0</v>
      </c>
      <c r="K40" s="155">
        <v>4782</v>
      </c>
      <c r="L40" s="258">
        <v>0</v>
      </c>
      <c r="M40" s="155">
        <v>4782</v>
      </c>
      <c r="N40" s="155">
        <v>0</v>
      </c>
      <c r="O40" s="155">
        <v>4260</v>
      </c>
      <c r="P40" s="155">
        <v>4782</v>
      </c>
      <c r="Q40" s="155">
        <v>0</v>
      </c>
      <c r="R40" s="155">
        <v>45362</v>
      </c>
      <c r="S40" s="155">
        <v>0</v>
      </c>
      <c r="T40" s="155">
        <v>2761</v>
      </c>
      <c r="U40" s="155">
        <v>3991</v>
      </c>
      <c r="V40" s="155">
        <v>38610</v>
      </c>
      <c r="W40" s="155">
        <v>300</v>
      </c>
      <c r="X40" s="155">
        <v>300</v>
      </c>
      <c r="Y40" s="155">
        <v>0</v>
      </c>
      <c r="Z40" s="155">
        <v>0</v>
      </c>
      <c r="AA40" s="155">
        <v>0</v>
      </c>
    </row>
    <row r="41" spans="1:27">
      <c r="A41" s="320"/>
      <c r="B41" s="174" t="s">
        <v>95</v>
      </c>
      <c r="C41" s="155">
        <v>2325572.67</v>
      </c>
      <c r="D41" s="155">
        <v>0</v>
      </c>
      <c r="E41" s="155">
        <v>1597217</v>
      </c>
      <c r="F41" s="155">
        <v>297130</v>
      </c>
      <c r="G41" s="155">
        <v>426225.67</v>
      </c>
      <c r="H41" s="155">
        <v>0</v>
      </c>
      <c r="I41" s="155">
        <v>0</v>
      </c>
      <c r="J41" s="258">
        <v>0</v>
      </c>
      <c r="K41" s="155">
        <v>0</v>
      </c>
      <c r="L41" s="258">
        <v>0</v>
      </c>
      <c r="M41" s="155">
        <v>0</v>
      </c>
      <c r="N41" s="155">
        <v>0</v>
      </c>
      <c r="O41" s="155">
        <v>0</v>
      </c>
      <c r="P41" s="155">
        <v>0</v>
      </c>
      <c r="Q41" s="155">
        <v>0</v>
      </c>
      <c r="R41" s="155">
        <v>0</v>
      </c>
      <c r="S41" s="155">
        <v>0</v>
      </c>
      <c r="T41" s="155">
        <v>0</v>
      </c>
      <c r="U41" s="155">
        <v>0</v>
      </c>
      <c r="V41" s="155">
        <v>0</v>
      </c>
      <c r="W41" s="155">
        <v>5000</v>
      </c>
      <c r="X41" s="155">
        <v>5000</v>
      </c>
      <c r="Y41" s="155">
        <v>0</v>
      </c>
      <c r="Z41" s="155">
        <v>0</v>
      </c>
      <c r="AA41" s="155">
        <v>0</v>
      </c>
    </row>
    <row r="42" spans="1:27">
      <c r="A42" s="320"/>
      <c r="B42" s="174" t="s">
        <v>97</v>
      </c>
      <c r="C42" s="155">
        <v>412948.14</v>
      </c>
      <c r="D42" s="155">
        <v>0</v>
      </c>
      <c r="E42" s="155">
        <v>279465.82999999996</v>
      </c>
      <c r="F42" s="155">
        <v>0</v>
      </c>
      <c r="G42" s="155">
        <v>0</v>
      </c>
      <c r="H42" s="155">
        <v>0</v>
      </c>
      <c r="I42" s="155">
        <v>0</v>
      </c>
      <c r="J42" s="258">
        <v>0</v>
      </c>
      <c r="K42" s="155">
        <v>0</v>
      </c>
      <c r="L42" s="258">
        <v>0</v>
      </c>
      <c r="M42" s="155">
        <v>0</v>
      </c>
      <c r="N42" s="155">
        <v>0</v>
      </c>
      <c r="O42" s="155">
        <v>0</v>
      </c>
      <c r="P42" s="155">
        <v>0</v>
      </c>
      <c r="Q42" s="155">
        <v>28301.89</v>
      </c>
      <c r="R42" s="155">
        <v>105180.41999999998</v>
      </c>
      <c r="S42" s="155">
        <v>0</v>
      </c>
      <c r="T42" s="155">
        <v>67169.799999999988</v>
      </c>
      <c r="U42" s="155">
        <v>38010.620000000003</v>
      </c>
      <c r="V42" s="155">
        <v>0</v>
      </c>
      <c r="W42" s="155">
        <v>0</v>
      </c>
      <c r="X42" s="155">
        <v>0</v>
      </c>
      <c r="Y42" s="155">
        <v>0</v>
      </c>
      <c r="Z42" s="155">
        <v>0</v>
      </c>
      <c r="AA42" s="155">
        <v>0</v>
      </c>
    </row>
    <row r="43" spans="1:27">
      <c r="A43" s="320"/>
      <c r="B43" s="174" t="s">
        <v>98</v>
      </c>
      <c r="C43" s="155">
        <v>350</v>
      </c>
      <c r="D43" s="155">
        <v>0</v>
      </c>
      <c r="E43" s="155">
        <v>0</v>
      </c>
      <c r="F43" s="155">
        <v>-1050</v>
      </c>
      <c r="G43" s="155">
        <v>0</v>
      </c>
      <c r="H43" s="155">
        <v>1400</v>
      </c>
      <c r="I43" s="155">
        <v>1400</v>
      </c>
      <c r="J43" s="258">
        <v>0</v>
      </c>
      <c r="K43" s="155">
        <v>0</v>
      </c>
      <c r="L43" s="258">
        <v>0</v>
      </c>
      <c r="M43" s="155">
        <v>0</v>
      </c>
      <c r="N43" s="155">
        <v>0</v>
      </c>
      <c r="O43" s="155">
        <v>0</v>
      </c>
      <c r="P43" s="155">
        <v>0</v>
      </c>
      <c r="Q43" s="155">
        <v>0</v>
      </c>
      <c r="R43" s="155">
        <v>0</v>
      </c>
      <c r="S43" s="155">
        <v>0</v>
      </c>
      <c r="T43" s="155">
        <v>0</v>
      </c>
      <c r="U43" s="155">
        <v>0</v>
      </c>
      <c r="V43" s="155">
        <v>0</v>
      </c>
      <c r="W43" s="155">
        <v>0</v>
      </c>
      <c r="X43" s="155">
        <v>0</v>
      </c>
      <c r="Y43" s="155">
        <v>0</v>
      </c>
      <c r="Z43" s="155">
        <v>0</v>
      </c>
      <c r="AA43" s="155">
        <v>0</v>
      </c>
    </row>
    <row r="44" spans="1:27">
      <c r="A44" s="320"/>
      <c r="B44" s="174" t="s">
        <v>101</v>
      </c>
      <c r="C44" s="155">
        <v>11827669.299999999</v>
      </c>
      <c r="D44" s="155">
        <v>0</v>
      </c>
      <c r="E44" s="155">
        <v>2128224.0099999998</v>
      </c>
      <c r="F44" s="155">
        <v>8537044.4899999984</v>
      </c>
      <c r="G44" s="155">
        <v>42871.17</v>
      </c>
      <c r="H44" s="155">
        <v>903148.13</v>
      </c>
      <c r="I44" s="155">
        <v>65344.930000000008</v>
      </c>
      <c r="J44" s="258">
        <v>152510.21</v>
      </c>
      <c r="K44" s="155">
        <v>209485.58</v>
      </c>
      <c r="L44" s="258">
        <v>0</v>
      </c>
      <c r="M44" s="155">
        <v>180893.62</v>
      </c>
      <c r="N44" s="160">
        <v>0</v>
      </c>
      <c r="O44" s="155">
        <v>2500</v>
      </c>
      <c r="P44" s="155">
        <v>292413.79000000004</v>
      </c>
      <c r="Q44" s="155">
        <v>0</v>
      </c>
      <c r="R44" s="155">
        <v>0</v>
      </c>
      <c r="S44" s="155">
        <v>0</v>
      </c>
      <c r="T44" s="155">
        <v>0</v>
      </c>
      <c r="U44" s="155">
        <v>0</v>
      </c>
      <c r="V44" s="155">
        <v>0</v>
      </c>
      <c r="W44" s="155">
        <v>0</v>
      </c>
      <c r="X44" s="155">
        <v>0</v>
      </c>
      <c r="Y44" s="155">
        <v>0</v>
      </c>
      <c r="Z44" s="155">
        <v>212381.50000000003</v>
      </c>
      <c r="AA44" s="155">
        <v>4000</v>
      </c>
    </row>
    <row r="45" spans="1:27">
      <c r="A45" s="320"/>
      <c r="B45" s="174" t="s">
        <v>102</v>
      </c>
      <c r="C45" s="177">
        <v>3072292.34</v>
      </c>
      <c r="D45" s="177">
        <v>0</v>
      </c>
      <c r="E45" s="177">
        <v>1054187.58</v>
      </c>
      <c r="F45" s="177">
        <v>1631097.23</v>
      </c>
      <c r="G45" s="177">
        <v>9893.2000000000007</v>
      </c>
      <c r="H45" s="177">
        <v>333521.74</v>
      </c>
      <c r="I45" s="177">
        <v>76360</v>
      </c>
      <c r="J45" s="260">
        <v>0</v>
      </c>
      <c r="K45" s="177">
        <v>2303.4</v>
      </c>
      <c r="L45" s="260">
        <v>0</v>
      </c>
      <c r="M45" s="177">
        <v>112020.37</v>
      </c>
      <c r="N45" s="177">
        <v>0</v>
      </c>
      <c r="O45" s="177">
        <v>0</v>
      </c>
      <c r="P45" s="177">
        <v>142837.97</v>
      </c>
      <c r="Q45" s="177">
        <v>2933.9700000000003</v>
      </c>
      <c r="R45" s="177">
        <v>1600</v>
      </c>
      <c r="S45" s="177">
        <v>0</v>
      </c>
      <c r="T45" s="177">
        <v>1600</v>
      </c>
      <c r="U45" s="177">
        <v>0</v>
      </c>
      <c r="V45" s="177">
        <v>0</v>
      </c>
      <c r="W45" s="177">
        <v>2880</v>
      </c>
      <c r="X45" s="177">
        <v>2880</v>
      </c>
      <c r="Y45" s="177">
        <v>0</v>
      </c>
      <c r="Z45" s="177">
        <v>36178.619999999995</v>
      </c>
      <c r="AA45" s="177">
        <v>0</v>
      </c>
    </row>
    <row r="46" spans="1:27" ht="13.5" customHeight="1">
      <c r="A46" s="320"/>
      <c r="B46" s="174" t="s">
        <v>103</v>
      </c>
      <c r="C46" s="155">
        <v>33050375.499999996</v>
      </c>
      <c r="D46" s="155">
        <v>0</v>
      </c>
      <c r="E46" s="155">
        <v>3760969.15</v>
      </c>
      <c r="F46" s="155">
        <v>23715051.380000003</v>
      </c>
      <c r="G46" s="155">
        <v>298453.03999999998</v>
      </c>
      <c r="H46" s="155">
        <v>3476582.5599999996</v>
      </c>
      <c r="I46" s="155">
        <v>384393.67</v>
      </c>
      <c r="J46" s="258">
        <v>0</v>
      </c>
      <c r="K46" s="155">
        <v>384388.67</v>
      </c>
      <c r="L46" s="258">
        <v>0</v>
      </c>
      <c r="M46" s="155">
        <v>374972.47</v>
      </c>
      <c r="N46" s="155">
        <v>0</v>
      </c>
      <c r="O46" s="155">
        <v>1959396.6600000001</v>
      </c>
      <c r="P46" s="155">
        <v>373431.08999999997</v>
      </c>
      <c r="Q46" s="155">
        <v>0</v>
      </c>
      <c r="R46" s="155">
        <v>690585.16000000015</v>
      </c>
      <c r="S46" s="155">
        <v>0</v>
      </c>
      <c r="T46" s="155">
        <v>248732.47000000003</v>
      </c>
      <c r="U46" s="155">
        <v>250867.88000000003</v>
      </c>
      <c r="V46" s="155">
        <v>190984.81000000003</v>
      </c>
      <c r="W46" s="155">
        <v>574062.28</v>
      </c>
      <c r="X46" s="155">
        <v>574062.28</v>
      </c>
      <c r="Y46" s="155">
        <v>0</v>
      </c>
      <c r="Z46" s="155">
        <v>534671.93000000005</v>
      </c>
      <c r="AA46" s="155">
        <v>0</v>
      </c>
    </row>
    <row r="47" spans="1:27">
      <c r="A47" s="320"/>
      <c r="B47" s="174" t="s">
        <v>104</v>
      </c>
      <c r="C47" s="155">
        <v>15905775.009999998</v>
      </c>
      <c r="D47" s="155">
        <v>0</v>
      </c>
      <c r="E47" s="155">
        <v>12303173.26</v>
      </c>
      <c r="F47" s="155">
        <v>2643615.6699999995</v>
      </c>
      <c r="G47" s="155">
        <v>0</v>
      </c>
      <c r="H47" s="155">
        <v>714301.45</v>
      </c>
      <c r="I47" s="155">
        <v>0</v>
      </c>
      <c r="J47" s="258">
        <v>0</v>
      </c>
      <c r="K47" s="155">
        <v>0</v>
      </c>
      <c r="L47" s="258">
        <v>0</v>
      </c>
      <c r="M47" s="155">
        <v>0</v>
      </c>
      <c r="N47" s="155">
        <v>0</v>
      </c>
      <c r="O47" s="155">
        <v>714301.45</v>
      </c>
      <c r="P47" s="155">
        <v>0</v>
      </c>
      <c r="Q47" s="155">
        <v>0</v>
      </c>
      <c r="R47" s="155">
        <v>0</v>
      </c>
      <c r="S47" s="155">
        <v>0</v>
      </c>
      <c r="T47" s="155">
        <v>0</v>
      </c>
      <c r="U47" s="155">
        <v>0</v>
      </c>
      <c r="V47" s="155">
        <v>0</v>
      </c>
      <c r="W47" s="155">
        <v>133776.21000000002</v>
      </c>
      <c r="X47" s="155">
        <v>128057.25000000001</v>
      </c>
      <c r="Y47" s="155">
        <v>5718.96</v>
      </c>
      <c r="Z47" s="155">
        <v>110122.9</v>
      </c>
      <c r="AA47" s="155">
        <v>785.52</v>
      </c>
    </row>
    <row r="48" spans="1:27">
      <c r="A48" s="320"/>
      <c r="B48" s="174" t="s">
        <v>105</v>
      </c>
      <c r="C48" s="155">
        <v>5131239.879999999</v>
      </c>
      <c r="D48" s="155">
        <v>0</v>
      </c>
      <c r="E48" s="155">
        <v>4396160.6399999997</v>
      </c>
      <c r="F48" s="155">
        <v>190000.23</v>
      </c>
      <c r="G48" s="155">
        <v>0</v>
      </c>
      <c r="H48" s="155">
        <v>8037.2</v>
      </c>
      <c r="I48" s="155">
        <v>8037.2</v>
      </c>
      <c r="J48" s="258">
        <v>0</v>
      </c>
      <c r="K48" s="155">
        <v>0</v>
      </c>
      <c r="L48" s="258">
        <v>0</v>
      </c>
      <c r="M48" s="155">
        <v>0</v>
      </c>
      <c r="N48" s="155">
        <v>0</v>
      </c>
      <c r="O48" s="155">
        <v>0</v>
      </c>
      <c r="P48" s="155">
        <v>0</v>
      </c>
      <c r="Q48" s="155">
        <v>0</v>
      </c>
      <c r="R48" s="155">
        <v>0</v>
      </c>
      <c r="S48" s="155">
        <v>0</v>
      </c>
      <c r="T48" s="155">
        <v>0</v>
      </c>
      <c r="U48" s="155">
        <v>0</v>
      </c>
      <c r="V48" s="155">
        <v>0</v>
      </c>
      <c r="W48" s="155">
        <v>0</v>
      </c>
      <c r="X48" s="155">
        <v>0</v>
      </c>
      <c r="Y48" s="155">
        <v>0</v>
      </c>
      <c r="Z48" s="155">
        <v>537041.80999999994</v>
      </c>
      <c r="AA48" s="155">
        <v>0</v>
      </c>
    </row>
    <row r="49" spans="1:27">
      <c r="A49" s="320"/>
      <c r="B49" s="174" t="s">
        <v>106</v>
      </c>
      <c r="C49" s="155">
        <v>7702556.54</v>
      </c>
      <c r="D49" s="155">
        <v>0</v>
      </c>
      <c r="E49" s="155">
        <v>2894925.14</v>
      </c>
      <c r="F49" s="155">
        <v>3930434.96</v>
      </c>
      <c r="G49" s="155">
        <v>50633.1</v>
      </c>
      <c r="H49" s="155">
        <v>211871.33</v>
      </c>
      <c r="I49" s="155">
        <v>46208.909999999989</v>
      </c>
      <c r="J49" s="258">
        <v>0</v>
      </c>
      <c r="K49" s="155">
        <v>41880.869999999995</v>
      </c>
      <c r="L49" s="258">
        <v>0</v>
      </c>
      <c r="M49" s="155">
        <v>40857.06</v>
      </c>
      <c r="N49" s="155">
        <v>0</v>
      </c>
      <c r="O49" s="155">
        <v>41843.659999999996</v>
      </c>
      <c r="P49" s="155">
        <v>41080.83</v>
      </c>
      <c r="Q49" s="155">
        <v>0</v>
      </c>
      <c r="R49" s="155">
        <v>412466.47</v>
      </c>
      <c r="S49" s="155">
        <v>0</v>
      </c>
      <c r="T49" s="155">
        <v>138563.53000000003</v>
      </c>
      <c r="U49" s="155">
        <v>166743.18999999994</v>
      </c>
      <c r="V49" s="155">
        <v>107159.74999999999</v>
      </c>
      <c r="W49" s="155">
        <v>100310.08000000002</v>
      </c>
      <c r="X49" s="155">
        <v>100310.08000000002</v>
      </c>
      <c r="Y49" s="155">
        <v>0</v>
      </c>
      <c r="Z49" s="155">
        <v>99428.229999999981</v>
      </c>
      <c r="AA49" s="155">
        <v>2487.23</v>
      </c>
    </row>
    <row r="50" spans="1:27">
      <c r="A50" s="320"/>
      <c r="B50" s="174" t="s">
        <v>244</v>
      </c>
      <c r="C50" s="155">
        <v>524468.43999999994</v>
      </c>
      <c r="D50" s="155">
        <v>0</v>
      </c>
      <c r="E50" s="155">
        <v>67752.27</v>
      </c>
      <c r="F50" s="155">
        <v>304182.20999999996</v>
      </c>
      <c r="G50" s="155">
        <v>2157.35</v>
      </c>
      <c r="H50" s="155">
        <v>0</v>
      </c>
      <c r="I50" s="155">
        <v>0</v>
      </c>
      <c r="J50" s="258">
        <v>0</v>
      </c>
      <c r="K50" s="155">
        <v>0</v>
      </c>
      <c r="L50" s="258">
        <v>0</v>
      </c>
      <c r="M50" s="155">
        <v>0</v>
      </c>
      <c r="N50" s="155">
        <v>0</v>
      </c>
      <c r="O50" s="155">
        <v>0</v>
      </c>
      <c r="P50" s="155">
        <v>0</v>
      </c>
      <c r="Q50" s="155">
        <v>0</v>
      </c>
      <c r="R50" s="155">
        <v>150376.60999999999</v>
      </c>
      <c r="S50" s="155">
        <v>0</v>
      </c>
      <c r="T50" s="155">
        <v>150376.60999999999</v>
      </c>
      <c r="U50" s="155">
        <v>0</v>
      </c>
      <c r="V50" s="155">
        <v>0</v>
      </c>
      <c r="W50" s="155">
        <v>0</v>
      </c>
      <c r="X50" s="155">
        <v>0</v>
      </c>
      <c r="Y50" s="155">
        <v>0</v>
      </c>
      <c r="Z50" s="155">
        <v>0</v>
      </c>
      <c r="AA50" s="155">
        <v>0</v>
      </c>
    </row>
    <row r="51" spans="1:27">
      <c r="A51" s="321"/>
      <c r="B51" s="175" t="s">
        <v>69</v>
      </c>
      <c r="C51" s="161">
        <v>93972142.320000008</v>
      </c>
      <c r="D51" s="161">
        <v>0</v>
      </c>
      <c r="E51" s="161">
        <v>32710553.530000001</v>
      </c>
      <c r="F51" s="161">
        <v>48369190.579999998</v>
      </c>
      <c r="G51" s="161">
        <v>963874.99</v>
      </c>
      <c r="H51" s="161">
        <v>6341440.3600000003</v>
      </c>
      <c r="I51" s="161">
        <v>777623.55</v>
      </c>
      <c r="J51" s="261">
        <v>165731.60999999999</v>
      </c>
      <c r="K51" s="161">
        <v>756936.16</v>
      </c>
      <c r="L51" s="261">
        <v>0</v>
      </c>
      <c r="M51" s="161">
        <v>814540.47</v>
      </c>
      <c r="N51" s="161">
        <v>0</v>
      </c>
      <c r="O51" s="161">
        <v>2838381.12</v>
      </c>
      <c r="P51" s="161">
        <v>988227.45</v>
      </c>
      <c r="Q51" s="161">
        <v>161151.35999999999</v>
      </c>
      <c r="R51" s="161">
        <v>2809471.26</v>
      </c>
      <c r="S51" s="161">
        <v>0</v>
      </c>
      <c r="T51" s="161">
        <v>1881077.58</v>
      </c>
      <c r="U51" s="161">
        <v>531156.26</v>
      </c>
      <c r="V51" s="161">
        <v>397237.42000000004</v>
      </c>
      <c r="W51" s="161">
        <v>920212.41</v>
      </c>
      <c r="X51" s="161">
        <v>907494.02</v>
      </c>
      <c r="Y51" s="161">
        <v>12718.390000000001</v>
      </c>
      <c r="Z51" s="161">
        <v>1688931.08</v>
      </c>
      <c r="AA51" s="161">
        <v>7316.75</v>
      </c>
    </row>
    <row r="52" spans="1:27" ht="14.25" thickBot="1">
      <c r="A52" s="37"/>
      <c r="B52" s="176" t="s">
        <v>248</v>
      </c>
      <c r="C52" s="162">
        <v>752410517.23000002</v>
      </c>
      <c r="D52" s="162">
        <v>41768.44</v>
      </c>
      <c r="E52" s="162">
        <f>E51+E34+E20+E14</f>
        <v>245949404.43999997</v>
      </c>
      <c r="F52" s="162">
        <v>297616106.96000004</v>
      </c>
      <c r="G52" s="162">
        <v>9622686.2800000012</v>
      </c>
      <c r="H52" s="162">
        <v>30649273.450000003</v>
      </c>
      <c r="I52" s="162">
        <v>10077887.970000003</v>
      </c>
      <c r="J52" s="262">
        <v>1023587.6</v>
      </c>
      <c r="K52" s="162">
        <v>4014094.790000001</v>
      </c>
      <c r="L52" s="262">
        <v>0</v>
      </c>
      <c r="M52" s="162">
        <v>4280519.34</v>
      </c>
      <c r="N52" s="162">
        <v>0</v>
      </c>
      <c r="O52" s="162">
        <v>5654507.8799999999</v>
      </c>
      <c r="P52" s="162">
        <v>5598675.8700000001</v>
      </c>
      <c r="Q52" s="162">
        <v>14583152.359999999</v>
      </c>
      <c r="R52" s="162">
        <v>137309080.81999999</v>
      </c>
      <c r="S52" s="162">
        <v>0</v>
      </c>
      <c r="T52" s="162">
        <v>104500883.36</v>
      </c>
      <c r="U52" s="162">
        <v>29222468.040000003</v>
      </c>
      <c r="V52" s="162">
        <v>3585729.419999999</v>
      </c>
      <c r="W52" s="162">
        <v>5449073.9000000004</v>
      </c>
      <c r="X52" s="162">
        <v>4485680.92</v>
      </c>
      <c r="Y52" s="162">
        <v>963392.98</v>
      </c>
      <c r="Z52" s="162">
        <v>11048955.110000001</v>
      </c>
      <c r="AA52" s="162">
        <v>141015.69</v>
      </c>
    </row>
    <row r="53" spans="1:27">
      <c r="A53" s="32"/>
      <c r="B53" s="33"/>
      <c r="C53" s="34"/>
      <c r="D53" s="34"/>
      <c r="E53" s="34">
        <f>E52-累计利润调整表!D17</f>
        <v>0.21999996900558472</v>
      </c>
      <c r="F53" s="34"/>
      <c r="G53" s="34"/>
      <c r="H53" s="34"/>
      <c r="I53" s="40"/>
      <c r="J53" s="40"/>
      <c r="K53" s="40"/>
      <c r="L53" s="40"/>
      <c r="M53" s="40"/>
      <c r="N53" s="40"/>
      <c r="O53" s="40"/>
      <c r="P53" s="40"/>
      <c r="Q53" s="34"/>
      <c r="R53" s="34"/>
      <c r="S53" s="40"/>
      <c r="T53" s="40"/>
      <c r="U53" s="40"/>
      <c r="V53" s="40"/>
      <c r="W53" s="34"/>
      <c r="X53" s="40"/>
      <c r="Y53" s="40"/>
      <c r="Z53" s="34"/>
      <c r="AA53" s="34"/>
    </row>
    <row r="54" spans="1:27" ht="14.25" thickBot="1">
      <c r="B54" s="38" t="s">
        <v>108</v>
      </c>
    </row>
    <row r="55" spans="1:27">
      <c r="A55" s="32" t="s">
        <v>57</v>
      </c>
      <c r="B55" s="33" t="s">
        <v>58</v>
      </c>
      <c r="C55" s="34" t="str">
        <f>累计利润调整表!B3</f>
        <v>合计</v>
      </c>
      <c r="D55" s="34" t="str">
        <f>累计利润调整表!C3</f>
        <v>其他</v>
      </c>
      <c r="E55" s="34" t="str">
        <f>累计利润调整表!D3</f>
        <v>总部中后台</v>
      </c>
      <c r="F55" s="34" t="str">
        <f>累计利润调整表!E3</f>
        <v>经纪业务部</v>
      </c>
      <c r="G55" s="34" t="str">
        <f>累计利润调整表!F3</f>
        <v>资产管理部</v>
      </c>
      <c r="H55" s="34" t="str">
        <f>累计利润调整表!G3</f>
        <v>深分公司合计</v>
      </c>
      <c r="I55" s="40" t="str">
        <f>累计利润调整表!H3</f>
        <v>固定收益部</v>
      </c>
      <c r="J55" s="40" t="str">
        <f>J3</f>
        <v>做市业务部</v>
      </c>
      <c r="K55" s="40" t="str">
        <f>累计利润调整表!J3</f>
        <v>证券投资部</v>
      </c>
      <c r="L55" s="40" t="str">
        <f>L3</f>
        <v>投顾业务部</v>
      </c>
      <c r="M55" s="40" t="str">
        <f>累计利润调整表!L3</f>
        <v>金融衍生品投资部</v>
      </c>
      <c r="N55" s="40" t="str">
        <f>累计利润调整表!M3</f>
        <v>风险管理部</v>
      </c>
      <c r="O55" s="40" t="str">
        <f>累计利润调整表!N3</f>
        <v>深圳管理部</v>
      </c>
      <c r="P55" s="40" t="str">
        <f>累计利润调整表!O3</f>
        <v>金融工程部</v>
      </c>
      <c r="Q55" s="34" t="str">
        <f>累计利润调整表!P3</f>
        <v>中小企业融资部</v>
      </c>
      <c r="R55" s="34" t="str">
        <f>累计利润调整表!Q3</f>
        <v>投资银行合计</v>
      </c>
      <c r="S55" s="40" t="str">
        <f>累计利润调整表!R3</f>
        <v>财务顾问部</v>
      </c>
      <c r="T55" s="40" t="str">
        <f>累计利润调整表!S3</f>
        <v>债券融资部</v>
      </c>
      <c r="U55" s="40" t="str">
        <f>累计利润调整表!T3</f>
        <v>股权融资部</v>
      </c>
      <c r="V55" s="40" t="str">
        <f>累计利润调整表!U3</f>
        <v>投资银行总部</v>
      </c>
      <c r="W55" s="34" t="str">
        <f>累计利润调整表!V3</f>
        <v>浙江分公司小计</v>
      </c>
      <c r="X55" s="40" t="str">
        <f>累计利润调整表!W3</f>
        <v>浙分总部</v>
      </c>
      <c r="Y55" s="40" t="str">
        <f>累计利润调整表!X3</f>
        <v>综合业务部</v>
      </c>
      <c r="Z55" s="34" t="str">
        <f>累计利润调整表!Y3</f>
        <v>网络金融部</v>
      </c>
      <c r="AA55" s="34" t="str">
        <f t="shared" ref="AA55" si="0">AA3</f>
        <v>广东分公司</v>
      </c>
    </row>
    <row r="56" spans="1:27" ht="13.5" customHeight="1">
      <c r="A56" s="322" t="s">
        <v>59</v>
      </c>
      <c r="B56" s="174" t="s">
        <v>60</v>
      </c>
      <c r="C56" s="35">
        <f>SUM(D56:H56)+Q56+R56+W56+Z56+AA56</f>
        <v>0</v>
      </c>
      <c r="D56" s="35">
        <f>SUMIFS(考核调整事项表!$C:$C,考核调整事项表!$G:$G,累计考核费用!$B56,考核调整事项表!$D:$D,累计考核费用!D$3)+SUMIFS(考核调整事项表!$E:$E,考核调整事项表!$G:$G,累计考核费用!$B56,考核调整事项表!$F:$F,累计考核费用!D$3)</f>
        <v>-505822</v>
      </c>
      <c r="E56" s="35">
        <f>SUMIFS(考核调整事项表!$C:$C,考核调整事项表!$G:$G,累计考核费用!$B56,考核调整事项表!$D:$D,累计考核费用!E$3)+SUMIFS(考核调整事项表!$E:$E,考核调整事项表!$G:$G,累计考核费用!$B56,考核调整事项表!$F:$F,累计考核费用!E$3)</f>
        <v>0</v>
      </c>
      <c r="F56" s="35">
        <f>SUMIFS(考核调整事项表!$C:$C,考核调整事项表!$G:$G,累计考核费用!$B56,考核调整事项表!$D:$D,累计考核费用!F$3)+SUMIFS(考核调整事项表!$E:$E,考核调整事项表!$G:$G,累计考核费用!$B56,考核调整事项表!$F:$F,累计考核费用!F$3)</f>
        <v>905822</v>
      </c>
      <c r="G56" s="35">
        <f>SUMIFS(考核调整事项表!$C:$C,考核调整事项表!$G:$G,累计考核费用!$B56,考核调整事项表!$D:$D,累计考核费用!G$3)+SUMIFS(考核调整事项表!$E:$E,考核调整事项表!$G:$G,累计考核费用!$B56,考核调整事项表!$F:$F,累计考核费用!G$3)</f>
        <v>0</v>
      </c>
      <c r="H56" s="35">
        <f>SUM(I56:P56)</f>
        <v>0</v>
      </c>
      <c r="I56" s="35">
        <f>SUMIFS(考核调整事项表!$C:$C,考核调整事项表!$G:$G,累计考核费用!$B56,考核调整事项表!$D:$D,累计考核费用!I$3)+SUMIFS(考核调整事项表!$E:$E,考核调整事项表!$G:$G,累计考核费用!$B56,考核调整事项表!$F:$F,累计考核费用!I$3)</f>
        <v>0</v>
      </c>
      <c r="J56" s="35">
        <f>SUMIFS(考核调整事项表!$C:$C,考核调整事项表!$G:$G,累计考核费用!$B56,考核调整事项表!$D:$D,累计考核费用!J$3)+SUMIFS(考核调整事项表!$E:$E,考核调整事项表!$G:$G,累计考核费用!$B56,考核调整事项表!$F:$F,累计考核费用!J$3)</f>
        <v>0</v>
      </c>
      <c r="K56" s="35">
        <f>SUMIFS(考核调整事项表!$C:$C,考核调整事项表!$G:$G,累计考核费用!$B56,考核调整事项表!$D:$D,累计考核费用!K$3)+SUMIFS(考核调整事项表!$E:$E,考核调整事项表!$G:$G,累计考核费用!$B56,考核调整事项表!$F:$F,累计考核费用!K$3)</f>
        <v>0</v>
      </c>
      <c r="L56" s="35">
        <f>SUMIFS(考核调整事项表!$C:$C,考核调整事项表!$G:$G,累计考核费用!$B56,考核调整事项表!$D:$D,累计考核费用!L$3)+SUMIFS(考核调整事项表!$E:$E,考核调整事项表!$G:$G,累计考核费用!$B56,考核调整事项表!$F:$F,累计考核费用!L$3)</f>
        <v>0</v>
      </c>
      <c r="M56" s="35">
        <f>SUMIFS(考核调整事项表!$C:$C,考核调整事项表!$G:$G,累计考核费用!$B56,考核调整事项表!$D:$D,累计考核费用!M$3)+SUMIFS(考核调整事项表!$E:$E,考核调整事项表!$G:$G,累计考核费用!$B56,考核调整事项表!$F:$F,累计考核费用!M$3)</f>
        <v>0</v>
      </c>
      <c r="N56" s="35">
        <f>SUMIFS(考核调整事项表!$C:$C,考核调整事项表!$G:$G,累计考核费用!$B56,考核调整事项表!$D:$D,累计考核费用!N$3)+SUMIFS(考核调整事项表!$E:$E,考核调整事项表!$G:$G,累计考核费用!$B56,考核调整事项表!$F:$F,累计考核费用!N$3)</f>
        <v>0</v>
      </c>
      <c r="O56" s="35">
        <f>SUMIFS(考核调整事项表!$C:$C,考核调整事项表!$G:$G,累计考核费用!$B56,考核调整事项表!$D:$D,累计考核费用!O$3)+SUMIFS(考核调整事项表!$E:$E,考核调整事项表!$G:$G,累计考核费用!$B56,考核调整事项表!$F:$F,累计考核费用!O$3)</f>
        <v>0</v>
      </c>
      <c r="P56" s="35">
        <f>SUMIFS(考核调整事项表!$C:$C,考核调整事项表!$G:$G,累计考核费用!$B56,考核调整事项表!$D:$D,累计考核费用!P$3)+SUMIFS(考核调整事项表!$E:$E,考核调整事项表!$G:$G,累计考核费用!$B56,考核调整事项表!$F:$F,累计考核费用!P$3)</f>
        <v>0</v>
      </c>
      <c r="Q56" s="35">
        <f>SUMIFS(考核调整事项表!$C:$C,考核调整事项表!$G:$G,累计考核费用!$B56,考核调整事项表!$D:$D,累计考核费用!Q$3)+SUMIFS(考核调整事项表!$E:$E,考核调整事项表!$G:$G,累计考核费用!$B56,考核调整事项表!$F:$F,累计考核费用!Q$3)</f>
        <v>0</v>
      </c>
      <c r="R56" s="41">
        <f>SUM(S56:V56)</f>
        <v>0</v>
      </c>
      <c r="S56" s="35">
        <f>SUMIFS(考核调整事项表!$C:$C,考核调整事项表!$G:$G,累计考核费用!$B56,考核调整事项表!$D:$D,累计考核费用!S$3)+SUMIFS(考核调整事项表!$E:$E,考核调整事项表!$G:$G,累计考核费用!$B56,考核调整事项表!$F:$F,累计考核费用!S$3)</f>
        <v>0</v>
      </c>
      <c r="T56" s="35">
        <f>SUMIFS(考核调整事项表!$C:$C,考核调整事项表!$G:$G,累计考核费用!$B56,考核调整事项表!$D:$D,累计考核费用!T$3)+SUMIFS(考核调整事项表!$E:$E,考核调整事项表!$G:$G,累计考核费用!$B56,考核调整事项表!$F:$F,累计考核费用!T$3)</f>
        <v>0</v>
      </c>
      <c r="U56" s="35">
        <f>SUMIFS(考核调整事项表!$C:$C,考核调整事项表!$G:$G,累计考核费用!$B56,考核调整事项表!$D:$D,累计考核费用!U$3)+SUMIFS(考核调整事项表!$E:$E,考核调整事项表!$G:$G,累计考核费用!$B56,考核调整事项表!$F:$F,累计考核费用!U$3)</f>
        <v>0</v>
      </c>
      <c r="V56" s="35">
        <f>SUMIFS(考核调整事项表!$C:$C,考核调整事项表!$G:$G,累计考核费用!$B56,考核调整事项表!$D:$D,累计考核费用!V$3)+SUMIFS(考核调整事项表!$E:$E,考核调整事项表!$G:$G,累计考核费用!$B56,考核调整事项表!$F:$F,累计考核费用!V$3)</f>
        <v>0</v>
      </c>
      <c r="W56" s="35">
        <f>SUM(X56:Y56)</f>
        <v>-400000</v>
      </c>
      <c r="X56" s="35">
        <f>SUMIFS(考核调整事项表!$C:$C,考核调整事项表!$G:$G,累计考核费用!$B56,考核调整事项表!$D:$D,累计考核费用!X$3)+SUMIFS(考核调整事项表!$E:$E,考核调整事项表!$G:$G,累计考核费用!$B56,考核调整事项表!$F:$F,累计考核费用!X$3)</f>
        <v>-400000</v>
      </c>
      <c r="Y56" s="35">
        <f>SUMIFS(考核调整事项表!$C:$C,考核调整事项表!$G:$G,累计考核费用!$B56,考核调整事项表!$D:$D,累计考核费用!Y$3)+SUMIFS(考核调整事项表!$E:$E,考核调整事项表!$G:$G,累计考核费用!$B56,考核调整事项表!$F:$F,累计考核费用!Y$3)</f>
        <v>0</v>
      </c>
      <c r="Z56" s="35">
        <f>SUMIFS(考核调整事项表!$C:$C,考核调整事项表!$G:$G,累计考核费用!$B56,考核调整事项表!$D:$D,累计考核费用!Z$3)+SUMIFS(考核调整事项表!$E:$E,考核调整事项表!$G:$G,累计考核费用!$B56,考核调整事项表!$F:$F,累计考核费用!Z$3)</f>
        <v>0</v>
      </c>
      <c r="AA56" s="35">
        <f>SUMIFS(考核调整事项表!$C:$C,考核调整事项表!$G:$G,累计考核费用!$B56,考核调整事项表!$D:$D,累计考核费用!AA$3)+SUMIFS(考核调整事项表!$E:$E,考核调整事项表!$G:$G,累计考核费用!$B56,考核调整事项表!$F:$F,累计考核费用!AA$3)</f>
        <v>0</v>
      </c>
    </row>
    <row r="57" spans="1:27">
      <c r="A57" s="323"/>
      <c r="B57" s="174" t="s">
        <v>61</v>
      </c>
      <c r="C57" s="35">
        <f t="shared" ref="C57:C102" si="1">SUM(D57:H57)+Q57+R57+W57+Z57+AA57</f>
        <v>0</v>
      </c>
      <c r="D57" s="35">
        <f>SUMIFS(考核调整事项表!$C:$C,考核调整事项表!$G:$G,累计考核费用!$B57,考核调整事项表!$D:$D,累计考核费用!D$3)+SUMIFS(考核调整事项表!$E:$E,考核调整事项表!$G:$G,累计考核费用!$B57,考核调整事项表!$F:$F,累计考核费用!D$3)</f>
        <v>0</v>
      </c>
      <c r="E57" s="35">
        <f>SUMIFS(考核调整事项表!$C:$C,考核调整事项表!$G:$G,累计考核费用!$B57,考核调整事项表!$D:$D,累计考核费用!E$3)+SUMIFS(考核调整事项表!$E:$E,考核调整事项表!$G:$G,累计考核费用!$B57,考核调整事项表!$F:$F,累计考核费用!E$3)</f>
        <v>0</v>
      </c>
      <c r="F57" s="35">
        <f>SUMIFS(考核调整事项表!$C:$C,考核调整事项表!$G:$G,累计考核费用!$B57,考核调整事项表!$D:$D,累计考核费用!F$3)+SUMIFS(考核调整事项表!$E:$E,考核调整事项表!$G:$G,累计考核费用!$B57,考核调整事项表!$F:$F,累计考核费用!F$3)</f>
        <v>0</v>
      </c>
      <c r="G57" s="35">
        <f>SUMIFS(考核调整事项表!$C:$C,考核调整事项表!$G:$G,累计考核费用!$B57,考核调整事项表!$D:$D,累计考核费用!G$3)+SUMIFS(考核调整事项表!$E:$E,考核调整事项表!$G:$G,累计考核费用!$B57,考核调整事项表!$F:$F,累计考核费用!G$3)</f>
        <v>0</v>
      </c>
      <c r="H57" s="35">
        <f t="shared" ref="H57:H62" si="2">SUM(I57:P57)</f>
        <v>0</v>
      </c>
      <c r="I57" s="35">
        <f>SUMIFS(考核调整事项表!$C:$C,考核调整事项表!$G:$G,累计考核费用!$B57,考核调整事项表!$D:$D,累计考核费用!I$3)+SUMIFS(考核调整事项表!$E:$E,考核调整事项表!$G:$G,累计考核费用!$B57,考核调整事项表!$F:$F,累计考核费用!I$3)</f>
        <v>0</v>
      </c>
      <c r="J57" s="35">
        <f>SUMIFS(考核调整事项表!$C:$C,考核调整事项表!$G:$G,累计考核费用!$B57,考核调整事项表!$D:$D,累计考核费用!J$3)+SUMIFS(考核调整事项表!$E:$E,考核调整事项表!$G:$G,累计考核费用!$B57,考核调整事项表!$F:$F,累计考核费用!J$3)</f>
        <v>0</v>
      </c>
      <c r="K57" s="35">
        <f>SUMIFS(考核调整事项表!$C:$C,考核调整事项表!$G:$G,累计考核费用!$B57,考核调整事项表!$D:$D,累计考核费用!K$3)+SUMIFS(考核调整事项表!$E:$E,考核调整事项表!$G:$G,累计考核费用!$B57,考核调整事项表!$F:$F,累计考核费用!K$3)</f>
        <v>0</v>
      </c>
      <c r="L57" s="35">
        <f>SUMIFS(考核调整事项表!$C:$C,考核调整事项表!$G:$G,累计考核费用!$B57,考核调整事项表!$D:$D,累计考核费用!L$3)+SUMIFS(考核调整事项表!$E:$E,考核调整事项表!$G:$G,累计考核费用!$B57,考核调整事项表!$F:$F,累计考核费用!L$3)</f>
        <v>0</v>
      </c>
      <c r="M57" s="35">
        <f>SUMIFS(考核调整事项表!$C:$C,考核调整事项表!$G:$G,累计考核费用!$B57,考核调整事项表!$D:$D,累计考核费用!M$3)+SUMIFS(考核调整事项表!$E:$E,考核调整事项表!$G:$G,累计考核费用!$B57,考核调整事项表!$F:$F,累计考核费用!M$3)</f>
        <v>0</v>
      </c>
      <c r="N57" s="35">
        <f>SUMIFS(考核调整事项表!$C:$C,考核调整事项表!$G:$G,累计考核费用!$B57,考核调整事项表!$D:$D,累计考核费用!N$3)+SUMIFS(考核调整事项表!$E:$E,考核调整事项表!$G:$G,累计考核费用!$B57,考核调整事项表!$F:$F,累计考核费用!N$3)</f>
        <v>0</v>
      </c>
      <c r="O57" s="35">
        <f>SUMIFS(考核调整事项表!$C:$C,考核调整事项表!$G:$G,累计考核费用!$B57,考核调整事项表!$D:$D,累计考核费用!O$3)+SUMIFS(考核调整事项表!$E:$E,考核调整事项表!$G:$G,累计考核费用!$B57,考核调整事项表!$F:$F,累计考核费用!O$3)</f>
        <v>0</v>
      </c>
      <c r="P57" s="35">
        <f>SUMIFS(考核调整事项表!$C:$C,考核调整事项表!$G:$G,累计考核费用!$B57,考核调整事项表!$D:$D,累计考核费用!P$3)+SUMIFS(考核调整事项表!$E:$E,考核调整事项表!$G:$G,累计考核费用!$B57,考核调整事项表!$F:$F,累计考核费用!P$3)</f>
        <v>0</v>
      </c>
      <c r="Q57" s="35">
        <f>SUMIFS(考核调整事项表!$C:$C,考核调整事项表!$G:$G,累计考核费用!$B57,考核调整事项表!$D:$D,累计考核费用!Q$3)+SUMIFS(考核调整事项表!$E:$E,考核调整事项表!$G:$G,累计考核费用!$B57,考核调整事项表!$F:$F,累计考核费用!Q$3)</f>
        <v>0</v>
      </c>
      <c r="R57" s="41">
        <f t="shared" ref="R57:R62" si="3">SUM(S57:V57)</f>
        <v>0</v>
      </c>
      <c r="S57" s="35">
        <f>SUMIFS(考核调整事项表!$C:$C,考核调整事项表!$G:$G,累计考核费用!$B57,考核调整事项表!$D:$D,累计考核费用!S$3)+SUMIFS(考核调整事项表!$E:$E,考核调整事项表!$G:$G,累计考核费用!$B57,考核调整事项表!$F:$F,累计考核费用!S$3)</f>
        <v>0</v>
      </c>
      <c r="T57" s="35">
        <f>SUMIFS(考核调整事项表!$C:$C,考核调整事项表!$G:$G,累计考核费用!$B57,考核调整事项表!$D:$D,累计考核费用!T$3)+SUMIFS(考核调整事项表!$E:$E,考核调整事项表!$G:$G,累计考核费用!$B57,考核调整事项表!$F:$F,累计考核费用!T$3)</f>
        <v>0</v>
      </c>
      <c r="U57" s="35">
        <f>SUMIFS(考核调整事项表!$C:$C,考核调整事项表!$G:$G,累计考核费用!$B57,考核调整事项表!$D:$D,累计考核费用!U$3)+SUMIFS(考核调整事项表!$E:$E,考核调整事项表!$G:$G,累计考核费用!$B57,考核调整事项表!$F:$F,累计考核费用!U$3)</f>
        <v>0</v>
      </c>
      <c r="V57" s="35">
        <f>SUMIFS(考核调整事项表!$C:$C,考核调整事项表!$G:$G,累计考核费用!$B57,考核调整事项表!$D:$D,累计考核费用!V$3)+SUMIFS(考核调整事项表!$E:$E,考核调整事项表!$G:$G,累计考核费用!$B57,考核调整事项表!$F:$F,累计考核费用!V$3)</f>
        <v>0</v>
      </c>
      <c r="W57" s="35">
        <f t="shared" ref="W57:W65" si="4">SUM(X57:Y57)</f>
        <v>0</v>
      </c>
      <c r="X57" s="35">
        <f>SUMIFS(考核调整事项表!$C:$C,考核调整事项表!$G:$G,累计考核费用!$B57,考核调整事项表!$D:$D,累计考核费用!X$3)+SUMIFS(考核调整事项表!$E:$E,考核调整事项表!$G:$G,累计考核费用!$B57,考核调整事项表!$F:$F,累计考核费用!X$3)</f>
        <v>0</v>
      </c>
      <c r="Y57" s="35">
        <f>SUMIFS(考核调整事项表!$C:$C,考核调整事项表!$G:$G,累计考核费用!$B57,考核调整事项表!$D:$D,累计考核费用!Y$3)+SUMIFS(考核调整事项表!$E:$E,考核调整事项表!$G:$G,累计考核费用!$B57,考核调整事项表!$F:$F,累计考核费用!Y$3)</f>
        <v>0</v>
      </c>
      <c r="Z57" s="35">
        <f>SUMIFS(考核调整事项表!$C:$C,考核调整事项表!$G:$G,累计考核费用!$B57,考核调整事项表!$D:$D,累计考核费用!Z$3)+SUMIFS(考核调整事项表!$E:$E,考核调整事项表!$G:$G,累计考核费用!$B57,考核调整事项表!$F:$F,累计考核费用!Z$3)</f>
        <v>0</v>
      </c>
      <c r="AA57" s="35">
        <f>SUMIFS(考核调整事项表!$C:$C,考核调整事项表!$G:$G,累计考核费用!$B57,考核调整事项表!$D:$D,累计考核费用!AA$3)+SUMIFS(考核调整事项表!$E:$E,考核调整事项表!$G:$G,累计考核费用!$B57,考核调整事项表!$F:$F,累计考核费用!AA$3)</f>
        <v>0</v>
      </c>
    </row>
    <row r="58" spans="1:27">
      <c r="A58" s="323"/>
      <c r="B58" s="174" t="s">
        <v>62</v>
      </c>
      <c r="C58" s="35">
        <f t="shared" si="1"/>
        <v>0</v>
      </c>
      <c r="D58" s="35">
        <f>SUMIFS(考核调整事项表!$C:$C,考核调整事项表!$G:$G,累计考核费用!$B58,考核调整事项表!$D:$D,累计考核费用!D$3)+SUMIFS(考核调整事项表!$E:$E,考核调整事项表!$G:$G,累计考核费用!$B58,考核调整事项表!$F:$F,累计考核费用!D$3)</f>
        <v>0</v>
      </c>
      <c r="E58" s="35">
        <f>SUMIFS(考核调整事项表!$C:$C,考核调整事项表!$G:$G,累计考核费用!$B58,考核调整事项表!$D:$D,累计考核费用!E$3)+SUMIFS(考核调整事项表!$E:$E,考核调整事项表!$G:$G,累计考核费用!$B58,考核调整事项表!$F:$F,累计考核费用!E$3)</f>
        <v>0</v>
      </c>
      <c r="F58" s="35">
        <f>SUMIFS(考核调整事项表!$C:$C,考核调整事项表!$G:$G,累计考核费用!$B58,考核调整事项表!$D:$D,累计考核费用!F$3)+SUMIFS(考核调整事项表!$E:$E,考核调整事项表!$G:$G,累计考核费用!$B58,考核调整事项表!$F:$F,累计考核费用!F$3)</f>
        <v>0</v>
      </c>
      <c r="G58" s="35">
        <f>SUMIFS(考核调整事项表!$C:$C,考核调整事项表!$G:$G,累计考核费用!$B58,考核调整事项表!$D:$D,累计考核费用!G$3)+SUMIFS(考核调整事项表!$E:$E,考核调整事项表!$G:$G,累计考核费用!$B58,考核调整事项表!$F:$F,累计考核费用!G$3)</f>
        <v>0</v>
      </c>
      <c r="H58" s="35">
        <f t="shared" si="2"/>
        <v>0</v>
      </c>
      <c r="I58" s="35">
        <f>SUMIFS(考核调整事项表!$C:$C,考核调整事项表!$G:$G,累计考核费用!$B58,考核调整事项表!$D:$D,累计考核费用!I$3)+SUMIFS(考核调整事项表!$E:$E,考核调整事项表!$G:$G,累计考核费用!$B58,考核调整事项表!$F:$F,累计考核费用!I$3)</f>
        <v>0</v>
      </c>
      <c r="J58" s="35">
        <f>SUMIFS(考核调整事项表!$C:$C,考核调整事项表!$G:$G,累计考核费用!$B58,考核调整事项表!$D:$D,累计考核费用!J$3)+SUMIFS(考核调整事项表!$E:$E,考核调整事项表!$G:$G,累计考核费用!$B58,考核调整事项表!$F:$F,累计考核费用!J$3)</f>
        <v>0</v>
      </c>
      <c r="K58" s="35">
        <f>SUMIFS(考核调整事项表!$C:$C,考核调整事项表!$G:$G,累计考核费用!$B58,考核调整事项表!$D:$D,累计考核费用!K$3)+SUMIFS(考核调整事项表!$E:$E,考核调整事项表!$G:$G,累计考核费用!$B58,考核调整事项表!$F:$F,累计考核费用!K$3)</f>
        <v>0</v>
      </c>
      <c r="L58" s="35">
        <f>SUMIFS(考核调整事项表!$C:$C,考核调整事项表!$G:$G,累计考核费用!$B58,考核调整事项表!$D:$D,累计考核费用!L$3)+SUMIFS(考核调整事项表!$E:$E,考核调整事项表!$G:$G,累计考核费用!$B58,考核调整事项表!$F:$F,累计考核费用!L$3)</f>
        <v>0</v>
      </c>
      <c r="M58" s="35">
        <f>SUMIFS(考核调整事项表!$C:$C,考核调整事项表!$G:$G,累计考核费用!$B58,考核调整事项表!$D:$D,累计考核费用!M$3)+SUMIFS(考核调整事项表!$E:$E,考核调整事项表!$G:$G,累计考核费用!$B58,考核调整事项表!$F:$F,累计考核费用!M$3)</f>
        <v>0</v>
      </c>
      <c r="N58" s="35">
        <f>SUMIFS(考核调整事项表!$C:$C,考核调整事项表!$G:$G,累计考核费用!$B58,考核调整事项表!$D:$D,累计考核费用!N$3)+SUMIFS(考核调整事项表!$E:$E,考核调整事项表!$G:$G,累计考核费用!$B58,考核调整事项表!$F:$F,累计考核费用!N$3)</f>
        <v>0</v>
      </c>
      <c r="O58" s="35">
        <f>SUMIFS(考核调整事项表!$C:$C,考核调整事项表!$G:$G,累计考核费用!$B58,考核调整事项表!$D:$D,累计考核费用!O$3)+SUMIFS(考核调整事项表!$E:$E,考核调整事项表!$G:$G,累计考核费用!$B58,考核调整事项表!$F:$F,累计考核费用!O$3)</f>
        <v>0</v>
      </c>
      <c r="P58" s="35">
        <f>SUMIFS(考核调整事项表!$C:$C,考核调整事项表!$G:$G,累计考核费用!$B58,考核调整事项表!$D:$D,累计考核费用!P$3)+SUMIFS(考核调整事项表!$E:$E,考核调整事项表!$G:$G,累计考核费用!$B58,考核调整事项表!$F:$F,累计考核费用!P$3)</f>
        <v>0</v>
      </c>
      <c r="Q58" s="35">
        <f>SUMIFS(考核调整事项表!$C:$C,考核调整事项表!$G:$G,累计考核费用!$B58,考核调整事项表!$D:$D,累计考核费用!Q$3)+SUMIFS(考核调整事项表!$E:$E,考核调整事项表!$G:$G,累计考核费用!$B58,考核调整事项表!$F:$F,累计考核费用!Q$3)</f>
        <v>0</v>
      </c>
      <c r="R58" s="41">
        <f t="shared" si="3"/>
        <v>0</v>
      </c>
      <c r="S58" s="35">
        <f>SUMIFS(考核调整事项表!$C:$C,考核调整事项表!$G:$G,累计考核费用!$B58,考核调整事项表!$D:$D,累计考核费用!S$3)+SUMIFS(考核调整事项表!$E:$E,考核调整事项表!$G:$G,累计考核费用!$B58,考核调整事项表!$F:$F,累计考核费用!S$3)</f>
        <v>0</v>
      </c>
      <c r="T58" s="35">
        <f>SUMIFS(考核调整事项表!$C:$C,考核调整事项表!$G:$G,累计考核费用!$B58,考核调整事项表!$D:$D,累计考核费用!T$3)+SUMIFS(考核调整事项表!$E:$E,考核调整事项表!$G:$G,累计考核费用!$B58,考核调整事项表!$F:$F,累计考核费用!T$3)</f>
        <v>0</v>
      </c>
      <c r="U58" s="35">
        <f>SUMIFS(考核调整事项表!$C:$C,考核调整事项表!$G:$G,累计考核费用!$B58,考核调整事项表!$D:$D,累计考核费用!U$3)+SUMIFS(考核调整事项表!$E:$E,考核调整事项表!$G:$G,累计考核费用!$B58,考核调整事项表!$F:$F,累计考核费用!U$3)</f>
        <v>0</v>
      </c>
      <c r="V58" s="35">
        <f>SUMIFS(考核调整事项表!$C:$C,考核调整事项表!$G:$G,累计考核费用!$B58,考核调整事项表!$D:$D,累计考核费用!V$3)+SUMIFS(考核调整事项表!$E:$E,考核调整事项表!$G:$G,累计考核费用!$B58,考核调整事项表!$F:$F,累计考核费用!V$3)</f>
        <v>0</v>
      </c>
      <c r="W58" s="35">
        <f t="shared" si="4"/>
        <v>0</v>
      </c>
      <c r="X58" s="35">
        <f>SUMIFS(考核调整事项表!$C:$C,考核调整事项表!$G:$G,累计考核费用!$B58,考核调整事项表!$D:$D,累计考核费用!X$3)+SUMIFS(考核调整事项表!$E:$E,考核调整事项表!$G:$G,累计考核费用!$B58,考核调整事项表!$F:$F,累计考核费用!X$3)</f>
        <v>-8000</v>
      </c>
      <c r="Y58" s="35">
        <f>SUMIFS(考核调整事项表!$C:$C,考核调整事项表!$G:$G,累计考核费用!$B58,考核调整事项表!$D:$D,累计考核费用!Y$3)+SUMIFS(考核调整事项表!$E:$E,考核调整事项表!$G:$G,累计考核费用!$B58,考核调整事项表!$F:$F,累计考核费用!Y$3)</f>
        <v>8000</v>
      </c>
      <c r="Z58" s="35">
        <f>SUMIFS(考核调整事项表!$C:$C,考核调整事项表!$G:$G,累计考核费用!$B58,考核调整事项表!$D:$D,累计考核费用!Z$3)+SUMIFS(考核调整事项表!$E:$E,考核调整事项表!$G:$G,累计考核费用!$B58,考核调整事项表!$F:$F,累计考核费用!Z$3)</f>
        <v>0</v>
      </c>
      <c r="AA58" s="35">
        <f>SUMIFS(考核调整事项表!$C:$C,考核调整事项表!$G:$G,累计考核费用!$B58,考核调整事项表!$D:$D,累计考核费用!AA$3)+SUMIFS(考核调整事项表!$E:$E,考核调整事项表!$G:$G,累计考核费用!$B58,考核调整事项表!$F:$F,累计考核费用!AA$3)</f>
        <v>0</v>
      </c>
    </row>
    <row r="59" spans="1:27">
      <c r="A59" s="323"/>
      <c r="B59" s="174" t="s">
        <v>82</v>
      </c>
      <c r="C59" s="35">
        <f t="shared" si="1"/>
        <v>0</v>
      </c>
      <c r="D59" s="35">
        <f>SUMIFS(考核调整事项表!$C:$C,考核调整事项表!$G:$G,累计考核费用!$B59,考核调整事项表!$D:$D,累计考核费用!D$3)+SUMIFS(考核调整事项表!$E:$E,考核调整事项表!$G:$G,累计考核费用!$B59,考核调整事项表!$F:$F,累计考核费用!D$3)</f>
        <v>0</v>
      </c>
      <c r="E59" s="35">
        <f>SUMIFS(考核调整事项表!$C:$C,考核调整事项表!$G:$G,累计考核费用!$B59,考核调整事项表!$D:$D,累计考核费用!E$3)+SUMIFS(考核调整事项表!$E:$E,考核调整事项表!$G:$G,累计考核费用!$B59,考核调整事项表!$F:$F,累计考核费用!E$3)</f>
        <v>0</v>
      </c>
      <c r="F59" s="35">
        <f>SUMIFS(考核调整事项表!$C:$C,考核调整事项表!$G:$G,累计考核费用!$B59,考核调整事项表!$D:$D,累计考核费用!F$3)+SUMIFS(考核调整事项表!$E:$E,考核调整事项表!$G:$G,累计考核费用!$B59,考核调整事项表!$F:$F,累计考核费用!F$3)</f>
        <v>0</v>
      </c>
      <c r="G59" s="35">
        <f>SUMIFS(考核调整事项表!$C:$C,考核调整事项表!$G:$G,累计考核费用!$B59,考核调整事项表!$D:$D,累计考核费用!G$3)+SUMIFS(考核调整事项表!$E:$E,考核调整事项表!$G:$G,累计考核费用!$B59,考核调整事项表!$F:$F,累计考核费用!G$3)</f>
        <v>0</v>
      </c>
      <c r="H59" s="35">
        <f t="shared" si="2"/>
        <v>0</v>
      </c>
      <c r="I59" s="35">
        <f>SUMIFS(考核调整事项表!$C:$C,考核调整事项表!$G:$G,累计考核费用!$B59,考核调整事项表!$D:$D,累计考核费用!I$3)+SUMIFS(考核调整事项表!$E:$E,考核调整事项表!$G:$G,累计考核费用!$B59,考核调整事项表!$F:$F,累计考核费用!I$3)</f>
        <v>0</v>
      </c>
      <c r="J59" s="35">
        <f>SUMIFS(考核调整事项表!$C:$C,考核调整事项表!$G:$G,累计考核费用!$B59,考核调整事项表!$D:$D,累计考核费用!J$3)+SUMIFS(考核调整事项表!$E:$E,考核调整事项表!$G:$G,累计考核费用!$B59,考核调整事项表!$F:$F,累计考核费用!J$3)</f>
        <v>0</v>
      </c>
      <c r="K59" s="35">
        <f>SUMIFS(考核调整事项表!$C:$C,考核调整事项表!$G:$G,累计考核费用!$B59,考核调整事项表!$D:$D,累计考核费用!K$3)+SUMIFS(考核调整事项表!$E:$E,考核调整事项表!$G:$G,累计考核费用!$B59,考核调整事项表!$F:$F,累计考核费用!K$3)</f>
        <v>0</v>
      </c>
      <c r="L59" s="35">
        <f>SUMIFS(考核调整事项表!$C:$C,考核调整事项表!$G:$G,累计考核费用!$B59,考核调整事项表!$D:$D,累计考核费用!L$3)+SUMIFS(考核调整事项表!$E:$E,考核调整事项表!$G:$G,累计考核费用!$B59,考核调整事项表!$F:$F,累计考核费用!L$3)</f>
        <v>0</v>
      </c>
      <c r="M59" s="35">
        <f>SUMIFS(考核调整事项表!$C:$C,考核调整事项表!$G:$G,累计考核费用!$B59,考核调整事项表!$D:$D,累计考核费用!M$3)+SUMIFS(考核调整事项表!$E:$E,考核调整事项表!$G:$G,累计考核费用!$B59,考核调整事项表!$F:$F,累计考核费用!M$3)</f>
        <v>0</v>
      </c>
      <c r="N59" s="35">
        <f>SUMIFS(考核调整事项表!$C:$C,考核调整事项表!$G:$G,累计考核费用!$B59,考核调整事项表!$D:$D,累计考核费用!N$3)+SUMIFS(考核调整事项表!$E:$E,考核调整事项表!$G:$G,累计考核费用!$B59,考核调整事项表!$F:$F,累计考核费用!N$3)</f>
        <v>0</v>
      </c>
      <c r="O59" s="35">
        <f>SUMIFS(考核调整事项表!$C:$C,考核调整事项表!$G:$G,累计考核费用!$B59,考核调整事项表!$D:$D,累计考核费用!O$3)+SUMIFS(考核调整事项表!$E:$E,考核调整事项表!$G:$G,累计考核费用!$B59,考核调整事项表!$F:$F,累计考核费用!O$3)</f>
        <v>0</v>
      </c>
      <c r="P59" s="35">
        <f>SUMIFS(考核调整事项表!$C:$C,考核调整事项表!$G:$G,累计考核费用!$B59,考核调整事项表!$D:$D,累计考核费用!P$3)+SUMIFS(考核调整事项表!$E:$E,考核调整事项表!$G:$G,累计考核费用!$B59,考核调整事项表!$F:$F,累计考核费用!P$3)</f>
        <v>0</v>
      </c>
      <c r="Q59" s="35">
        <f>SUMIFS(考核调整事项表!$C:$C,考核调整事项表!$G:$G,累计考核费用!$B59,考核调整事项表!$D:$D,累计考核费用!Q$3)+SUMIFS(考核调整事项表!$E:$E,考核调整事项表!$G:$G,累计考核费用!$B59,考核调整事项表!$F:$F,累计考核费用!Q$3)</f>
        <v>0</v>
      </c>
      <c r="R59" s="41">
        <f t="shared" si="3"/>
        <v>0</v>
      </c>
      <c r="S59" s="35">
        <f>SUMIFS(考核调整事项表!$C:$C,考核调整事项表!$G:$G,累计考核费用!$B59,考核调整事项表!$D:$D,累计考核费用!S$3)+SUMIFS(考核调整事项表!$E:$E,考核调整事项表!$G:$G,累计考核费用!$B59,考核调整事项表!$F:$F,累计考核费用!S$3)</f>
        <v>0</v>
      </c>
      <c r="T59" s="35">
        <f>SUMIFS(考核调整事项表!$C:$C,考核调整事项表!$G:$G,累计考核费用!$B59,考核调整事项表!$D:$D,累计考核费用!T$3)+SUMIFS(考核调整事项表!$E:$E,考核调整事项表!$G:$G,累计考核费用!$B59,考核调整事项表!$F:$F,累计考核费用!T$3)</f>
        <v>0</v>
      </c>
      <c r="U59" s="35">
        <f>SUMIFS(考核调整事项表!$C:$C,考核调整事项表!$G:$G,累计考核费用!$B59,考核调整事项表!$D:$D,累计考核费用!U$3)+SUMIFS(考核调整事项表!$E:$E,考核调整事项表!$G:$G,累计考核费用!$B59,考核调整事项表!$F:$F,累计考核费用!U$3)</f>
        <v>0</v>
      </c>
      <c r="V59" s="35">
        <f>SUMIFS(考核调整事项表!$C:$C,考核调整事项表!$G:$G,累计考核费用!$B59,考核调整事项表!$D:$D,累计考核费用!V$3)+SUMIFS(考核调整事项表!$E:$E,考核调整事项表!$G:$G,累计考核费用!$B59,考核调整事项表!$F:$F,累计考核费用!V$3)</f>
        <v>0</v>
      </c>
      <c r="W59" s="35">
        <f t="shared" si="4"/>
        <v>0</v>
      </c>
      <c r="X59" s="35">
        <f>SUMIFS(考核调整事项表!$C:$C,考核调整事项表!$G:$G,累计考核费用!$B59,考核调整事项表!$D:$D,累计考核费用!X$3)+SUMIFS(考核调整事项表!$E:$E,考核调整事项表!$G:$G,累计考核费用!$B59,考核调整事项表!$F:$F,累计考核费用!X$3)</f>
        <v>0</v>
      </c>
      <c r="Y59" s="35">
        <f>SUMIFS(考核调整事项表!$C:$C,考核调整事项表!$G:$G,累计考核费用!$B59,考核调整事项表!$D:$D,累计考核费用!Y$3)+SUMIFS(考核调整事项表!$E:$E,考核调整事项表!$G:$G,累计考核费用!$B59,考核调整事项表!$F:$F,累计考核费用!Y$3)</f>
        <v>0</v>
      </c>
      <c r="Z59" s="35">
        <f>SUMIFS(考核调整事项表!$C:$C,考核调整事项表!$G:$G,累计考核费用!$B59,考核调整事项表!$D:$D,累计考核费用!Z$3)+SUMIFS(考核调整事项表!$E:$E,考核调整事项表!$G:$G,累计考核费用!$B59,考核调整事项表!$F:$F,累计考核费用!Z$3)</f>
        <v>0</v>
      </c>
      <c r="AA59" s="35">
        <f>SUMIFS(考核调整事项表!$C:$C,考核调整事项表!$G:$G,累计考核费用!$B59,考核调整事项表!$D:$D,累计考核费用!AA$3)+SUMIFS(考核调整事项表!$E:$E,考核调整事项表!$G:$G,累计考核费用!$B59,考核调整事项表!$F:$F,累计考核费用!AA$3)</f>
        <v>0</v>
      </c>
    </row>
    <row r="60" spans="1:27">
      <c r="A60" s="323"/>
      <c r="B60" s="174" t="s">
        <v>63</v>
      </c>
      <c r="C60" s="35">
        <f t="shared" si="1"/>
        <v>0</v>
      </c>
      <c r="D60" s="35">
        <f>SUMIFS(考核调整事项表!$C:$C,考核调整事项表!$G:$G,累计考核费用!$B60,考核调整事项表!$D:$D,累计考核费用!D$3)+SUMIFS(考核调整事项表!$E:$E,考核调整事项表!$G:$G,累计考核费用!$B60,考核调整事项表!$F:$F,累计考核费用!D$3)</f>
        <v>0</v>
      </c>
      <c r="E60" s="35">
        <f>SUMIFS(考核调整事项表!$C:$C,考核调整事项表!$G:$G,累计考核费用!$B60,考核调整事项表!$D:$D,累计考核费用!E$3)+SUMIFS(考核调整事项表!$E:$E,考核调整事项表!$G:$G,累计考核费用!$B60,考核调整事项表!$F:$F,累计考核费用!E$3)</f>
        <v>0</v>
      </c>
      <c r="F60" s="35">
        <f>SUMIFS(考核调整事项表!$C:$C,考核调整事项表!$G:$G,累计考核费用!$B60,考核调整事项表!$D:$D,累计考核费用!F$3)+SUMIFS(考核调整事项表!$E:$E,考核调整事项表!$G:$G,累计考核费用!$B60,考核调整事项表!$F:$F,累计考核费用!F$3)</f>
        <v>0</v>
      </c>
      <c r="G60" s="35">
        <f>SUMIFS(考核调整事项表!$C:$C,考核调整事项表!$G:$G,累计考核费用!$B60,考核调整事项表!$D:$D,累计考核费用!G$3)+SUMIFS(考核调整事项表!$E:$E,考核调整事项表!$G:$G,累计考核费用!$B60,考核调整事项表!$F:$F,累计考核费用!G$3)</f>
        <v>0</v>
      </c>
      <c r="H60" s="35">
        <f t="shared" si="2"/>
        <v>0</v>
      </c>
      <c r="I60" s="35">
        <f>SUMIFS(考核调整事项表!$C:$C,考核调整事项表!$G:$G,累计考核费用!$B60,考核调整事项表!$D:$D,累计考核费用!I$3)+SUMIFS(考核调整事项表!$E:$E,考核调整事项表!$G:$G,累计考核费用!$B60,考核调整事项表!$F:$F,累计考核费用!I$3)</f>
        <v>0</v>
      </c>
      <c r="J60" s="35">
        <f>SUMIFS(考核调整事项表!$C:$C,考核调整事项表!$G:$G,累计考核费用!$B60,考核调整事项表!$D:$D,累计考核费用!J$3)+SUMIFS(考核调整事项表!$E:$E,考核调整事项表!$G:$G,累计考核费用!$B60,考核调整事项表!$F:$F,累计考核费用!J$3)</f>
        <v>0</v>
      </c>
      <c r="K60" s="35">
        <f>SUMIFS(考核调整事项表!$C:$C,考核调整事项表!$G:$G,累计考核费用!$B60,考核调整事项表!$D:$D,累计考核费用!K$3)+SUMIFS(考核调整事项表!$E:$E,考核调整事项表!$G:$G,累计考核费用!$B60,考核调整事项表!$F:$F,累计考核费用!K$3)</f>
        <v>0</v>
      </c>
      <c r="L60" s="35">
        <f>SUMIFS(考核调整事项表!$C:$C,考核调整事项表!$G:$G,累计考核费用!$B60,考核调整事项表!$D:$D,累计考核费用!L$3)+SUMIFS(考核调整事项表!$E:$E,考核调整事项表!$G:$G,累计考核费用!$B60,考核调整事项表!$F:$F,累计考核费用!L$3)</f>
        <v>0</v>
      </c>
      <c r="M60" s="35">
        <f>SUMIFS(考核调整事项表!$C:$C,考核调整事项表!$G:$G,累计考核费用!$B60,考核调整事项表!$D:$D,累计考核费用!M$3)+SUMIFS(考核调整事项表!$E:$E,考核调整事项表!$G:$G,累计考核费用!$B60,考核调整事项表!$F:$F,累计考核费用!M$3)</f>
        <v>0</v>
      </c>
      <c r="N60" s="35">
        <f>SUMIFS(考核调整事项表!$C:$C,考核调整事项表!$G:$G,累计考核费用!$B60,考核调整事项表!$D:$D,累计考核费用!N$3)+SUMIFS(考核调整事项表!$E:$E,考核调整事项表!$G:$G,累计考核费用!$B60,考核调整事项表!$F:$F,累计考核费用!N$3)</f>
        <v>0</v>
      </c>
      <c r="O60" s="35">
        <f>SUMIFS(考核调整事项表!$C:$C,考核调整事项表!$G:$G,累计考核费用!$B60,考核调整事项表!$D:$D,累计考核费用!O$3)+SUMIFS(考核调整事项表!$E:$E,考核调整事项表!$G:$G,累计考核费用!$B60,考核调整事项表!$F:$F,累计考核费用!O$3)</f>
        <v>0</v>
      </c>
      <c r="P60" s="35">
        <f>SUMIFS(考核调整事项表!$C:$C,考核调整事项表!$G:$G,累计考核费用!$B60,考核调整事项表!$D:$D,累计考核费用!P$3)+SUMIFS(考核调整事项表!$E:$E,考核调整事项表!$G:$G,累计考核费用!$B60,考核调整事项表!$F:$F,累计考核费用!P$3)</f>
        <v>0</v>
      </c>
      <c r="Q60" s="35">
        <f>SUMIFS(考核调整事项表!$C:$C,考核调整事项表!$G:$G,累计考核费用!$B60,考核调整事项表!$D:$D,累计考核费用!Q$3)+SUMIFS(考核调整事项表!$E:$E,考核调整事项表!$G:$G,累计考核费用!$B60,考核调整事项表!$F:$F,累计考核费用!Q$3)</f>
        <v>0</v>
      </c>
      <c r="R60" s="41">
        <f t="shared" si="3"/>
        <v>0</v>
      </c>
      <c r="S60" s="35">
        <f>SUMIFS(考核调整事项表!$C:$C,考核调整事项表!$G:$G,累计考核费用!$B60,考核调整事项表!$D:$D,累计考核费用!S$3)+SUMIFS(考核调整事项表!$E:$E,考核调整事项表!$G:$G,累计考核费用!$B60,考核调整事项表!$F:$F,累计考核费用!S$3)</f>
        <v>0</v>
      </c>
      <c r="T60" s="35">
        <f>SUMIFS(考核调整事项表!$C:$C,考核调整事项表!$G:$G,累计考核费用!$B60,考核调整事项表!$D:$D,累计考核费用!T$3)+SUMIFS(考核调整事项表!$E:$E,考核调整事项表!$G:$G,累计考核费用!$B60,考核调整事项表!$F:$F,累计考核费用!T$3)</f>
        <v>0</v>
      </c>
      <c r="U60" s="35">
        <f>SUMIFS(考核调整事项表!$C:$C,考核调整事项表!$G:$G,累计考核费用!$B60,考核调整事项表!$D:$D,累计考核费用!U$3)+SUMIFS(考核调整事项表!$E:$E,考核调整事项表!$G:$G,累计考核费用!$B60,考核调整事项表!$F:$F,累计考核费用!U$3)</f>
        <v>0</v>
      </c>
      <c r="V60" s="35">
        <f>SUMIFS(考核调整事项表!$C:$C,考核调整事项表!$G:$G,累计考核费用!$B60,考核调整事项表!$D:$D,累计考核费用!V$3)+SUMIFS(考核调整事项表!$E:$E,考核调整事项表!$G:$G,累计考核费用!$B60,考核调整事项表!$F:$F,累计考核费用!V$3)</f>
        <v>0</v>
      </c>
      <c r="W60" s="35">
        <f t="shared" si="4"/>
        <v>0</v>
      </c>
      <c r="X60" s="35">
        <f>SUMIFS(考核调整事项表!$C:$C,考核调整事项表!$G:$G,累计考核费用!$B60,考核调整事项表!$D:$D,累计考核费用!X$3)+SUMIFS(考核调整事项表!$E:$E,考核调整事项表!$G:$G,累计考核费用!$B60,考核调整事项表!$F:$F,累计考核费用!X$3)</f>
        <v>0</v>
      </c>
      <c r="Y60" s="35">
        <f>SUMIFS(考核调整事项表!$C:$C,考核调整事项表!$G:$G,累计考核费用!$B60,考核调整事项表!$D:$D,累计考核费用!Y$3)+SUMIFS(考核调整事项表!$E:$E,考核调整事项表!$G:$G,累计考核费用!$B60,考核调整事项表!$F:$F,累计考核费用!Y$3)</f>
        <v>0</v>
      </c>
      <c r="Z60" s="35">
        <f>SUMIFS(考核调整事项表!$C:$C,考核调整事项表!$G:$G,累计考核费用!$B60,考核调整事项表!$D:$D,累计考核费用!Z$3)+SUMIFS(考核调整事项表!$E:$E,考核调整事项表!$G:$G,累计考核费用!$B60,考核调整事项表!$F:$F,累计考核费用!Z$3)</f>
        <v>0</v>
      </c>
      <c r="AA60" s="35">
        <f>SUMIFS(考核调整事项表!$C:$C,考核调整事项表!$G:$G,累计考核费用!$B60,考核调整事项表!$D:$D,累计考核费用!AA$3)+SUMIFS(考核调整事项表!$E:$E,考核调整事项表!$G:$G,累计考核费用!$B60,考核调整事项表!$F:$F,累计考核费用!AA$3)</f>
        <v>0</v>
      </c>
    </row>
    <row r="61" spans="1:27">
      <c r="A61" s="323"/>
      <c r="B61" s="174" t="s">
        <v>64</v>
      </c>
      <c r="C61" s="35">
        <f t="shared" si="1"/>
        <v>0</v>
      </c>
      <c r="D61" s="35">
        <f>SUMIFS(考核调整事项表!$C:$C,考核调整事项表!$G:$G,累计考核费用!$B61,考核调整事项表!$D:$D,累计考核费用!D$3)+SUMIFS(考核调整事项表!$E:$E,考核调整事项表!$G:$G,累计考核费用!$B61,考核调整事项表!$F:$F,累计考核费用!D$3)</f>
        <v>0</v>
      </c>
      <c r="E61" s="35">
        <f>SUMIFS(考核调整事项表!$C:$C,考核调整事项表!$G:$G,累计考核费用!$B61,考核调整事项表!$D:$D,累计考核费用!E$3)+SUMIFS(考核调整事项表!$E:$E,考核调整事项表!$G:$G,累计考核费用!$B61,考核调整事项表!$F:$F,累计考核费用!E$3)</f>
        <v>0</v>
      </c>
      <c r="F61" s="35">
        <f>SUMIFS(考核调整事项表!$C:$C,考核调整事项表!$G:$G,累计考核费用!$B61,考核调整事项表!$D:$D,累计考核费用!F$3)+SUMIFS(考核调整事项表!$E:$E,考核调整事项表!$G:$G,累计考核费用!$B61,考核调整事项表!$F:$F,累计考核费用!F$3)</f>
        <v>0</v>
      </c>
      <c r="G61" s="35">
        <f>SUMIFS(考核调整事项表!$C:$C,考核调整事项表!$G:$G,累计考核费用!$B61,考核调整事项表!$D:$D,累计考核费用!G$3)+SUMIFS(考核调整事项表!$E:$E,考核调整事项表!$G:$G,累计考核费用!$B61,考核调整事项表!$F:$F,累计考核费用!G$3)</f>
        <v>0</v>
      </c>
      <c r="H61" s="35">
        <f t="shared" si="2"/>
        <v>0</v>
      </c>
      <c r="I61" s="35">
        <f>SUMIFS(考核调整事项表!$C:$C,考核调整事项表!$G:$G,累计考核费用!$B61,考核调整事项表!$D:$D,累计考核费用!I$3)+SUMIFS(考核调整事项表!$E:$E,考核调整事项表!$G:$G,累计考核费用!$B61,考核调整事项表!$F:$F,累计考核费用!I$3)</f>
        <v>0</v>
      </c>
      <c r="J61" s="35">
        <f>SUMIFS(考核调整事项表!$C:$C,考核调整事项表!$G:$G,累计考核费用!$B61,考核调整事项表!$D:$D,累计考核费用!J$3)+SUMIFS(考核调整事项表!$E:$E,考核调整事项表!$G:$G,累计考核费用!$B61,考核调整事项表!$F:$F,累计考核费用!J$3)</f>
        <v>0</v>
      </c>
      <c r="K61" s="35">
        <f>SUMIFS(考核调整事项表!$C:$C,考核调整事项表!$G:$G,累计考核费用!$B61,考核调整事项表!$D:$D,累计考核费用!K$3)+SUMIFS(考核调整事项表!$E:$E,考核调整事项表!$G:$G,累计考核费用!$B61,考核调整事项表!$F:$F,累计考核费用!K$3)</f>
        <v>0</v>
      </c>
      <c r="L61" s="35">
        <f>SUMIFS(考核调整事项表!$C:$C,考核调整事项表!$G:$G,累计考核费用!$B61,考核调整事项表!$D:$D,累计考核费用!L$3)+SUMIFS(考核调整事项表!$E:$E,考核调整事项表!$G:$G,累计考核费用!$B61,考核调整事项表!$F:$F,累计考核费用!L$3)</f>
        <v>0</v>
      </c>
      <c r="M61" s="35">
        <f>SUMIFS(考核调整事项表!$C:$C,考核调整事项表!$G:$G,累计考核费用!$B61,考核调整事项表!$D:$D,累计考核费用!M$3)+SUMIFS(考核调整事项表!$E:$E,考核调整事项表!$G:$G,累计考核费用!$B61,考核调整事项表!$F:$F,累计考核费用!M$3)</f>
        <v>0</v>
      </c>
      <c r="N61" s="35">
        <f>SUMIFS(考核调整事项表!$C:$C,考核调整事项表!$G:$G,累计考核费用!$B61,考核调整事项表!$D:$D,累计考核费用!N$3)+SUMIFS(考核调整事项表!$E:$E,考核调整事项表!$G:$G,累计考核费用!$B61,考核调整事项表!$F:$F,累计考核费用!N$3)</f>
        <v>0</v>
      </c>
      <c r="O61" s="35">
        <f>SUMIFS(考核调整事项表!$C:$C,考核调整事项表!$G:$G,累计考核费用!$B61,考核调整事项表!$D:$D,累计考核费用!O$3)+SUMIFS(考核调整事项表!$E:$E,考核调整事项表!$G:$G,累计考核费用!$B61,考核调整事项表!$F:$F,累计考核费用!O$3)</f>
        <v>0</v>
      </c>
      <c r="P61" s="35">
        <f>SUMIFS(考核调整事项表!$C:$C,考核调整事项表!$G:$G,累计考核费用!$B61,考核调整事项表!$D:$D,累计考核费用!P$3)+SUMIFS(考核调整事项表!$E:$E,考核调整事项表!$G:$G,累计考核费用!$B61,考核调整事项表!$F:$F,累计考核费用!P$3)</f>
        <v>0</v>
      </c>
      <c r="Q61" s="35">
        <f>SUMIFS(考核调整事项表!$C:$C,考核调整事项表!$G:$G,累计考核费用!$B61,考核调整事项表!$D:$D,累计考核费用!Q$3)+SUMIFS(考核调整事项表!$E:$E,考核调整事项表!$G:$G,累计考核费用!$B61,考核调整事项表!$F:$F,累计考核费用!Q$3)</f>
        <v>0</v>
      </c>
      <c r="R61" s="41">
        <f t="shared" si="3"/>
        <v>0</v>
      </c>
      <c r="S61" s="35">
        <f>SUMIFS(考核调整事项表!$C:$C,考核调整事项表!$G:$G,累计考核费用!$B61,考核调整事项表!$D:$D,累计考核费用!S$3)+SUMIFS(考核调整事项表!$E:$E,考核调整事项表!$G:$G,累计考核费用!$B61,考核调整事项表!$F:$F,累计考核费用!S$3)</f>
        <v>0</v>
      </c>
      <c r="T61" s="35">
        <f>SUMIFS(考核调整事项表!$C:$C,考核调整事项表!$G:$G,累计考核费用!$B61,考核调整事项表!$D:$D,累计考核费用!T$3)+SUMIFS(考核调整事项表!$E:$E,考核调整事项表!$G:$G,累计考核费用!$B61,考核调整事项表!$F:$F,累计考核费用!T$3)</f>
        <v>0</v>
      </c>
      <c r="U61" s="35">
        <f>SUMIFS(考核调整事项表!$C:$C,考核调整事项表!$G:$G,累计考核费用!$B61,考核调整事项表!$D:$D,累计考核费用!U$3)+SUMIFS(考核调整事项表!$E:$E,考核调整事项表!$G:$G,累计考核费用!$B61,考核调整事项表!$F:$F,累计考核费用!U$3)</f>
        <v>0</v>
      </c>
      <c r="V61" s="35">
        <f>SUMIFS(考核调整事项表!$C:$C,考核调整事项表!$G:$G,累计考核费用!$B61,考核调整事项表!$D:$D,累计考核费用!V$3)+SUMIFS(考核调整事项表!$E:$E,考核调整事项表!$G:$G,累计考核费用!$B61,考核调整事项表!$F:$F,累计考核费用!V$3)</f>
        <v>0</v>
      </c>
      <c r="W61" s="35">
        <f t="shared" si="4"/>
        <v>0</v>
      </c>
      <c r="X61" s="35">
        <f>SUMIFS(考核调整事项表!$C:$C,考核调整事项表!$G:$G,累计考核费用!$B61,考核调整事项表!$D:$D,累计考核费用!X$3)+SUMIFS(考核调整事项表!$E:$E,考核调整事项表!$G:$G,累计考核费用!$B61,考核调整事项表!$F:$F,累计考核费用!X$3)</f>
        <v>0</v>
      </c>
      <c r="Y61" s="35">
        <f>SUMIFS(考核调整事项表!$C:$C,考核调整事项表!$G:$G,累计考核费用!$B61,考核调整事项表!$D:$D,累计考核费用!Y$3)+SUMIFS(考核调整事项表!$E:$E,考核调整事项表!$G:$G,累计考核费用!$B61,考核调整事项表!$F:$F,累计考核费用!Y$3)</f>
        <v>0</v>
      </c>
      <c r="Z61" s="35">
        <f>SUMIFS(考核调整事项表!$C:$C,考核调整事项表!$G:$G,累计考核费用!$B61,考核调整事项表!$D:$D,累计考核费用!Z$3)+SUMIFS(考核调整事项表!$E:$E,考核调整事项表!$G:$G,累计考核费用!$B61,考核调整事项表!$F:$F,累计考核费用!Z$3)</f>
        <v>0</v>
      </c>
      <c r="AA61" s="35">
        <f>SUMIFS(考核调整事项表!$C:$C,考核调整事项表!$G:$G,累计考核费用!$B61,考核调整事项表!$D:$D,累计考核费用!AA$3)+SUMIFS(考核调整事项表!$E:$E,考核调整事项表!$G:$G,累计考核费用!$B61,考核调整事项表!$F:$F,累计考核费用!AA$3)</f>
        <v>0</v>
      </c>
    </row>
    <row r="62" spans="1:27">
      <c r="A62" s="323"/>
      <c r="B62" s="174" t="s">
        <v>65</v>
      </c>
      <c r="C62" s="35">
        <f t="shared" si="1"/>
        <v>0</v>
      </c>
      <c r="D62" s="35">
        <f>SUMIFS(考核调整事项表!$C:$C,考核调整事项表!$G:$G,累计考核费用!$B62,考核调整事项表!$D:$D,累计考核费用!D$3)+SUMIFS(考核调整事项表!$E:$E,考核调整事项表!$G:$G,累计考核费用!$B62,考核调整事项表!$F:$F,累计考核费用!D$3)</f>
        <v>0</v>
      </c>
      <c r="E62" s="35">
        <f>SUMIFS(考核调整事项表!$C:$C,考核调整事项表!$G:$G,累计考核费用!$B62,考核调整事项表!$D:$D,累计考核费用!E$3)+SUMIFS(考核调整事项表!$E:$E,考核调整事项表!$G:$G,累计考核费用!$B62,考核调整事项表!$F:$F,累计考核费用!E$3)</f>
        <v>0</v>
      </c>
      <c r="F62" s="35">
        <f>SUMIFS(考核调整事项表!$C:$C,考核调整事项表!$G:$G,累计考核费用!$B62,考核调整事项表!$D:$D,累计考核费用!F$3)+SUMIFS(考核调整事项表!$E:$E,考核调整事项表!$G:$G,累计考核费用!$B62,考核调整事项表!$F:$F,累计考核费用!F$3)</f>
        <v>0</v>
      </c>
      <c r="G62" s="35">
        <f>SUMIFS(考核调整事项表!$C:$C,考核调整事项表!$G:$G,累计考核费用!$B62,考核调整事项表!$D:$D,累计考核费用!G$3)+SUMIFS(考核调整事项表!$E:$E,考核调整事项表!$G:$G,累计考核费用!$B62,考核调整事项表!$F:$F,累计考核费用!G$3)</f>
        <v>0</v>
      </c>
      <c r="H62" s="35">
        <f t="shared" si="2"/>
        <v>0</v>
      </c>
      <c r="I62" s="35">
        <f>SUMIFS(考核调整事项表!$C:$C,考核调整事项表!$G:$G,累计考核费用!$B62,考核调整事项表!$D:$D,累计考核费用!I$3)+SUMIFS(考核调整事项表!$E:$E,考核调整事项表!$G:$G,累计考核费用!$B62,考核调整事项表!$F:$F,累计考核费用!I$3)</f>
        <v>0</v>
      </c>
      <c r="J62" s="35">
        <f>SUMIFS(考核调整事项表!$C:$C,考核调整事项表!$G:$G,累计考核费用!$B62,考核调整事项表!$D:$D,累计考核费用!J$3)+SUMIFS(考核调整事项表!$E:$E,考核调整事项表!$G:$G,累计考核费用!$B62,考核调整事项表!$F:$F,累计考核费用!J$3)</f>
        <v>0</v>
      </c>
      <c r="K62" s="35">
        <f>SUMIFS(考核调整事项表!$C:$C,考核调整事项表!$G:$G,累计考核费用!$B62,考核调整事项表!$D:$D,累计考核费用!K$3)+SUMIFS(考核调整事项表!$E:$E,考核调整事项表!$G:$G,累计考核费用!$B62,考核调整事项表!$F:$F,累计考核费用!K$3)</f>
        <v>0</v>
      </c>
      <c r="L62" s="35">
        <f>SUMIFS(考核调整事项表!$C:$C,考核调整事项表!$G:$G,累计考核费用!$B62,考核调整事项表!$D:$D,累计考核费用!L$3)+SUMIFS(考核调整事项表!$E:$E,考核调整事项表!$G:$G,累计考核费用!$B62,考核调整事项表!$F:$F,累计考核费用!L$3)</f>
        <v>0</v>
      </c>
      <c r="M62" s="35">
        <f>SUMIFS(考核调整事项表!$C:$C,考核调整事项表!$G:$G,累计考核费用!$B62,考核调整事项表!$D:$D,累计考核费用!M$3)+SUMIFS(考核调整事项表!$E:$E,考核调整事项表!$G:$G,累计考核费用!$B62,考核调整事项表!$F:$F,累计考核费用!M$3)</f>
        <v>0</v>
      </c>
      <c r="N62" s="35">
        <f>SUMIFS(考核调整事项表!$C:$C,考核调整事项表!$G:$G,累计考核费用!$B62,考核调整事项表!$D:$D,累计考核费用!N$3)+SUMIFS(考核调整事项表!$E:$E,考核调整事项表!$G:$G,累计考核费用!$B62,考核调整事项表!$F:$F,累计考核费用!N$3)</f>
        <v>0</v>
      </c>
      <c r="O62" s="35">
        <f>SUMIFS(考核调整事项表!$C:$C,考核调整事项表!$G:$G,累计考核费用!$B62,考核调整事项表!$D:$D,累计考核费用!O$3)+SUMIFS(考核调整事项表!$E:$E,考核调整事项表!$G:$G,累计考核费用!$B62,考核调整事项表!$F:$F,累计考核费用!O$3)</f>
        <v>0</v>
      </c>
      <c r="P62" s="35">
        <f>SUMIFS(考核调整事项表!$C:$C,考核调整事项表!$G:$G,累计考核费用!$B62,考核调整事项表!$D:$D,累计考核费用!P$3)+SUMIFS(考核调整事项表!$E:$E,考核调整事项表!$G:$G,累计考核费用!$B62,考核调整事项表!$F:$F,累计考核费用!P$3)</f>
        <v>0</v>
      </c>
      <c r="Q62" s="35">
        <f>SUMIFS(考核调整事项表!$C:$C,考核调整事项表!$G:$G,累计考核费用!$B62,考核调整事项表!$D:$D,累计考核费用!Q$3)+SUMIFS(考核调整事项表!$E:$E,考核调整事项表!$G:$G,累计考核费用!$B62,考核调整事项表!$F:$F,累计考核费用!Q$3)</f>
        <v>0</v>
      </c>
      <c r="R62" s="41">
        <f t="shared" si="3"/>
        <v>0</v>
      </c>
      <c r="S62" s="35">
        <f>SUMIFS(考核调整事项表!$C:$C,考核调整事项表!$G:$G,累计考核费用!$B62,考核调整事项表!$D:$D,累计考核费用!S$3)+SUMIFS(考核调整事项表!$E:$E,考核调整事项表!$G:$G,累计考核费用!$B62,考核调整事项表!$F:$F,累计考核费用!S$3)</f>
        <v>0</v>
      </c>
      <c r="T62" s="35">
        <f>SUMIFS(考核调整事项表!$C:$C,考核调整事项表!$G:$G,累计考核费用!$B62,考核调整事项表!$D:$D,累计考核费用!T$3)+SUMIFS(考核调整事项表!$E:$E,考核调整事项表!$G:$G,累计考核费用!$B62,考核调整事项表!$F:$F,累计考核费用!T$3)</f>
        <v>0</v>
      </c>
      <c r="U62" s="35">
        <f>SUMIFS(考核调整事项表!$C:$C,考核调整事项表!$G:$G,累计考核费用!$B62,考核调整事项表!$D:$D,累计考核费用!U$3)+SUMIFS(考核调整事项表!$E:$E,考核调整事项表!$G:$G,累计考核费用!$B62,考核调整事项表!$F:$F,累计考核费用!U$3)</f>
        <v>0</v>
      </c>
      <c r="V62" s="35">
        <f>SUMIFS(考核调整事项表!$C:$C,考核调整事项表!$G:$G,累计考核费用!$B62,考核调整事项表!$D:$D,累计考核费用!V$3)+SUMIFS(考核调整事项表!$E:$E,考核调整事项表!$G:$G,累计考核费用!$B62,考核调整事项表!$F:$F,累计考核费用!V$3)</f>
        <v>0</v>
      </c>
      <c r="W62" s="35">
        <f t="shared" si="4"/>
        <v>0</v>
      </c>
      <c r="X62" s="35">
        <f>SUMIFS(考核调整事项表!$C:$C,考核调整事项表!$G:$G,累计考核费用!$B62,考核调整事项表!$D:$D,累计考核费用!X$3)+SUMIFS(考核调整事项表!$E:$E,考核调整事项表!$G:$G,累计考核费用!$B62,考核调整事项表!$F:$F,累计考核费用!X$3)</f>
        <v>0</v>
      </c>
      <c r="Y62" s="35">
        <f>SUMIFS(考核调整事项表!$C:$C,考核调整事项表!$G:$G,累计考核费用!$B62,考核调整事项表!$D:$D,累计考核费用!Y$3)+SUMIFS(考核调整事项表!$E:$E,考核调整事项表!$G:$G,累计考核费用!$B62,考核调整事项表!$F:$F,累计考核费用!Y$3)</f>
        <v>0</v>
      </c>
      <c r="Z62" s="35">
        <f>SUMIFS(考核调整事项表!$C:$C,考核调整事项表!$G:$G,累计考核费用!$B62,考核调整事项表!$D:$D,累计考核费用!Z$3)+SUMIFS(考核调整事项表!$E:$E,考核调整事项表!$G:$G,累计考核费用!$B62,考核调整事项表!$F:$F,累计考核费用!Z$3)</f>
        <v>0</v>
      </c>
      <c r="AA62" s="35">
        <f>SUMIFS(考核调整事项表!$C:$C,考核调整事项表!$G:$G,累计考核费用!$B62,考核调整事项表!$D:$D,累计考核费用!AA$3)+SUMIFS(考核调整事项表!$E:$E,考核调整事项表!$G:$G,累计考核费用!$B62,考核调整事项表!$F:$F,累计考核费用!AA$3)</f>
        <v>0</v>
      </c>
    </row>
    <row r="63" spans="1:27">
      <c r="A63" s="323"/>
      <c r="B63" s="174" t="s">
        <v>66</v>
      </c>
      <c r="C63" s="35">
        <f t="shared" si="1"/>
        <v>0</v>
      </c>
      <c r="D63" s="35">
        <f>SUMIFS(考核调整事项表!$C:$C,考核调整事项表!$G:$G,累计考核费用!$B63,考核调整事项表!$D:$D,累计考核费用!D$3)+SUMIFS(考核调整事项表!$E:$E,考核调整事项表!$G:$G,累计考核费用!$B63,考核调整事项表!$F:$F,累计考核费用!D$3)</f>
        <v>0</v>
      </c>
      <c r="E63" s="35">
        <f>SUMIFS(考核调整事项表!$C:$C,考核调整事项表!$G:$G,累计考核费用!$B63,考核调整事项表!$D:$D,累计考核费用!E$3)+SUMIFS(考核调整事项表!$E:$E,考核调整事项表!$G:$G,累计考核费用!$B63,考核调整事项表!$F:$F,累计考核费用!E$3)</f>
        <v>0</v>
      </c>
      <c r="F63" s="35">
        <f>SUMIFS(考核调整事项表!$C:$C,考核调整事项表!$G:$G,累计考核费用!$B63,考核调整事项表!$D:$D,累计考核费用!F$3)+SUMIFS(考核调整事项表!$E:$E,考核调整事项表!$G:$G,累计考核费用!$B63,考核调整事项表!$F:$F,累计考核费用!F$3)</f>
        <v>0</v>
      </c>
      <c r="G63" s="35">
        <f>SUMIFS(考核调整事项表!$C:$C,考核调整事项表!$G:$G,累计考核费用!$B63,考核调整事项表!$D:$D,累计考核费用!G$3)+SUMIFS(考核调整事项表!$E:$E,考核调整事项表!$G:$G,累计考核费用!$B63,考核调整事项表!$F:$F,累计考核费用!G$3)</f>
        <v>0</v>
      </c>
      <c r="H63" s="35">
        <f>SUMIFS(考核调整事项表!$C:$C,考核调整事项表!$G:$G,累计考核费用!$B63,考核调整事项表!$D:$D,累计考核费用!H$3)+SUMIFS(考核调整事项表!$E:$E,考核调整事项表!$G:$G,累计考核费用!$B63,考核调整事项表!$F:$F,累计考核费用!H$3)</f>
        <v>0</v>
      </c>
      <c r="I63" s="35">
        <f>SUMIFS(考核调整事项表!$C:$C,考核调整事项表!$G:$G,累计考核费用!$B63,考核调整事项表!$D:$D,累计考核费用!I$3)+SUMIFS(考核调整事项表!$E:$E,考核调整事项表!$G:$G,累计考核费用!$B63,考核调整事项表!$F:$F,累计考核费用!I$3)</f>
        <v>0</v>
      </c>
      <c r="J63" s="35">
        <f>SUMIFS(考核调整事项表!$C:$C,考核调整事项表!$G:$G,累计考核费用!$B63,考核调整事项表!$D:$D,累计考核费用!J$3)+SUMIFS(考核调整事项表!$E:$E,考核调整事项表!$G:$G,累计考核费用!$B63,考核调整事项表!$F:$F,累计考核费用!J$3)</f>
        <v>0</v>
      </c>
      <c r="K63" s="35">
        <f>SUMIFS(考核调整事项表!$C:$C,考核调整事项表!$G:$G,累计考核费用!$B63,考核调整事项表!$D:$D,累计考核费用!K$3)+SUMIFS(考核调整事项表!$E:$E,考核调整事项表!$G:$G,累计考核费用!$B63,考核调整事项表!$F:$F,累计考核费用!K$3)</f>
        <v>0</v>
      </c>
      <c r="L63" s="35">
        <f>SUMIFS(考核调整事项表!$C:$C,考核调整事项表!$G:$G,累计考核费用!$B63,考核调整事项表!$D:$D,累计考核费用!L$3)+SUMIFS(考核调整事项表!$E:$E,考核调整事项表!$G:$G,累计考核费用!$B63,考核调整事项表!$F:$F,累计考核费用!L$3)</f>
        <v>0</v>
      </c>
      <c r="M63" s="35">
        <f>SUMIFS(考核调整事项表!$C:$C,考核调整事项表!$G:$G,累计考核费用!$B63,考核调整事项表!$D:$D,累计考核费用!M$3)+SUMIFS(考核调整事项表!$E:$E,考核调整事项表!$G:$G,累计考核费用!$B63,考核调整事项表!$F:$F,累计考核费用!M$3)</f>
        <v>0</v>
      </c>
      <c r="N63" s="35">
        <f>SUMIFS(考核调整事项表!$C:$C,考核调整事项表!$G:$G,累计考核费用!$B63,考核调整事项表!$D:$D,累计考核费用!N$3)+SUMIFS(考核调整事项表!$E:$E,考核调整事项表!$G:$G,累计考核费用!$B63,考核调整事项表!$F:$F,累计考核费用!N$3)</f>
        <v>0</v>
      </c>
      <c r="O63" s="35">
        <f>SUMIFS(考核调整事项表!$C:$C,考核调整事项表!$G:$G,累计考核费用!$B63,考核调整事项表!$D:$D,累计考核费用!O$3)+SUMIFS(考核调整事项表!$E:$E,考核调整事项表!$G:$G,累计考核费用!$B63,考核调整事项表!$F:$F,累计考核费用!O$3)</f>
        <v>0</v>
      </c>
      <c r="P63" s="35">
        <f>SUMIFS(考核调整事项表!$C:$C,考核调整事项表!$G:$G,累计考核费用!$B63,考核调整事项表!$D:$D,累计考核费用!P$3)+SUMIFS(考核调整事项表!$E:$E,考核调整事项表!$G:$G,累计考核费用!$B63,考核调整事项表!$F:$F,累计考核费用!P$3)</f>
        <v>0</v>
      </c>
      <c r="Q63" s="35">
        <f>SUMIFS(考核调整事项表!$C:$C,考核调整事项表!$G:$G,累计考核费用!$B63,考核调整事项表!$D:$D,累计考核费用!Q$3)+SUMIFS(考核调整事项表!$E:$E,考核调整事项表!$G:$G,累计考核费用!$B63,考核调整事项表!$F:$F,累计考核费用!Q$3)</f>
        <v>0</v>
      </c>
      <c r="R63" s="35">
        <f>SUMIFS(考核调整事项表!$C:$C,考核调整事项表!$G:$G,累计考核费用!$B63,考核调整事项表!$D:$D,累计考核费用!R$3)+SUMIFS(考核调整事项表!$E:$E,考核调整事项表!$G:$G,累计考核费用!$B63,考核调整事项表!$F:$F,累计考核费用!R$3)</f>
        <v>0</v>
      </c>
      <c r="S63" s="35">
        <f>SUMIFS(考核调整事项表!$C:$C,考核调整事项表!$G:$G,累计考核费用!$B63,考核调整事项表!$D:$D,累计考核费用!S$3)+SUMIFS(考核调整事项表!$E:$E,考核调整事项表!$G:$G,累计考核费用!$B63,考核调整事项表!$F:$F,累计考核费用!S$3)</f>
        <v>0</v>
      </c>
      <c r="T63" s="35">
        <f>SUMIFS(考核调整事项表!$C:$C,考核调整事项表!$G:$G,累计考核费用!$B63,考核调整事项表!$D:$D,累计考核费用!T$3)+SUMIFS(考核调整事项表!$E:$E,考核调整事项表!$G:$G,累计考核费用!$B63,考核调整事项表!$F:$F,累计考核费用!T$3)</f>
        <v>0</v>
      </c>
      <c r="U63" s="35">
        <f>SUMIFS(考核调整事项表!$C:$C,考核调整事项表!$G:$G,累计考核费用!$B63,考核调整事项表!$D:$D,累计考核费用!U$3)+SUMIFS(考核调整事项表!$E:$E,考核调整事项表!$G:$G,累计考核费用!$B63,考核调整事项表!$F:$F,累计考核费用!U$3)</f>
        <v>0</v>
      </c>
      <c r="V63" s="35">
        <f>SUMIFS(考核调整事项表!$C:$C,考核调整事项表!$G:$G,累计考核费用!$B63,考核调整事项表!$D:$D,累计考核费用!V$3)+SUMIFS(考核调整事项表!$E:$E,考核调整事项表!$G:$G,累计考核费用!$B63,考核调整事项表!$F:$F,累计考核费用!V$3)</f>
        <v>0</v>
      </c>
      <c r="W63" s="35">
        <f t="shared" si="4"/>
        <v>0</v>
      </c>
      <c r="X63" s="35">
        <f>SUMIFS(考核调整事项表!$C:$C,考核调整事项表!$G:$G,累计考核费用!$B63,考核调整事项表!$D:$D,累计考核费用!X$3)+SUMIFS(考核调整事项表!$E:$E,考核调整事项表!$G:$G,累计考核费用!$B63,考核调整事项表!$F:$F,累计考核费用!X$3)</f>
        <v>0</v>
      </c>
      <c r="Y63" s="35">
        <f>SUMIFS(考核调整事项表!$C:$C,考核调整事项表!$G:$G,累计考核费用!$B63,考核调整事项表!$D:$D,累计考核费用!Y$3)+SUMIFS(考核调整事项表!$E:$E,考核调整事项表!$G:$G,累计考核费用!$B63,考核调整事项表!$F:$F,累计考核费用!Y$3)</f>
        <v>0</v>
      </c>
      <c r="Z63" s="35">
        <f>SUMIFS(考核调整事项表!$C:$C,考核调整事项表!$G:$G,累计考核费用!$B63,考核调整事项表!$D:$D,累计考核费用!Z$3)+SUMIFS(考核调整事项表!$E:$E,考核调整事项表!$G:$G,累计考核费用!$B63,考核调整事项表!$F:$F,累计考核费用!Z$3)</f>
        <v>0</v>
      </c>
      <c r="AA63" s="35">
        <f>SUMIFS(考核调整事项表!$C:$C,考核调整事项表!$G:$G,累计考核费用!$B63,考核调整事项表!$D:$D,累计考核费用!AA$3)+SUMIFS(考核调整事项表!$E:$E,考核调整事项表!$G:$G,累计考核费用!$B63,考核调整事项表!$F:$F,累计考核费用!AA$3)</f>
        <v>0</v>
      </c>
    </row>
    <row r="64" spans="1:27">
      <c r="A64" s="323"/>
      <c r="B64" s="174" t="s">
        <v>241</v>
      </c>
      <c r="C64" s="35">
        <f t="shared" si="1"/>
        <v>0</v>
      </c>
      <c r="D64" s="35">
        <f>SUMIFS(考核调整事项表!$C:$C,考核调整事项表!$G:$G,累计考核费用!$B64,考核调整事项表!$D:$D,累计考核费用!D$3)+SUMIFS(考核调整事项表!$E:$E,考核调整事项表!$G:$G,累计考核费用!$B64,考核调整事项表!$F:$F,累计考核费用!D$3)</f>
        <v>0</v>
      </c>
      <c r="E64" s="35">
        <f>SUMIFS(考核调整事项表!$C:$C,考核调整事项表!$G:$G,累计考核费用!$B64,考核调整事项表!$D:$D,累计考核费用!E$3)+SUMIFS(考核调整事项表!$E:$E,考核调整事项表!$G:$G,累计考核费用!$B64,考核调整事项表!$F:$F,累计考核费用!E$3)</f>
        <v>0</v>
      </c>
      <c r="F64" s="35">
        <f>SUMIFS(考核调整事项表!$C:$C,考核调整事项表!$G:$G,累计考核费用!$B64,考核调整事项表!$D:$D,累计考核费用!F$3)+SUMIFS(考核调整事项表!$E:$E,考核调整事项表!$G:$G,累计考核费用!$B64,考核调整事项表!$F:$F,累计考核费用!F$3)</f>
        <v>0</v>
      </c>
      <c r="G64" s="35">
        <f>SUMIFS(考核调整事项表!$C:$C,考核调整事项表!$G:$G,累计考核费用!$B64,考核调整事项表!$D:$D,累计考核费用!G$3)+SUMIFS(考核调整事项表!$E:$E,考核调整事项表!$G:$G,累计考核费用!$B64,考核调整事项表!$F:$F,累计考核费用!G$3)</f>
        <v>0</v>
      </c>
      <c r="H64" s="35">
        <f>SUMIFS(考核调整事项表!$C:$C,考核调整事项表!$G:$G,累计考核费用!$B64,考核调整事项表!$D:$D,累计考核费用!H$3)+SUMIFS(考核调整事项表!$E:$E,考核调整事项表!$G:$G,累计考核费用!$B64,考核调整事项表!$F:$F,累计考核费用!H$3)</f>
        <v>0</v>
      </c>
      <c r="I64" s="35">
        <f>SUMIFS(考核调整事项表!$C:$C,考核调整事项表!$G:$G,累计考核费用!$B64,考核调整事项表!$D:$D,累计考核费用!I$3)+SUMIFS(考核调整事项表!$E:$E,考核调整事项表!$G:$G,累计考核费用!$B64,考核调整事项表!$F:$F,累计考核费用!I$3)</f>
        <v>0</v>
      </c>
      <c r="J64" s="35">
        <f>SUMIFS(考核调整事项表!$C:$C,考核调整事项表!$G:$G,累计考核费用!$B64,考核调整事项表!$D:$D,累计考核费用!J$3)+SUMIFS(考核调整事项表!$E:$E,考核调整事项表!$G:$G,累计考核费用!$B64,考核调整事项表!$F:$F,累计考核费用!J$3)</f>
        <v>0</v>
      </c>
      <c r="K64" s="35">
        <f>SUMIFS(考核调整事项表!$C:$C,考核调整事项表!$G:$G,累计考核费用!$B64,考核调整事项表!$D:$D,累计考核费用!K$3)+SUMIFS(考核调整事项表!$E:$E,考核调整事项表!$G:$G,累计考核费用!$B64,考核调整事项表!$F:$F,累计考核费用!K$3)</f>
        <v>0</v>
      </c>
      <c r="L64" s="35">
        <f>SUMIFS(考核调整事项表!$C:$C,考核调整事项表!$G:$G,累计考核费用!$B64,考核调整事项表!$D:$D,累计考核费用!L$3)+SUMIFS(考核调整事项表!$E:$E,考核调整事项表!$G:$G,累计考核费用!$B64,考核调整事项表!$F:$F,累计考核费用!L$3)</f>
        <v>0</v>
      </c>
      <c r="M64" s="35">
        <f>SUMIFS(考核调整事项表!$C:$C,考核调整事项表!$G:$G,累计考核费用!$B64,考核调整事项表!$D:$D,累计考核费用!M$3)+SUMIFS(考核调整事项表!$E:$E,考核调整事项表!$G:$G,累计考核费用!$B64,考核调整事项表!$F:$F,累计考核费用!M$3)</f>
        <v>0</v>
      </c>
      <c r="N64" s="35">
        <f>SUMIFS(考核调整事项表!$C:$C,考核调整事项表!$G:$G,累计考核费用!$B64,考核调整事项表!$D:$D,累计考核费用!N$3)+SUMIFS(考核调整事项表!$E:$E,考核调整事项表!$G:$G,累计考核费用!$B64,考核调整事项表!$F:$F,累计考核费用!N$3)</f>
        <v>0</v>
      </c>
      <c r="O64" s="35">
        <f>SUMIFS(考核调整事项表!$C:$C,考核调整事项表!$G:$G,累计考核费用!$B64,考核调整事项表!$D:$D,累计考核费用!O$3)+SUMIFS(考核调整事项表!$E:$E,考核调整事项表!$G:$G,累计考核费用!$B64,考核调整事项表!$F:$F,累计考核费用!O$3)</f>
        <v>0</v>
      </c>
      <c r="P64" s="35">
        <f>SUMIFS(考核调整事项表!$C:$C,考核调整事项表!$G:$G,累计考核费用!$B64,考核调整事项表!$D:$D,累计考核费用!P$3)+SUMIFS(考核调整事项表!$E:$E,考核调整事项表!$G:$G,累计考核费用!$B64,考核调整事项表!$F:$F,累计考核费用!P$3)</f>
        <v>0</v>
      </c>
      <c r="Q64" s="35">
        <f>SUMIFS(考核调整事项表!$C:$C,考核调整事项表!$G:$G,累计考核费用!$B64,考核调整事项表!$D:$D,累计考核费用!Q$3)+SUMIFS(考核调整事项表!$E:$E,考核调整事项表!$G:$G,累计考核费用!$B64,考核调整事项表!$F:$F,累计考核费用!Q$3)</f>
        <v>0</v>
      </c>
      <c r="R64" s="35">
        <f>SUMIFS(考核调整事项表!$C:$C,考核调整事项表!$G:$G,累计考核费用!$B64,考核调整事项表!$D:$D,累计考核费用!R$3)+SUMIFS(考核调整事项表!$E:$E,考核调整事项表!$G:$G,累计考核费用!$B64,考核调整事项表!$F:$F,累计考核费用!R$3)</f>
        <v>0</v>
      </c>
      <c r="S64" s="35">
        <f>SUMIFS(考核调整事项表!$C:$C,考核调整事项表!$G:$G,累计考核费用!$B64,考核调整事项表!$D:$D,累计考核费用!S$3)+SUMIFS(考核调整事项表!$E:$E,考核调整事项表!$G:$G,累计考核费用!$B64,考核调整事项表!$F:$F,累计考核费用!S$3)</f>
        <v>0</v>
      </c>
      <c r="T64" s="35">
        <f>SUMIFS(考核调整事项表!$C:$C,考核调整事项表!$G:$G,累计考核费用!$B64,考核调整事项表!$D:$D,累计考核费用!T$3)+SUMIFS(考核调整事项表!$E:$E,考核调整事项表!$G:$G,累计考核费用!$B64,考核调整事项表!$F:$F,累计考核费用!T$3)</f>
        <v>0</v>
      </c>
      <c r="U64" s="35">
        <f>SUMIFS(考核调整事项表!$C:$C,考核调整事项表!$G:$G,累计考核费用!$B64,考核调整事项表!$D:$D,累计考核费用!U$3)+SUMIFS(考核调整事项表!$E:$E,考核调整事项表!$G:$G,累计考核费用!$B64,考核调整事项表!$F:$F,累计考核费用!U$3)</f>
        <v>0</v>
      </c>
      <c r="V64" s="35">
        <f>SUMIFS(考核调整事项表!$C:$C,考核调整事项表!$G:$G,累计考核费用!$B64,考核调整事项表!$D:$D,累计考核费用!V$3)+SUMIFS(考核调整事项表!$E:$E,考核调整事项表!$G:$G,累计考核费用!$B64,考核调整事项表!$F:$F,累计考核费用!V$3)</f>
        <v>0</v>
      </c>
      <c r="W64" s="35">
        <f t="shared" si="4"/>
        <v>0</v>
      </c>
      <c r="X64" s="35">
        <f>SUMIFS(考核调整事项表!$C:$C,考核调整事项表!$G:$G,累计考核费用!$B64,考核调整事项表!$D:$D,累计考核费用!X$3)+SUMIFS(考核调整事项表!$E:$E,考核调整事项表!$G:$G,累计考核费用!$B64,考核调整事项表!$F:$F,累计考核费用!X$3)</f>
        <v>0</v>
      </c>
      <c r="Y64" s="35">
        <f>SUMIFS(考核调整事项表!$C:$C,考核调整事项表!$G:$G,累计考核费用!$B64,考核调整事项表!$D:$D,累计考核费用!Y$3)+SUMIFS(考核调整事项表!$E:$E,考核调整事项表!$G:$G,累计考核费用!$B64,考核调整事项表!$F:$F,累计考核费用!Y$3)</f>
        <v>0</v>
      </c>
      <c r="Z64" s="35">
        <f>SUMIFS(考核调整事项表!$C:$C,考核调整事项表!$G:$G,累计考核费用!$B64,考核调整事项表!$D:$D,累计考核费用!Z$3)+SUMIFS(考核调整事项表!$E:$E,考核调整事项表!$G:$G,累计考核费用!$B64,考核调整事项表!$F:$F,累计考核费用!Z$3)</f>
        <v>0</v>
      </c>
      <c r="AA64" s="35">
        <f>SUMIFS(考核调整事项表!$C:$C,考核调整事项表!$G:$G,累计考核费用!$B64,考核调整事项表!$D:$D,累计考核费用!AA$3)+SUMIFS(考核调整事项表!$E:$E,考核调整事项表!$G:$G,累计考核费用!$B64,考核调整事项表!$F:$F,累计考核费用!AA$3)</f>
        <v>0</v>
      </c>
    </row>
    <row r="65" spans="1:27">
      <c r="A65" s="323"/>
      <c r="B65" s="174" t="s">
        <v>68</v>
      </c>
      <c r="C65" s="35">
        <f t="shared" si="1"/>
        <v>0</v>
      </c>
      <c r="D65" s="35">
        <f>SUMIFS(考核调整事项表!$C:$C,考核调整事项表!$G:$G,累计考核费用!$B65,考核调整事项表!$D:$D,累计考核费用!D$3)+SUMIFS(考核调整事项表!$E:$E,考核调整事项表!$G:$G,累计考核费用!$B65,考核调整事项表!$F:$F,累计考核费用!D$3)</f>
        <v>0</v>
      </c>
      <c r="E65" s="35">
        <f>SUMIFS(考核调整事项表!$C:$C,考核调整事项表!$G:$G,累计考核费用!$B65,考核调整事项表!$D:$D,累计考核费用!E$3)+SUMIFS(考核调整事项表!$E:$E,考核调整事项表!$G:$G,累计考核费用!$B65,考核调整事项表!$F:$F,累计考核费用!E$3)</f>
        <v>0</v>
      </c>
      <c r="F65" s="35">
        <f>SUMIFS(考核调整事项表!$C:$C,考核调整事项表!$G:$G,累计考核费用!$B65,考核调整事项表!$D:$D,累计考核费用!F$3)+SUMIFS(考核调整事项表!$E:$E,考核调整事项表!$G:$G,累计考核费用!$B65,考核调整事项表!$F:$F,累计考核费用!F$3)</f>
        <v>0</v>
      </c>
      <c r="G65" s="35">
        <f>SUMIFS(考核调整事项表!$C:$C,考核调整事项表!$G:$G,累计考核费用!$B65,考核调整事项表!$D:$D,累计考核费用!G$3)+SUMIFS(考核调整事项表!$E:$E,考核调整事项表!$G:$G,累计考核费用!$B65,考核调整事项表!$F:$F,累计考核费用!G$3)</f>
        <v>0</v>
      </c>
      <c r="H65" s="35">
        <f>SUMIFS(考核调整事项表!$C:$C,考核调整事项表!$G:$G,累计考核费用!$B65,考核调整事项表!$D:$D,累计考核费用!H$3)+SUMIFS(考核调整事项表!$E:$E,考核调整事项表!$G:$G,累计考核费用!$B65,考核调整事项表!$F:$F,累计考核费用!H$3)</f>
        <v>0</v>
      </c>
      <c r="I65" s="35">
        <f>SUMIFS(考核调整事项表!$C:$C,考核调整事项表!$G:$G,累计考核费用!$B65,考核调整事项表!$D:$D,累计考核费用!I$3)+SUMIFS(考核调整事项表!$E:$E,考核调整事项表!$G:$G,累计考核费用!$B65,考核调整事项表!$F:$F,累计考核费用!I$3)</f>
        <v>0</v>
      </c>
      <c r="J65" s="35">
        <f>SUMIFS(考核调整事项表!$C:$C,考核调整事项表!$G:$G,累计考核费用!$B65,考核调整事项表!$D:$D,累计考核费用!J$3)+SUMIFS(考核调整事项表!$E:$E,考核调整事项表!$G:$G,累计考核费用!$B65,考核调整事项表!$F:$F,累计考核费用!J$3)</f>
        <v>0</v>
      </c>
      <c r="K65" s="35">
        <f>SUMIFS(考核调整事项表!$C:$C,考核调整事项表!$G:$G,累计考核费用!$B65,考核调整事项表!$D:$D,累计考核费用!K$3)+SUMIFS(考核调整事项表!$E:$E,考核调整事项表!$G:$G,累计考核费用!$B65,考核调整事项表!$F:$F,累计考核费用!K$3)</f>
        <v>0</v>
      </c>
      <c r="L65" s="35">
        <f>SUMIFS(考核调整事项表!$C:$C,考核调整事项表!$G:$G,累计考核费用!$B65,考核调整事项表!$D:$D,累计考核费用!L$3)+SUMIFS(考核调整事项表!$E:$E,考核调整事项表!$G:$G,累计考核费用!$B65,考核调整事项表!$F:$F,累计考核费用!L$3)</f>
        <v>0</v>
      </c>
      <c r="M65" s="35">
        <f>SUMIFS(考核调整事项表!$C:$C,考核调整事项表!$G:$G,累计考核费用!$B65,考核调整事项表!$D:$D,累计考核费用!M$3)+SUMIFS(考核调整事项表!$E:$E,考核调整事项表!$G:$G,累计考核费用!$B65,考核调整事项表!$F:$F,累计考核费用!M$3)</f>
        <v>0</v>
      </c>
      <c r="N65" s="35">
        <f>SUMIFS(考核调整事项表!$C:$C,考核调整事项表!$G:$G,累计考核费用!$B65,考核调整事项表!$D:$D,累计考核费用!N$3)+SUMIFS(考核调整事项表!$E:$E,考核调整事项表!$G:$G,累计考核费用!$B65,考核调整事项表!$F:$F,累计考核费用!N$3)</f>
        <v>0</v>
      </c>
      <c r="O65" s="35">
        <f>SUMIFS(考核调整事项表!$C:$C,考核调整事项表!$G:$G,累计考核费用!$B65,考核调整事项表!$D:$D,累计考核费用!O$3)+SUMIFS(考核调整事项表!$E:$E,考核调整事项表!$G:$G,累计考核费用!$B65,考核调整事项表!$F:$F,累计考核费用!O$3)</f>
        <v>0</v>
      </c>
      <c r="P65" s="35">
        <f>SUMIFS(考核调整事项表!$C:$C,考核调整事项表!$G:$G,累计考核费用!$B65,考核调整事项表!$D:$D,累计考核费用!P$3)+SUMIFS(考核调整事项表!$E:$E,考核调整事项表!$G:$G,累计考核费用!$B65,考核调整事项表!$F:$F,累计考核费用!P$3)</f>
        <v>0</v>
      </c>
      <c r="Q65" s="35">
        <f>SUMIFS(考核调整事项表!$C:$C,考核调整事项表!$G:$G,累计考核费用!$B65,考核调整事项表!$D:$D,累计考核费用!Q$3)+SUMIFS(考核调整事项表!$E:$E,考核调整事项表!$G:$G,累计考核费用!$B65,考核调整事项表!$F:$F,累计考核费用!Q$3)</f>
        <v>0</v>
      </c>
      <c r="R65" s="35">
        <f>SUMIFS(考核调整事项表!$C:$C,考核调整事项表!$G:$G,累计考核费用!$B65,考核调整事项表!$D:$D,累计考核费用!R$3)+SUMIFS(考核调整事项表!$E:$E,考核调整事项表!$G:$G,累计考核费用!$B65,考核调整事项表!$F:$F,累计考核费用!R$3)</f>
        <v>0</v>
      </c>
      <c r="S65" s="35">
        <f>SUMIFS(考核调整事项表!$C:$C,考核调整事项表!$G:$G,累计考核费用!$B65,考核调整事项表!$D:$D,累计考核费用!S$3)+SUMIFS(考核调整事项表!$E:$E,考核调整事项表!$G:$G,累计考核费用!$B65,考核调整事项表!$F:$F,累计考核费用!S$3)</f>
        <v>0</v>
      </c>
      <c r="T65" s="35">
        <f>SUMIFS(考核调整事项表!$C:$C,考核调整事项表!$G:$G,累计考核费用!$B65,考核调整事项表!$D:$D,累计考核费用!T$3)+SUMIFS(考核调整事项表!$E:$E,考核调整事项表!$G:$G,累计考核费用!$B65,考核调整事项表!$F:$F,累计考核费用!T$3)</f>
        <v>0</v>
      </c>
      <c r="U65" s="35">
        <f>SUMIFS(考核调整事项表!$C:$C,考核调整事项表!$G:$G,累计考核费用!$B65,考核调整事项表!$D:$D,累计考核费用!U$3)+SUMIFS(考核调整事项表!$E:$E,考核调整事项表!$G:$G,累计考核费用!$B65,考核调整事项表!$F:$F,累计考核费用!U$3)</f>
        <v>0</v>
      </c>
      <c r="V65" s="35">
        <f>SUMIFS(考核调整事项表!$C:$C,考核调整事项表!$G:$G,累计考核费用!$B65,考核调整事项表!$D:$D,累计考核费用!V$3)+SUMIFS(考核调整事项表!$E:$E,考核调整事项表!$G:$G,累计考核费用!$B65,考核调整事项表!$F:$F,累计考核费用!V$3)</f>
        <v>0</v>
      </c>
      <c r="W65" s="35">
        <f t="shared" si="4"/>
        <v>0</v>
      </c>
      <c r="X65" s="35">
        <f>SUMIFS(考核调整事项表!$C:$C,考核调整事项表!$G:$G,累计考核费用!$B65,考核调整事项表!$D:$D,累计考核费用!X$3)+SUMIFS(考核调整事项表!$E:$E,考核调整事项表!$G:$G,累计考核费用!$B65,考核调整事项表!$F:$F,累计考核费用!X$3)</f>
        <v>0</v>
      </c>
      <c r="Y65" s="35">
        <f>SUMIFS(考核调整事项表!$C:$C,考核调整事项表!$G:$G,累计考核费用!$B65,考核调整事项表!$D:$D,累计考核费用!Y$3)+SUMIFS(考核调整事项表!$E:$E,考核调整事项表!$G:$G,累计考核费用!$B65,考核调整事项表!$F:$F,累计考核费用!Y$3)</f>
        <v>0</v>
      </c>
      <c r="Z65" s="35">
        <f>SUMIFS(考核调整事项表!$C:$C,考核调整事项表!$G:$G,累计考核费用!$B65,考核调整事项表!$D:$D,累计考核费用!Z$3)+SUMIFS(考核调整事项表!$E:$E,考核调整事项表!$G:$G,累计考核费用!$B65,考核调整事项表!$F:$F,累计考核费用!Z$3)</f>
        <v>0</v>
      </c>
      <c r="AA65" s="35">
        <f>SUMIFS(考核调整事项表!$C:$C,考核调整事项表!$G:$G,累计考核费用!$B65,考核调整事项表!$D:$D,累计考核费用!AA$3)+SUMIFS(考核调整事项表!$E:$E,考核调整事项表!$G:$G,累计考核费用!$B65,考核调整事项表!$F:$F,累计考核费用!AA$3)</f>
        <v>0</v>
      </c>
    </row>
    <row r="66" spans="1:27" ht="13.5" customHeight="1">
      <c r="A66" s="324"/>
      <c r="B66" s="175" t="s">
        <v>247</v>
      </c>
      <c r="C66" s="175">
        <f t="shared" ref="C66:Z66" si="5">SUM(C56:C65)</f>
        <v>0</v>
      </c>
      <c r="D66" s="175">
        <f t="shared" si="5"/>
        <v>-505822</v>
      </c>
      <c r="E66" s="175">
        <f t="shared" si="5"/>
        <v>0</v>
      </c>
      <c r="F66" s="175">
        <f t="shared" si="5"/>
        <v>905822</v>
      </c>
      <c r="G66" s="175">
        <f t="shared" si="5"/>
        <v>0</v>
      </c>
      <c r="H66" s="175">
        <f t="shared" si="5"/>
        <v>0</v>
      </c>
      <c r="I66" s="175">
        <f t="shared" si="5"/>
        <v>0</v>
      </c>
      <c r="J66" s="175">
        <f t="shared" ref="J66:L66" si="6">SUM(J56:J65)</f>
        <v>0</v>
      </c>
      <c r="K66" s="175">
        <f t="shared" si="6"/>
        <v>0</v>
      </c>
      <c r="L66" s="175">
        <f t="shared" si="6"/>
        <v>0</v>
      </c>
      <c r="M66" s="175">
        <f t="shared" si="5"/>
        <v>0</v>
      </c>
      <c r="N66" s="175">
        <f t="shared" si="5"/>
        <v>0</v>
      </c>
      <c r="O66" s="175">
        <f t="shared" si="5"/>
        <v>0</v>
      </c>
      <c r="P66" s="175">
        <f t="shared" si="5"/>
        <v>0</v>
      </c>
      <c r="Q66" s="175">
        <f t="shared" si="5"/>
        <v>0</v>
      </c>
      <c r="R66" s="175">
        <f t="shared" si="5"/>
        <v>0</v>
      </c>
      <c r="S66" s="175">
        <f t="shared" si="5"/>
        <v>0</v>
      </c>
      <c r="T66" s="175">
        <f t="shared" si="5"/>
        <v>0</v>
      </c>
      <c r="U66" s="175">
        <f t="shared" si="5"/>
        <v>0</v>
      </c>
      <c r="V66" s="175">
        <f t="shared" si="5"/>
        <v>0</v>
      </c>
      <c r="W66" s="175">
        <f t="shared" si="5"/>
        <v>-400000</v>
      </c>
      <c r="X66" s="175">
        <f t="shared" si="5"/>
        <v>-408000</v>
      </c>
      <c r="Y66" s="175">
        <f t="shared" si="5"/>
        <v>8000</v>
      </c>
      <c r="Z66" s="175">
        <f t="shared" si="5"/>
        <v>0</v>
      </c>
      <c r="AA66" s="175">
        <f t="shared" ref="AA66" si="7">SUM(AA56:AA65)</f>
        <v>0</v>
      </c>
    </row>
    <row r="67" spans="1:27" ht="13.5" customHeight="1">
      <c r="A67" s="325" t="s">
        <v>70</v>
      </c>
      <c r="B67" s="174" t="s">
        <v>71</v>
      </c>
      <c r="C67" s="35">
        <f t="shared" si="1"/>
        <v>0</v>
      </c>
      <c r="D67" s="35">
        <f>SUMIFS(考核调整事项表!$C:$C,考核调整事项表!$G:$G,累计考核费用!$B67,考核调整事项表!$D:$D,累计考核费用!D$3)+SUMIFS(考核调整事项表!$E:$E,考核调整事项表!$G:$G,累计考核费用!$B67,考核调整事项表!$F:$F,累计考核费用!D$3)</f>
        <v>0</v>
      </c>
      <c r="E67" s="35">
        <f>SUMIFS(考核调整事项表!$C:$C,考核调整事项表!$G:$G,累计考核费用!$B67,考核调整事项表!$D:$D,累计考核费用!E$3)+SUMIFS(考核调整事项表!$E:$E,考核调整事项表!$G:$G,累计考核费用!$B67,考核调整事项表!$F:$F,累计考核费用!E$3)</f>
        <v>0</v>
      </c>
      <c r="F67" s="35">
        <f>SUMIFS(考核调整事项表!$C:$C,考核调整事项表!$G:$G,累计考核费用!$B67,考核调整事项表!$D:$D,累计考核费用!F$3)+SUMIFS(考核调整事项表!$E:$E,考核调整事项表!$G:$G,累计考核费用!$B67,考核调整事项表!$F:$F,累计考核费用!F$3)</f>
        <v>302458.52</v>
      </c>
      <c r="G67" s="35">
        <f>SUMIFS(考核调整事项表!$C:$C,考核调整事项表!$G:$G,累计考核费用!$B67,考核调整事项表!$D:$D,累计考核费用!G$3)+SUMIFS(考核调整事项表!$E:$E,考核调整事项表!$G:$G,累计考核费用!$B67,考核调整事项表!$F:$F,累计考核费用!G$3)</f>
        <v>0</v>
      </c>
      <c r="H67" s="35">
        <f>SUM(I67:P67)</f>
        <v>4100</v>
      </c>
      <c r="I67" s="35">
        <f>SUMIFS(考核调整事项表!$C:$C,考核调整事项表!$G:$G,累计考核费用!$B67,考核调整事项表!$D:$D,累计考核费用!I$3)+SUMIFS(考核调整事项表!$E:$E,考核调整事项表!$G:$G,累计考核费用!$B67,考核调整事项表!$F:$F,累计考核费用!I$3)</f>
        <v>0</v>
      </c>
      <c r="J67" s="35">
        <f>SUMIFS(考核调整事项表!$C:$C,考核调整事项表!$G:$G,累计考核费用!$B67,考核调整事项表!$D:$D,累计考核费用!J$3)+SUMIFS(考核调整事项表!$E:$E,考核调整事项表!$G:$G,累计考核费用!$B67,考核调整事项表!$F:$F,累计考核费用!J$3)</f>
        <v>0</v>
      </c>
      <c r="K67" s="35">
        <f>SUMIFS(考核调整事项表!$C:$C,考核调整事项表!$G:$G,累计考核费用!$B67,考核调整事项表!$D:$D,累计考核费用!K$3)+SUMIFS(考核调整事项表!$E:$E,考核调整事项表!$G:$G,累计考核费用!$B67,考核调整事项表!$F:$F,累计考核费用!K$3)</f>
        <v>0</v>
      </c>
      <c r="L67" s="35">
        <f>SUMIFS(考核调整事项表!$C:$C,考核调整事项表!$G:$G,累计考核费用!$B67,考核调整事项表!$D:$D,累计考核费用!L$3)+SUMIFS(考核调整事项表!$E:$E,考核调整事项表!$G:$G,累计考核费用!$B67,考核调整事项表!$F:$F,累计考核费用!L$3)</f>
        <v>0</v>
      </c>
      <c r="M67" s="35">
        <f>SUMIFS(考核调整事项表!$C:$C,考核调整事项表!$G:$G,累计考核费用!$B67,考核调整事项表!$D:$D,累计考核费用!M$3)+SUMIFS(考核调整事项表!$E:$E,考核调整事项表!$G:$G,累计考核费用!$B67,考核调整事项表!$F:$F,累计考核费用!M$3)</f>
        <v>0</v>
      </c>
      <c r="N67" s="35">
        <f>SUMIFS(考核调整事项表!$C:$C,考核调整事项表!$G:$G,累计考核费用!$B67,考核调整事项表!$D:$D,累计考核费用!N$3)+SUMIFS(考核调整事项表!$E:$E,考核调整事项表!$G:$G,累计考核费用!$B67,考核调整事项表!$F:$F,累计考核费用!N$3)</f>
        <v>0</v>
      </c>
      <c r="O67" s="35">
        <f>SUMIFS(考核调整事项表!$C:$C,考核调整事项表!$G:$G,累计考核费用!$B67,考核调整事项表!$D:$D,累计考核费用!O$3)+SUMIFS(考核调整事项表!$E:$E,考核调整事项表!$G:$G,累计考核费用!$B67,考核调整事项表!$F:$F,累计考核费用!O$3)</f>
        <v>0</v>
      </c>
      <c r="P67" s="35">
        <f>SUMIFS(考核调整事项表!$C:$C,考核调整事项表!$G:$G,累计考核费用!$B67,考核调整事项表!$D:$D,累计考核费用!P$3)+SUMIFS(考核调整事项表!$E:$E,考核调整事项表!$G:$G,累计考核费用!$B67,考核调整事项表!$F:$F,累计考核费用!P$3)</f>
        <v>4100</v>
      </c>
      <c r="Q67" s="35">
        <f>SUMIFS(考核调整事项表!$C:$C,考核调整事项表!$G:$G,累计考核费用!$B67,考核调整事项表!$D:$D,累计考核费用!Q$3)+SUMIFS(考核调整事项表!$E:$E,考核调整事项表!$G:$G,累计考核费用!$B67,考核调整事项表!$F:$F,累计考核费用!Q$3)</f>
        <v>0</v>
      </c>
      <c r="R67" s="41">
        <f>SUM(S67:V67)</f>
        <v>0</v>
      </c>
      <c r="S67" s="35">
        <f>SUMIFS(考核调整事项表!$C:$C,考核调整事项表!$G:$G,累计考核费用!$B67,考核调整事项表!$D:$D,累计考核费用!S$3)+SUMIFS(考核调整事项表!$E:$E,考核调整事项表!$G:$G,累计考核费用!$B67,考核调整事项表!$F:$F,累计考核费用!S$3)</f>
        <v>0</v>
      </c>
      <c r="T67" s="35">
        <f>SUMIFS(考核调整事项表!$C:$C,考核调整事项表!$G:$G,累计考核费用!$B67,考核调整事项表!$D:$D,累计考核费用!T$3)+SUMIFS(考核调整事项表!$E:$E,考核调整事项表!$G:$G,累计考核费用!$B67,考核调整事项表!$F:$F,累计考核费用!T$3)</f>
        <v>0</v>
      </c>
      <c r="U67" s="35">
        <f>SUMIFS(考核调整事项表!$C:$C,考核调整事项表!$G:$G,累计考核费用!$B67,考核调整事项表!$D:$D,累计考核费用!U$3)+SUMIFS(考核调整事项表!$E:$E,考核调整事项表!$G:$G,累计考核费用!$B67,考核调整事项表!$F:$F,累计考核费用!U$3)</f>
        <v>0</v>
      </c>
      <c r="V67" s="35">
        <f>SUMIFS(考核调整事项表!$C:$C,考核调整事项表!$G:$G,累计考核费用!$B67,考核调整事项表!$D:$D,累计考核费用!V$3)+SUMIFS(考核调整事项表!$E:$E,考核调整事项表!$G:$G,累计考核费用!$B67,考核调整事项表!$F:$F,累计考核费用!V$3)</f>
        <v>0</v>
      </c>
      <c r="W67" s="35">
        <f t="shared" ref="W67:W102" si="8">SUM(X67:Y67)</f>
        <v>0</v>
      </c>
      <c r="X67" s="35">
        <f>SUMIFS(考核调整事项表!$C:$C,考核调整事项表!$G:$G,累计考核费用!$B67,考核调整事项表!$D:$D,累计考核费用!X$3)+SUMIFS(考核调整事项表!$E:$E,考核调整事项表!$G:$G,累计考核费用!$B67,考核调整事项表!$F:$F,累计考核费用!X$3)</f>
        <v>0</v>
      </c>
      <c r="Y67" s="35">
        <f>SUMIFS(考核调整事项表!$C:$C,考核调整事项表!$G:$G,累计考核费用!$B67,考核调整事项表!$D:$D,累计考核费用!Y$3)+SUMIFS(考核调整事项表!$E:$E,考核调整事项表!$G:$G,累计考核费用!$B67,考核调整事项表!$F:$F,累计考核费用!Y$3)</f>
        <v>0</v>
      </c>
      <c r="Z67" s="35">
        <f>SUMIFS(考核调整事项表!$C:$C,考核调整事项表!$G:$G,累计考核费用!$B67,考核调整事项表!$D:$D,累计考核费用!Z$3)+SUMIFS(考核调整事项表!$E:$E,考核调整事项表!$G:$G,累计考核费用!$B67,考核调整事项表!$F:$F,累计考核费用!Z$3)</f>
        <v>-306558.52</v>
      </c>
      <c r="AA67" s="35">
        <f>SUMIFS(考核调整事项表!$C:$C,考核调整事项表!$G:$G,累计考核费用!$B67,考核调整事项表!$D:$D,累计考核费用!AA$3)+SUMIFS(考核调整事项表!$E:$E,考核调整事项表!$G:$G,累计考核费用!$B67,考核调整事项表!$F:$F,累计考核费用!AA$3)</f>
        <v>0</v>
      </c>
    </row>
    <row r="68" spans="1:27">
      <c r="A68" s="326"/>
      <c r="B68" s="174" t="s">
        <v>242</v>
      </c>
      <c r="C68" s="35">
        <f t="shared" si="1"/>
        <v>0</v>
      </c>
      <c r="D68" s="35">
        <f>SUMIFS(考核调整事项表!$C:$C,考核调整事项表!$G:$G,累计考核费用!$B68,考核调整事项表!$D:$D,累计考核费用!D$3)+SUMIFS(考核调整事项表!$E:$E,考核调整事项表!$G:$G,累计考核费用!$B68,考核调整事项表!$F:$F,累计考核费用!D$3)</f>
        <v>-78000</v>
      </c>
      <c r="E68" s="35">
        <f>SUMIFS(考核调整事项表!$C:$C,考核调整事项表!$G:$G,累计考核费用!$B68,考核调整事项表!$D:$D,累计考核费用!E$3)+SUMIFS(考核调整事项表!$E:$E,考核调整事项表!$G:$G,累计考核费用!$B68,考核调整事项表!$F:$F,累计考核费用!E$3)</f>
        <v>0</v>
      </c>
      <c r="F68" s="35">
        <f>SUMIFS(考核调整事项表!$C:$C,考核调整事项表!$G:$G,累计考核费用!$B68,考核调整事项表!$D:$D,累计考核费用!F$3)+SUMIFS(考核调整事项表!$E:$E,考核调整事项表!$G:$G,累计考核费用!$B68,考核调整事项表!$F:$F,累计考核费用!F$3)</f>
        <v>0</v>
      </c>
      <c r="G68" s="35">
        <f>SUMIFS(考核调整事项表!$C:$C,考核调整事项表!$G:$G,累计考核费用!$B68,考核调整事项表!$D:$D,累计考核费用!G$3)+SUMIFS(考核调整事项表!$E:$E,考核调整事项表!$G:$G,累计考核费用!$B68,考核调整事项表!$F:$F,累计考核费用!G$3)</f>
        <v>0</v>
      </c>
      <c r="H68" s="35">
        <f>SUM(I68:P68)</f>
        <v>78000</v>
      </c>
      <c r="I68" s="35">
        <f>SUMIFS(考核调整事项表!$C:$C,考核调整事项表!$G:$G,累计考核费用!$B68,考核调整事项表!$D:$D,累计考核费用!I$3)+SUMIFS(考核调整事项表!$E:$E,考核调整事项表!$G:$G,累计考核费用!$B68,考核调整事项表!$F:$F,累计考核费用!I$3)</f>
        <v>0</v>
      </c>
      <c r="J68" s="35">
        <f>SUMIFS(考核调整事项表!$C:$C,考核调整事项表!$G:$G,累计考核费用!$B68,考核调整事项表!$D:$D,累计考核费用!J$3)+SUMIFS(考核调整事项表!$E:$E,考核调整事项表!$G:$G,累计考核费用!$B68,考核调整事项表!$F:$F,累计考核费用!J$3)</f>
        <v>0</v>
      </c>
      <c r="K68" s="35">
        <f>SUMIFS(考核调整事项表!$C:$C,考核调整事项表!$G:$G,累计考核费用!$B68,考核调整事项表!$D:$D,累计考核费用!K$3)+SUMIFS(考核调整事项表!$E:$E,考核调整事项表!$G:$G,累计考核费用!$B68,考核调整事项表!$F:$F,累计考核费用!K$3)</f>
        <v>0</v>
      </c>
      <c r="L68" s="35">
        <f>SUMIFS(考核调整事项表!$C:$C,考核调整事项表!$G:$G,累计考核费用!$B68,考核调整事项表!$D:$D,累计考核费用!L$3)+SUMIFS(考核调整事项表!$E:$E,考核调整事项表!$G:$G,累计考核费用!$B68,考核调整事项表!$F:$F,累计考核费用!L$3)</f>
        <v>0</v>
      </c>
      <c r="M68" s="35">
        <f>SUMIFS(考核调整事项表!$C:$C,考核调整事项表!$G:$G,累计考核费用!$B68,考核调整事项表!$D:$D,累计考核费用!M$3)+SUMIFS(考核调整事项表!$E:$E,考核调整事项表!$G:$G,累计考核费用!$B68,考核调整事项表!$F:$F,累计考核费用!M$3)</f>
        <v>0</v>
      </c>
      <c r="N68" s="35">
        <f>SUMIFS(考核调整事项表!$C:$C,考核调整事项表!$G:$G,累计考核费用!$B68,考核调整事项表!$D:$D,累计考核费用!N$3)+SUMIFS(考核调整事项表!$E:$E,考核调整事项表!$G:$G,累计考核费用!$B68,考核调整事项表!$F:$F,累计考核费用!N$3)</f>
        <v>0</v>
      </c>
      <c r="O68" s="35">
        <f>SUMIFS(考核调整事项表!$C:$C,考核调整事项表!$G:$G,累计考核费用!$B68,考核调整事项表!$D:$D,累计考核费用!O$3)+SUMIFS(考核调整事项表!$E:$E,考核调整事项表!$G:$G,累计考核费用!$B68,考核调整事项表!$F:$F,累计考核费用!O$3)</f>
        <v>0</v>
      </c>
      <c r="P68" s="35">
        <f>SUMIFS(考核调整事项表!$C:$C,考核调整事项表!$G:$G,累计考核费用!$B68,考核调整事项表!$D:$D,累计考核费用!P$3)+SUMIFS(考核调整事项表!$E:$E,考核调整事项表!$G:$G,累计考核费用!$B68,考核调整事项表!$F:$F,累计考核费用!P$3)</f>
        <v>78000</v>
      </c>
      <c r="Q68" s="35">
        <f>SUMIFS(考核调整事项表!$C:$C,考核调整事项表!$G:$G,累计考核费用!$B68,考核调整事项表!$D:$D,累计考核费用!Q$3)+SUMIFS(考核调整事项表!$E:$E,考核调整事项表!$G:$G,累计考核费用!$B68,考核调整事项表!$F:$F,累计考核费用!Q$3)</f>
        <v>-204746</v>
      </c>
      <c r="R68" s="41">
        <f>SUM(S68:V68)</f>
        <v>0</v>
      </c>
      <c r="S68" s="35">
        <f>SUMIFS(考核调整事项表!$C:$C,考核调整事项表!$G:$G,累计考核费用!$B68,考核调整事项表!$D:$D,累计考核费用!S$3)+SUMIFS(考核调整事项表!$E:$E,考核调整事项表!$G:$G,累计考核费用!$B68,考核调整事项表!$F:$F,累计考核费用!S$3)</f>
        <v>0</v>
      </c>
      <c r="T68" s="35">
        <f>SUMIFS(考核调整事项表!$C:$C,考核调整事项表!$G:$G,累计考核费用!$B68,考核调整事项表!$D:$D,累计考核费用!T$3)+SUMIFS(考核调整事项表!$E:$E,考核调整事项表!$G:$G,累计考核费用!$B68,考核调整事项表!$F:$F,累计考核费用!T$3)</f>
        <v>0</v>
      </c>
      <c r="U68" s="35">
        <f>SUMIFS(考核调整事项表!$C:$C,考核调整事项表!$G:$G,累计考核费用!$B68,考核调整事项表!$D:$D,累计考核费用!U$3)+SUMIFS(考核调整事项表!$E:$E,考核调整事项表!$G:$G,累计考核费用!$B68,考核调整事项表!$F:$F,累计考核费用!U$3)</f>
        <v>0</v>
      </c>
      <c r="V68" s="35">
        <f>SUMIFS(考核调整事项表!$C:$C,考核调整事项表!$G:$G,累计考核费用!$B68,考核调整事项表!$D:$D,累计考核费用!V$3)+SUMIFS(考核调整事项表!$E:$E,考核调整事项表!$G:$G,累计考核费用!$B68,考核调整事项表!$F:$F,累计考核费用!V$3)</f>
        <v>0</v>
      </c>
      <c r="W68" s="35">
        <f t="shared" si="8"/>
        <v>204746</v>
      </c>
      <c r="X68" s="35">
        <f>SUMIFS(考核调整事项表!$C:$C,考核调整事项表!$G:$G,累计考核费用!$B68,考核调整事项表!$D:$D,累计考核费用!X$3)+SUMIFS(考核调整事项表!$E:$E,考核调整事项表!$G:$G,累计考核费用!$B68,考核调整事项表!$F:$F,累计考核费用!X$3)</f>
        <v>0</v>
      </c>
      <c r="Y68" s="35">
        <f>SUMIFS(考核调整事项表!$C:$C,考核调整事项表!$G:$G,累计考核费用!$B68,考核调整事项表!$D:$D,累计考核费用!Y$3)+SUMIFS(考核调整事项表!$E:$E,考核调整事项表!$G:$G,累计考核费用!$B68,考核调整事项表!$F:$F,累计考核费用!Y$3)</f>
        <v>204746</v>
      </c>
      <c r="Z68" s="35">
        <f>SUMIFS(考核调整事项表!$C:$C,考核调整事项表!$G:$G,累计考核费用!$B68,考核调整事项表!$D:$D,累计考核费用!Z$3)+SUMIFS(考核调整事项表!$E:$E,考核调整事项表!$G:$G,累计考核费用!$B68,考核调整事项表!$F:$F,累计考核费用!Z$3)</f>
        <v>0</v>
      </c>
      <c r="AA68" s="35">
        <f>SUMIFS(考核调整事项表!$C:$C,考核调整事项表!$G:$G,累计考核费用!$B68,考核调整事项表!$D:$D,累计考核费用!AA$3)+SUMIFS(考核调整事项表!$E:$E,考核调整事项表!$G:$G,累计考核费用!$B68,考核调整事项表!$F:$F,累计考核费用!AA$3)</f>
        <v>0</v>
      </c>
    </row>
    <row r="69" spans="1:27">
      <c r="A69" s="326"/>
      <c r="B69" s="174" t="s">
        <v>73</v>
      </c>
      <c r="C69" s="35">
        <f t="shared" si="1"/>
        <v>-7.2759576141834259E-11</v>
      </c>
      <c r="D69" s="35">
        <f>SUMIFS(考核调整事项表!$C:$C,考核调整事项表!$G:$G,累计考核费用!$B69,考核调整事项表!$D:$D,累计考核费用!D$3)+SUMIFS(考核调整事项表!$E:$E,考核调整事项表!$G:$G,累计考核费用!$B69,考核调整事项表!$F:$F,累计考核费用!D$3)</f>
        <v>-631868.79</v>
      </c>
      <c r="E69" s="35">
        <f>SUMIFS(考核调整事项表!$C:$C,考核调整事项表!$G:$G,累计考核费用!$B69,考核调整事项表!$D:$D,累计考核费用!E$3)+SUMIFS(考核调整事项表!$E:$E,考核调整事项表!$G:$G,累计考核费用!$B69,考核调整事项表!$F:$F,累计考核费用!E$3)</f>
        <v>-51869.059999999983</v>
      </c>
      <c r="F69" s="35">
        <f>SUMIFS(考核调整事项表!$C:$C,考核调整事项表!$G:$G,累计考核费用!$B69,考核调整事项表!$D:$D,累计考核费用!F$3)+SUMIFS(考核调整事项表!$E:$E,考核调整事项表!$G:$G,累计考核费用!$B69,考核调整事项表!$F:$F,累计考核费用!F$3)</f>
        <v>474092.86999999994</v>
      </c>
      <c r="G69" s="35">
        <f>SUMIFS(考核调整事项表!$C:$C,考核调整事项表!$G:$G,累计考核费用!$B69,考核调整事项表!$D:$D,累计考核费用!G$3)+SUMIFS(考核调整事项表!$E:$E,考核调整事项表!$G:$G,累计考核费用!$B69,考核调整事项表!$F:$F,累计考核费用!G$3)</f>
        <v>-10659.46</v>
      </c>
      <c r="H69" s="35">
        <f>SUM(I69:P69)</f>
        <v>149499.95999999996</v>
      </c>
      <c r="I69" s="35">
        <f>SUMIFS(考核调整事项表!$C:$C,考核调整事项表!$G:$G,累计考核费用!$B69,考核调整事项表!$D:$D,累计考核费用!I$3)+SUMIFS(考核调整事项表!$E:$E,考核调整事项表!$G:$G,累计考核费用!$B69,考核调整事项表!$F:$F,累计考核费用!I$3)</f>
        <v>376549.1</v>
      </c>
      <c r="J69" s="35">
        <f>SUMIFS(考核调整事项表!$C:$C,考核调整事项表!$G:$G,累计考核费用!$B69,考核调整事项表!$D:$D,累计考核费用!J$3)+SUMIFS(考核调整事项表!$E:$E,考核调整事项表!$G:$G,累计考核费用!$B69,考核调整事项表!$F:$F,累计考核费用!J$3)</f>
        <v>0</v>
      </c>
      <c r="K69" s="35">
        <f>SUMIFS(考核调整事项表!$C:$C,考核调整事项表!$G:$G,累计考核费用!$B69,考核调整事项表!$D:$D,累计考核费用!K$3)+SUMIFS(考核调整事项表!$E:$E,考核调整事项表!$G:$G,累计考核费用!$B69,考核调整事项表!$F:$F,累计考核费用!K$3)</f>
        <v>-255388.57</v>
      </c>
      <c r="L69" s="35">
        <f>SUMIFS(考核调整事项表!$C:$C,考核调整事项表!$G:$G,累计考核费用!$B69,考核调整事项表!$D:$D,累计考核费用!L$3)+SUMIFS(考核调整事项表!$E:$E,考核调整事项表!$G:$G,累计考核费用!$B69,考核调整事项表!$F:$F,累计考核费用!L$3)</f>
        <v>0</v>
      </c>
      <c r="M69" s="35">
        <f>SUMIFS(考核调整事项表!$C:$C,考核调整事项表!$G:$G,累计考核费用!$B69,考核调整事项表!$D:$D,累计考核费用!M$3)+SUMIFS(考核调整事项表!$E:$E,考核调整事项表!$G:$G,累计考核费用!$B69,考核调整事项表!$F:$F,累计考核费用!M$3)</f>
        <v>2740.579999999999</v>
      </c>
      <c r="N69" s="35">
        <f>SUMIFS(考核调整事项表!$C:$C,考核调整事项表!$G:$G,累计考核费用!$B69,考核调整事项表!$D:$D,累计考核费用!N$3)+SUMIFS(考核调整事项表!$E:$E,考核调整事项表!$G:$G,累计考核费用!$B69,考核调整事项表!$F:$F,累计考核费用!N$3)</f>
        <v>0</v>
      </c>
      <c r="O69" s="35">
        <f>SUMIFS(考核调整事项表!$C:$C,考核调整事项表!$G:$G,累计考核费用!$B69,考核调整事项表!$D:$D,累计考核费用!O$3)+SUMIFS(考核调整事项表!$E:$E,考核调整事项表!$G:$G,累计考核费用!$B69,考核调整事项表!$F:$F,累计考核费用!O$3)</f>
        <v>0</v>
      </c>
      <c r="P69" s="35">
        <f>SUMIFS(考核调整事项表!$C:$C,考核调整事项表!$G:$G,累计考核费用!$B69,考核调整事项表!$D:$D,累计考核费用!P$3)+SUMIFS(考核调整事项表!$E:$E,考核调整事项表!$G:$G,累计考核费用!$B69,考核调整事项表!$F:$F,累计考核费用!P$3)</f>
        <v>25598.849999999991</v>
      </c>
      <c r="Q69" s="35">
        <f>SUMIFS(考核调整事项表!$C:$C,考核调整事项表!$G:$G,累计考核费用!$B69,考核调整事项表!$D:$D,累计考核费用!Q$3)+SUMIFS(考核调整事项表!$E:$E,考核调整事项表!$G:$G,累计考核费用!$B69,考核调整事项表!$F:$F,累计考核费用!Q$3)</f>
        <v>-21563.82</v>
      </c>
      <c r="R69" s="41">
        <f t="shared" ref="R69:R71" si="9">SUM(S69:V69)</f>
        <v>75005.94</v>
      </c>
      <c r="S69" s="35">
        <f>SUMIFS(考核调整事项表!$C:$C,考核调整事项表!$G:$G,累计考核费用!$B69,考核调整事项表!$D:$D,累计考核费用!S$3)+SUMIFS(考核调整事项表!$E:$E,考核调整事项表!$G:$G,累计考核费用!$B69,考核调整事项表!$F:$F,累计考核费用!S$3)</f>
        <v>0</v>
      </c>
      <c r="T69" s="35">
        <f>SUMIFS(考核调整事项表!$C:$C,考核调整事项表!$G:$G,累计考核费用!$B69,考核调整事项表!$D:$D,累计考核费用!T$3)+SUMIFS(考核调整事项表!$E:$E,考核调整事项表!$G:$G,累计考核费用!$B69,考核调整事项表!$F:$F,累计考核费用!T$3)</f>
        <v>-16867.919999999998</v>
      </c>
      <c r="U69" s="35">
        <f>SUMIFS(考核调整事项表!$C:$C,考核调整事项表!$G:$G,累计考核费用!$B69,考核调整事项表!$D:$D,累计考核费用!U$3)+SUMIFS(考核调整事项表!$E:$E,考核调整事项表!$G:$G,累计考核费用!$B69,考核调整事项表!$F:$F,累计考核费用!U$3)</f>
        <v>17124.189999999999</v>
      </c>
      <c r="V69" s="35">
        <f>SUMIFS(考核调整事项表!$C:$C,考核调整事项表!$G:$G,累计考核费用!$B69,考核调整事项表!$D:$D,累计考核费用!V$3)+SUMIFS(考核调整事项表!$E:$E,考核调整事项表!$G:$G,累计考核费用!$B69,考核调整事项表!$F:$F,累计考核费用!V$3)</f>
        <v>74749.67</v>
      </c>
      <c r="W69" s="35">
        <f t="shared" si="8"/>
        <v>17362.36</v>
      </c>
      <c r="X69" s="35">
        <f>SUMIFS(考核调整事项表!$C:$C,考核调整事项表!$G:$G,累计考核费用!$B69,考核调整事项表!$D:$D,累计考核费用!X$3)+SUMIFS(考核调整事项表!$E:$E,考核调整事项表!$G:$G,累计考核费用!$B69,考核调整事项表!$F:$F,累计考核费用!X$3)</f>
        <v>0</v>
      </c>
      <c r="Y69" s="35">
        <f>SUMIFS(考核调整事项表!$C:$C,考核调整事项表!$G:$G,累计考核费用!$B69,考核调整事项表!$D:$D,累计考核费用!Y$3)+SUMIFS(考核调整事项表!$E:$E,考核调整事项表!$G:$G,累计考核费用!$B69,考核调整事项表!$F:$F,累计考核费用!Y$3)</f>
        <v>17362.36</v>
      </c>
      <c r="Z69" s="35">
        <f>SUMIFS(考核调整事项表!$C:$C,考核调整事项表!$G:$G,累计考核费用!$B69,考核调整事项表!$D:$D,累计考核费用!Z$3)+SUMIFS(考核调整事项表!$E:$E,考核调整事项表!$G:$G,累计考核费用!$B69,考核调整事项表!$F:$F,累计考核费用!Z$3)</f>
        <v>0</v>
      </c>
      <c r="AA69" s="35">
        <f>SUMIFS(考核调整事项表!$C:$C,考核调整事项表!$G:$G,累计考核费用!$B69,考核调整事项表!$D:$D,累计考核费用!AA$3)+SUMIFS(考核调整事项表!$E:$E,考核调整事项表!$G:$G,累计考核费用!$B69,考核调整事项表!$F:$F,累计考核费用!AA$3)</f>
        <v>0</v>
      </c>
    </row>
    <row r="70" spans="1:27">
      <c r="A70" s="326"/>
      <c r="B70" s="174" t="s">
        <v>96</v>
      </c>
      <c r="C70" s="35">
        <f t="shared" si="1"/>
        <v>0</v>
      </c>
      <c r="D70" s="35">
        <f>SUMIFS(考核调整事项表!$C:$C,考核调整事项表!$G:$G,累计考核费用!$B70,考核调整事项表!$D:$D,累计考核费用!D$3)+SUMIFS(考核调整事项表!$E:$E,考核调整事项表!$G:$G,累计考核费用!$B70,考核调整事项表!$F:$F,累计考核费用!D$3)</f>
        <v>0</v>
      </c>
      <c r="E70" s="35">
        <f>SUMIFS(考核调整事项表!$C:$C,考核调整事项表!$G:$G,累计考核费用!$B70,考核调整事项表!$D:$D,累计考核费用!E$3)+SUMIFS(考核调整事项表!$E:$E,考核调整事项表!$G:$G,累计考核费用!$B70,考核调整事项表!$F:$F,累计考核费用!E$3)</f>
        <v>0</v>
      </c>
      <c r="F70" s="35">
        <f>SUMIFS(考核调整事项表!$C:$C,考核调整事项表!$G:$G,累计考核费用!$B70,考核调整事项表!$D:$D,累计考核费用!F$3)+SUMIFS(考核调整事项表!$E:$E,考核调整事项表!$G:$G,累计考核费用!$B70,考核调整事项表!$F:$F,累计考核费用!F$3)</f>
        <v>0</v>
      </c>
      <c r="G70" s="35">
        <f>SUMIFS(考核调整事项表!$C:$C,考核调整事项表!$G:$G,累计考核费用!$B70,考核调整事项表!$D:$D,累计考核费用!G$3)+SUMIFS(考核调整事项表!$E:$E,考核调整事项表!$G:$G,累计考核费用!$B70,考核调整事项表!$F:$F,累计考核费用!G$3)</f>
        <v>0</v>
      </c>
      <c r="H70" s="35">
        <f>SUMIFS(考核调整事项表!$C:$C,考核调整事项表!$G:$G,累计考核费用!$B70,考核调整事项表!$D:$D,累计考核费用!H$3)+SUMIFS(考核调整事项表!$E:$E,考核调整事项表!$G:$G,累计考核费用!$B70,考核调整事项表!$F:$F,累计考核费用!H$3)</f>
        <v>0</v>
      </c>
      <c r="I70" s="35">
        <f>SUMIFS(考核调整事项表!$C:$C,考核调整事项表!$G:$G,累计考核费用!$B70,考核调整事项表!$D:$D,累计考核费用!I$3)+SUMIFS(考核调整事项表!$E:$E,考核调整事项表!$G:$G,累计考核费用!$B70,考核调整事项表!$F:$F,累计考核费用!I$3)</f>
        <v>0</v>
      </c>
      <c r="J70" s="35">
        <f>SUMIFS(考核调整事项表!$C:$C,考核调整事项表!$G:$G,累计考核费用!$B70,考核调整事项表!$D:$D,累计考核费用!J$3)+SUMIFS(考核调整事项表!$E:$E,考核调整事项表!$G:$G,累计考核费用!$B70,考核调整事项表!$F:$F,累计考核费用!J$3)</f>
        <v>0</v>
      </c>
      <c r="K70" s="35">
        <f>SUMIFS(考核调整事项表!$C:$C,考核调整事项表!$G:$G,累计考核费用!$B70,考核调整事项表!$D:$D,累计考核费用!K$3)+SUMIFS(考核调整事项表!$E:$E,考核调整事项表!$G:$G,累计考核费用!$B70,考核调整事项表!$F:$F,累计考核费用!K$3)</f>
        <v>0</v>
      </c>
      <c r="L70" s="35">
        <f>SUMIFS(考核调整事项表!$C:$C,考核调整事项表!$G:$G,累计考核费用!$B70,考核调整事项表!$D:$D,累计考核费用!L$3)+SUMIFS(考核调整事项表!$E:$E,考核调整事项表!$G:$G,累计考核费用!$B70,考核调整事项表!$F:$F,累计考核费用!L$3)</f>
        <v>0</v>
      </c>
      <c r="M70" s="35">
        <f>SUMIFS(考核调整事项表!$C:$C,考核调整事项表!$G:$G,累计考核费用!$B70,考核调整事项表!$D:$D,累计考核费用!M$3)+SUMIFS(考核调整事项表!$E:$E,考核调整事项表!$G:$G,累计考核费用!$B70,考核调整事项表!$F:$F,累计考核费用!M$3)</f>
        <v>0</v>
      </c>
      <c r="N70" s="35">
        <f>SUMIFS(考核调整事项表!$C:$C,考核调整事项表!$G:$G,累计考核费用!$B70,考核调整事项表!$D:$D,累计考核费用!N$3)+SUMIFS(考核调整事项表!$E:$E,考核调整事项表!$G:$G,累计考核费用!$B70,考核调整事项表!$F:$F,累计考核费用!N$3)</f>
        <v>0</v>
      </c>
      <c r="O70" s="35">
        <f>SUMIFS(考核调整事项表!$C:$C,考核调整事项表!$G:$G,累计考核费用!$B70,考核调整事项表!$D:$D,累计考核费用!O$3)+SUMIFS(考核调整事项表!$E:$E,考核调整事项表!$G:$G,累计考核费用!$B70,考核调整事项表!$F:$F,累计考核费用!O$3)</f>
        <v>0</v>
      </c>
      <c r="P70" s="35">
        <f>SUMIFS(考核调整事项表!$C:$C,考核调整事项表!$G:$G,累计考核费用!$B70,考核调整事项表!$D:$D,累计考核费用!P$3)+SUMIFS(考核调整事项表!$E:$E,考核调整事项表!$G:$G,累计考核费用!$B70,考核调整事项表!$F:$F,累计考核费用!P$3)</f>
        <v>0</v>
      </c>
      <c r="Q70" s="35">
        <f>SUMIFS(考核调整事项表!$C:$C,考核调整事项表!$G:$G,累计考核费用!$B70,考核调整事项表!$D:$D,累计考核费用!Q$3)+SUMIFS(考核调整事项表!$E:$E,考核调整事项表!$G:$G,累计考核费用!$B70,考核调整事项表!$F:$F,累计考核费用!Q$3)</f>
        <v>0</v>
      </c>
      <c r="R70" s="41">
        <f t="shared" si="9"/>
        <v>0</v>
      </c>
      <c r="S70" s="35">
        <f>SUMIFS(考核调整事项表!$C:$C,考核调整事项表!$G:$G,累计考核费用!$B70,考核调整事项表!$D:$D,累计考核费用!S$3)+SUMIFS(考核调整事项表!$E:$E,考核调整事项表!$G:$G,累计考核费用!$B70,考核调整事项表!$F:$F,累计考核费用!S$3)</f>
        <v>0</v>
      </c>
      <c r="T70" s="35">
        <f>SUMIFS(考核调整事项表!$C:$C,考核调整事项表!$G:$G,累计考核费用!$B70,考核调整事项表!$D:$D,累计考核费用!T$3)+SUMIFS(考核调整事项表!$E:$E,考核调整事项表!$G:$G,累计考核费用!$B70,考核调整事项表!$F:$F,累计考核费用!T$3)</f>
        <v>0</v>
      </c>
      <c r="U70" s="35">
        <f>SUMIFS(考核调整事项表!$C:$C,考核调整事项表!$G:$G,累计考核费用!$B70,考核调整事项表!$D:$D,累计考核费用!U$3)+SUMIFS(考核调整事项表!$E:$E,考核调整事项表!$G:$G,累计考核费用!$B70,考核调整事项表!$F:$F,累计考核费用!U$3)</f>
        <v>0</v>
      </c>
      <c r="V70" s="35">
        <f>SUMIFS(考核调整事项表!$C:$C,考核调整事项表!$G:$G,累计考核费用!$B70,考核调整事项表!$D:$D,累计考核费用!V$3)+SUMIFS(考核调整事项表!$E:$E,考核调整事项表!$G:$G,累计考核费用!$B70,考核调整事项表!$F:$F,累计考核费用!V$3)</f>
        <v>0</v>
      </c>
      <c r="W70" s="35">
        <f t="shared" si="8"/>
        <v>0</v>
      </c>
      <c r="X70" s="35">
        <f>SUMIFS(考核调整事项表!$C:$C,考核调整事项表!$G:$G,累计考核费用!$B70,考核调整事项表!$D:$D,累计考核费用!X$3)+SUMIFS(考核调整事项表!$E:$E,考核调整事项表!$G:$G,累计考核费用!$B70,考核调整事项表!$F:$F,累计考核费用!X$3)</f>
        <v>0</v>
      </c>
      <c r="Y70" s="35">
        <f>SUMIFS(考核调整事项表!$C:$C,考核调整事项表!$G:$G,累计考核费用!$B70,考核调整事项表!$D:$D,累计考核费用!Y$3)+SUMIFS(考核调整事项表!$E:$E,考核调整事项表!$G:$G,累计考核费用!$B70,考核调整事项表!$F:$F,累计考核费用!Y$3)</f>
        <v>0</v>
      </c>
      <c r="Z70" s="35">
        <f>SUMIFS(考核调整事项表!$C:$C,考核调整事项表!$G:$G,累计考核费用!$B70,考核调整事项表!$D:$D,累计考核费用!Z$3)+SUMIFS(考核调整事项表!$E:$E,考核调整事项表!$G:$G,累计考核费用!$B70,考核调整事项表!$F:$F,累计考核费用!Z$3)</f>
        <v>0</v>
      </c>
      <c r="AA70" s="35">
        <f>SUMIFS(考核调整事项表!$C:$C,考核调整事项表!$G:$G,累计考核费用!$B70,考核调整事项表!$D:$D,累计考核费用!AA$3)+SUMIFS(考核调整事项表!$E:$E,考核调整事项表!$G:$G,累计考核费用!$B70,考核调整事项表!$F:$F,累计考核费用!AA$3)</f>
        <v>0</v>
      </c>
    </row>
    <row r="71" spans="1:27" ht="13.5" customHeight="1">
      <c r="A71" s="326"/>
      <c r="B71" s="174" t="s">
        <v>74</v>
      </c>
      <c r="C71" s="35">
        <f t="shared" si="1"/>
        <v>0</v>
      </c>
      <c r="D71" s="35">
        <f>SUMIFS(考核调整事项表!$C:$C,考核调整事项表!$G:$G,累计考核费用!$B71,考核调整事项表!$D:$D,累计考核费用!D$3)+SUMIFS(考核调整事项表!$E:$E,考核调整事项表!$G:$G,累计考核费用!$B71,考核调整事项表!$F:$F,累计考核费用!D$3)</f>
        <v>0</v>
      </c>
      <c r="E71" s="35">
        <f>SUMIFS(考核调整事项表!$C:$C,考核调整事项表!$G:$G,累计考核费用!$B71,考核调整事项表!$D:$D,累计考核费用!E$3)+SUMIFS(考核调整事项表!$E:$E,考核调整事项表!$G:$G,累计考核费用!$B71,考核调整事项表!$F:$F,累计考核费用!E$3)</f>
        <v>0</v>
      </c>
      <c r="F71" s="35">
        <f>SUMIFS(考核调整事项表!$C:$C,考核调整事项表!$G:$G,累计考核费用!$B71,考核调整事项表!$D:$D,累计考核费用!F$3)+SUMIFS(考核调整事项表!$E:$E,考核调整事项表!$G:$G,累计考核费用!$B71,考核调整事项表!$F:$F,累计考核费用!F$3)</f>
        <v>0</v>
      </c>
      <c r="G71" s="35">
        <f>SUMIFS(考核调整事项表!$C:$C,考核调整事项表!$G:$G,累计考核费用!$B71,考核调整事项表!$D:$D,累计考核费用!G$3)+SUMIFS(考核调整事项表!$E:$E,考核调整事项表!$G:$G,累计考核费用!$B71,考核调整事项表!$F:$F,累计考核费用!G$3)</f>
        <v>0</v>
      </c>
      <c r="H71" s="35">
        <f>SUM(I71:P71)</f>
        <v>0</v>
      </c>
      <c r="I71" s="35">
        <f>SUMIFS(考核调整事项表!$C:$C,考核调整事项表!$G:$G,累计考核费用!$B71,考核调整事项表!$D:$D,累计考核费用!I$3)+SUMIFS(考核调整事项表!$E:$E,考核调整事项表!$G:$G,累计考核费用!$B71,考核调整事项表!$F:$F,累计考核费用!I$3)</f>
        <v>0</v>
      </c>
      <c r="J71" s="35">
        <f>SUMIFS(考核调整事项表!$C:$C,考核调整事项表!$G:$G,累计考核费用!$B71,考核调整事项表!$D:$D,累计考核费用!J$3)+SUMIFS(考核调整事项表!$E:$E,考核调整事项表!$G:$G,累计考核费用!$B71,考核调整事项表!$F:$F,累计考核费用!J$3)</f>
        <v>0</v>
      </c>
      <c r="K71" s="35">
        <f>SUMIFS(考核调整事项表!$C:$C,考核调整事项表!$G:$G,累计考核费用!$B71,考核调整事项表!$D:$D,累计考核费用!K$3)+SUMIFS(考核调整事项表!$E:$E,考核调整事项表!$G:$G,累计考核费用!$B71,考核调整事项表!$F:$F,累计考核费用!K$3)</f>
        <v>0</v>
      </c>
      <c r="L71" s="35">
        <f>SUMIFS(考核调整事项表!$C:$C,考核调整事项表!$G:$G,累计考核费用!$B71,考核调整事项表!$D:$D,累计考核费用!L$3)+SUMIFS(考核调整事项表!$E:$E,考核调整事项表!$G:$G,累计考核费用!$B71,考核调整事项表!$F:$F,累计考核费用!L$3)</f>
        <v>0</v>
      </c>
      <c r="M71" s="35">
        <f>SUMIFS(考核调整事项表!$C:$C,考核调整事项表!$G:$G,累计考核费用!$B71,考核调整事项表!$D:$D,累计考核费用!M$3)+SUMIFS(考核调整事项表!$E:$E,考核调整事项表!$G:$G,累计考核费用!$B71,考核调整事项表!$F:$F,累计考核费用!M$3)</f>
        <v>0</v>
      </c>
      <c r="N71" s="35">
        <f>SUMIFS(考核调整事项表!$C:$C,考核调整事项表!$G:$G,累计考核费用!$B71,考核调整事项表!$D:$D,累计考核费用!N$3)+SUMIFS(考核调整事项表!$E:$E,考核调整事项表!$G:$G,累计考核费用!$B71,考核调整事项表!$F:$F,累计考核费用!N$3)</f>
        <v>0</v>
      </c>
      <c r="O71" s="35">
        <f>SUMIFS(考核调整事项表!$C:$C,考核调整事项表!$G:$G,累计考核费用!$B71,考核调整事项表!$D:$D,累计考核费用!O$3)+SUMIFS(考核调整事项表!$E:$E,考核调整事项表!$G:$G,累计考核费用!$B71,考核调整事项表!$F:$F,累计考核费用!O$3)</f>
        <v>0</v>
      </c>
      <c r="P71" s="35">
        <f>SUMIFS(考核调整事项表!$C:$C,考核调整事项表!$G:$G,累计考核费用!$B71,考核调整事项表!$D:$D,累计考核费用!P$3)+SUMIFS(考核调整事项表!$E:$E,考核调整事项表!$G:$G,累计考核费用!$B71,考核调整事项表!$F:$F,累计考核费用!P$3)</f>
        <v>0</v>
      </c>
      <c r="Q71" s="35">
        <f>SUMIFS(考核调整事项表!$C:$C,考核调整事项表!$G:$G,累计考核费用!$B71,考核调整事项表!$D:$D,累计考核费用!Q$3)+SUMIFS(考核调整事项表!$E:$E,考核调整事项表!$G:$G,累计考核费用!$B71,考核调整事项表!$F:$F,累计考核费用!Q$3)</f>
        <v>0</v>
      </c>
      <c r="R71" s="41">
        <f t="shared" si="9"/>
        <v>0</v>
      </c>
      <c r="S71" s="35">
        <f>SUMIFS(考核调整事项表!$C:$C,考核调整事项表!$G:$G,累计考核费用!$B71,考核调整事项表!$D:$D,累计考核费用!S$3)+SUMIFS(考核调整事项表!$E:$E,考核调整事项表!$G:$G,累计考核费用!$B71,考核调整事项表!$F:$F,累计考核费用!S$3)</f>
        <v>0</v>
      </c>
      <c r="T71" s="35">
        <f>SUMIFS(考核调整事项表!$C:$C,考核调整事项表!$G:$G,累计考核费用!$B71,考核调整事项表!$D:$D,累计考核费用!T$3)+SUMIFS(考核调整事项表!$E:$E,考核调整事项表!$G:$G,累计考核费用!$B71,考核调整事项表!$F:$F,累计考核费用!T$3)</f>
        <v>0</v>
      </c>
      <c r="U71" s="35">
        <f>SUMIFS(考核调整事项表!$C:$C,考核调整事项表!$G:$G,累计考核费用!$B71,考核调整事项表!$D:$D,累计考核费用!U$3)+SUMIFS(考核调整事项表!$E:$E,考核调整事项表!$G:$G,累计考核费用!$B71,考核调整事项表!$F:$F,累计考核费用!U$3)</f>
        <v>0</v>
      </c>
      <c r="V71" s="35">
        <f>SUMIFS(考核调整事项表!$C:$C,考核调整事项表!$G:$G,累计考核费用!$B71,考核调整事项表!$D:$D,累计考核费用!V$3)+SUMIFS(考核调整事项表!$E:$E,考核调整事项表!$G:$G,累计考核费用!$B71,考核调整事项表!$F:$F,累计考核费用!V$3)</f>
        <v>0</v>
      </c>
      <c r="W71" s="35">
        <f t="shared" si="8"/>
        <v>0</v>
      </c>
      <c r="X71" s="35">
        <f>SUMIFS(考核调整事项表!$C:$C,考核调整事项表!$G:$G,累计考核费用!$B71,考核调整事项表!$D:$D,累计考核费用!X$3)+SUMIFS(考核调整事项表!$E:$E,考核调整事项表!$G:$G,累计考核费用!$B71,考核调整事项表!$F:$F,累计考核费用!X$3)</f>
        <v>0</v>
      </c>
      <c r="Y71" s="35">
        <f>SUMIFS(考核调整事项表!$C:$C,考核调整事项表!$G:$G,累计考核费用!$B71,考核调整事项表!$D:$D,累计考核费用!Y$3)+SUMIFS(考核调整事项表!$E:$E,考核调整事项表!$G:$G,累计考核费用!$B71,考核调整事项表!$F:$F,累计考核费用!Y$3)</f>
        <v>0</v>
      </c>
      <c r="Z71" s="35">
        <f>SUMIFS(考核调整事项表!$C:$C,考核调整事项表!$G:$G,累计考核费用!$B71,考核调整事项表!$D:$D,累计考核费用!Z$3)+SUMIFS(考核调整事项表!$E:$E,考核调整事项表!$G:$G,累计考核费用!$B71,考核调整事项表!$F:$F,累计考核费用!Z$3)</f>
        <v>0</v>
      </c>
      <c r="AA71" s="35">
        <f>SUMIFS(考核调整事项表!$C:$C,考核调整事项表!$G:$G,累计考核费用!$B71,考核调整事项表!$D:$D,累计考核费用!AA$3)+SUMIFS(考核调整事项表!$E:$E,考核调整事项表!$G:$G,累计考核费用!$B71,考核调整事项表!$F:$F,累计考核费用!AA$3)</f>
        <v>0</v>
      </c>
    </row>
    <row r="72" spans="1:27">
      <c r="A72" s="327"/>
      <c r="B72" s="175" t="s">
        <v>69</v>
      </c>
      <c r="C72" s="175">
        <f t="shared" ref="C72:Z72" si="10">SUM(C67:C71)</f>
        <v>-7.2759576141834259E-11</v>
      </c>
      <c r="D72" s="175">
        <f t="shared" si="10"/>
        <v>-709868.79</v>
      </c>
      <c r="E72" s="175">
        <f t="shared" si="10"/>
        <v>-51869.059999999983</v>
      </c>
      <c r="F72" s="175">
        <f t="shared" si="10"/>
        <v>776551.3899999999</v>
      </c>
      <c r="G72" s="175">
        <f t="shared" si="10"/>
        <v>-10659.46</v>
      </c>
      <c r="H72" s="175">
        <f t="shared" si="10"/>
        <v>231599.95999999996</v>
      </c>
      <c r="I72" s="175">
        <f t="shared" si="10"/>
        <v>376549.1</v>
      </c>
      <c r="J72" s="175">
        <f t="shared" si="10"/>
        <v>0</v>
      </c>
      <c r="K72" s="175">
        <f t="shared" si="10"/>
        <v>-255388.57</v>
      </c>
      <c r="L72" s="175">
        <f t="shared" si="10"/>
        <v>0</v>
      </c>
      <c r="M72" s="175">
        <f t="shared" si="10"/>
        <v>2740.579999999999</v>
      </c>
      <c r="N72" s="175">
        <f t="shared" si="10"/>
        <v>0</v>
      </c>
      <c r="O72" s="175">
        <f t="shared" si="10"/>
        <v>0</v>
      </c>
      <c r="P72" s="175">
        <f t="shared" si="10"/>
        <v>107698.84999999999</v>
      </c>
      <c r="Q72" s="175">
        <f t="shared" si="10"/>
        <v>-226309.82</v>
      </c>
      <c r="R72" s="175">
        <f t="shared" si="10"/>
        <v>75005.94</v>
      </c>
      <c r="S72" s="175">
        <f t="shared" si="10"/>
        <v>0</v>
      </c>
      <c r="T72" s="175">
        <f t="shared" si="10"/>
        <v>-16867.919999999998</v>
      </c>
      <c r="U72" s="175">
        <f t="shared" si="10"/>
        <v>17124.189999999999</v>
      </c>
      <c r="V72" s="175">
        <f t="shared" si="10"/>
        <v>74749.67</v>
      </c>
      <c r="W72" s="175">
        <f t="shared" si="10"/>
        <v>222108.36</v>
      </c>
      <c r="X72" s="175">
        <f t="shared" si="10"/>
        <v>0</v>
      </c>
      <c r="Y72" s="175">
        <f t="shared" si="10"/>
        <v>222108.36</v>
      </c>
      <c r="Z72" s="175">
        <f t="shared" si="10"/>
        <v>-306558.52</v>
      </c>
      <c r="AA72" s="175">
        <f t="shared" ref="AA72" si="11">SUM(AA67:AA71)</f>
        <v>0</v>
      </c>
    </row>
    <row r="73" spans="1:27" ht="13.5" customHeight="1">
      <c r="A73" s="319" t="s">
        <v>75</v>
      </c>
      <c r="B73" s="174" t="s">
        <v>76</v>
      </c>
      <c r="C73" s="35">
        <f t="shared" si="1"/>
        <v>0</v>
      </c>
      <c r="D73" s="35">
        <f>SUMIFS(考核调整事项表!$C:$C,考核调整事项表!$G:$G,累计考核费用!$B73,考核调整事项表!$D:$D,累计考核费用!D$3)+SUMIFS(考核调整事项表!$E:$E,考核调整事项表!$G:$G,累计考核费用!$B73,考核调整事项表!$F:$F,累计考核费用!D$3)</f>
        <v>0</v>
      </c>
      <c r="E73" s="35">
        <f>SUMIFS(考核调整事项表!$C:$C,考核调整事项表!$G:$G,累计考核费用!$B73,考核调整事项表!$D:$D,累计考核费用!E$3)+SUMIFS(考核调整事项表!$E:$E,考核调整事项表!$G:$G,累计考核费用!$B73,考核调整事项表!$F:$F,累计考核费用!E$3)</f>
        <v>254151</v>
      </c>
      <c r="F73" s="35">
        <f>SUMIFS(考核调整事项表!$C:$C,考核调整事项表!$G:$G,累计考核费用!$B73,考核调整事项表!$D:$D,累计考核费用!F$3)+SUMIFS(考核调整事项表!$E:$E,考核调整事项表!$G:$G,累计考核费用!$B73,考核调整事项表!$F:$F,累计考核费用!F$3)</f>
        <v>-1696383</v>
      </c>
      <c r="G73" s="35">
        <f>SUMIFS(考核调整事项表!$C:$C,考核调整事项表!$G:$G,累计考核费用!$B73,考核调整事项表!$D:$D,累计考核费用!G$3)+SUMIFS(考核调整事项表!$E:$E,考核调整事项表!$G:$G,累计考核费用!$B73,考核调整事项表!$F:$F,累计考核费用!G$3)</f>
        <v>148684</v>
      </c>
      <c r="H73" s="35">
        <f t="shared" ref="H73:H102" si="12">SUM(I73:P73)</f>
        <v>130816</v>
      </c>
      <c r="I73" s="35">
        <f>SUMIFS(考核调整事项表!$C:$C,考核调整事项表!$G:$G,累计考核费用!$B73,考核调整事项表!$D:$D,累计考核费用!I$3)+SUMIFS(考核调整事项表!$E:$E,考核调整事项表!$G:$G,累计考核费用!$B73,考核调整事项表!$F:$F,累计考核费用!I$3)</f>
        <v>124542</v>
      </c>
      <c r="J73" s="35">
        <f>SUMIFS(考核调整事项表!$C:$C,考核调整事项表!$G:$G,累计考核费用!$B73,考核调整事项表!$D:$D,累计考核费用!J$3)+SUMIFS(考核调整事项表!$E:$E,考核调整事项表!$G:$G,累计考核费用!$B73,考核调整事项表!$F:$F,累计考核费用!J$3)</f>
        <v>20564</v>
      </c>
      <c r="K73" s="35">
        <f>SUMIFS(考核调整事项表!$C:$C,考核调整事项表!$G:$G,累计考核费用!$B73,考核调整事项表!$D:$D,累计考核费用!K$3)+SUMIFS(考核调整事项表!$E:$E,考核调整事项表!$G:$G,累计考核费用!$B73,考核调整事项表!$F:$F,累计考核费用!K$3)</f>
        <v>34900</v>
      </c>
      <c r="L73" s="35">
        <f>SUMIFS(考核调整事项表!$C:$C,考核调整事项表!$G:$G,累计考核费用!$B73,考核调整事项表!$D:$D,累计考核费用!L$3)+SUMIFS(考核调整事项表!$E:$E,考核调整事项表!$G:$G,累计考核费用!$B73,考核调整事项表!$F:$F,累计考核费用!L$3)</f>
        <v>0</v>
      </c>
      <c r="M73" s="35">
        <f>SUMIFS(考核调整事项表!$C:$C,考核调整事项表!$G:$G,累计考核费用!$B73,考核调整事项表!$D:$D,累计考核费用!M$3)+SUMIFS(考核调整事项表!$E:$E,考核调整事项表!$G:$G,累计考核费用!$B73,考核调整事项表!$F:$F,累计考核费用!M$3)</f>
        <v>14720</v>
      </c>
      <c r="N73" s="35">
        <f>SUMIFS(考核调整事项表!$C:$C,考核调整事项表!$G:$G,累计考核费用!$B73,考核调整事项表!$D:$D,累计考核费用!N$3)+SUMIFS(考核调整事项表!$E:$E,考核调整事项表!$G:$G,累计考核费用!$B73,考核调整事项表!$F:$F,累计考核费用!N$3)</f>
        <v>0</v>
      </c>
      <c r="O73" s="35">
        <f>SUMIFS(考核调整事项表!$C:$C,考核调整事项表!$G:$G,累计考核费用!$B73,考核调整事项表!$D:$D,累计考核费用!O$3)+SUMIFS(考核调整事项表!$E:$E,考核调整事项表!$G:$G,累计考核费用!$B73,考核调整事项表!$F:$F,累计考核费用!O$3)</f>
        <v>-31330</v>
      </c>
      <c r="P73" s="35">
        <f>SUMIFS(考核调整事项表!$C:$C,考核调整事项表!$G:$G,累计考核费用!$B73,考核调整事项表!$D:$D,累计考核费用!P$3)+SUMIFS(考核调整事项表!$E:$E,考核调整事项表!$G:$G,累计考核费用!$B73,考核调整事项表!$F:$F,累计考核费用!P$3)</f>
        <v>-32580</v>
      </c>
      <c r="Q73" s="35">
        <f>SUMIFS(考核调整事项表!$C:$C,考核调整事项表!$G:$G,累计考核费用!$B73,考核调整事项表!$D:$D,累计考核费用!Q$3)+SUMIFS(考核调整事项表!$E:$E,考核调整事项表!$G:$G,累计考核费用!$B73,考核调整事项表!$F:$F,累计考核费用!Q$3)</f>
        <v>13077</v>
      </c>
      <c r="R73" s="41">
        <f t="shared" ref="R73:R102" si="13">SUM(S73:V73)</f>
        <v>1328849</v>
      </c>
      <c r="S73" s="35">
        <f>SUMIFS(考核调整事项表!$C:$C,考核调整事项表!$G:$G,累计考核费用!$B73,考核调整事项表!$D:$D,累计考核费用!S$3)+SUMIFS(考核调整事项表!$E:$E,考核调整事项表!$G:$G,累计考核费用!$B73,考核调整事项表!$F:$F,累计考核费用!S$3)</f>
        <v>0</v>
      </c>
      <c r="T73" s="35">
        <f>SUMIFS(考核调整事项表!$C:$C,考核调整事项表!$G:$G,累计考核费用!$B73,考核调整事项表!$D:$D,累计考核费用!T$3)+SUMIFS(考核调整事项表!$E:$E,考核调整事项表!$G:$G,累计考核费用!$B73,考核调整事项表!$F:$F,累计考核费用!T$3)</f>
        <v>1280385</v>
      </c>
      <c r="U73" s="35">
        <f>SUMIFS(考核调整事项表!$C:$C,考核调整事项表!$G:$G,累计考核费用!$B73,考核调整事项表!$D:$D,累计考核费用!U$3)+SUMIFS(考核调整事项表!$E:$E,考核调整事项表!$G:$G,累计考核费用!$B73,考核调整事项表!$F:$F,累计考核费用!U$3)</f>
        <v>48464</v>
      </c>
      <c r="V73" s="35">
        <f>SUMIFS(考核调整事项表!$C:$C,考核调整事项表!$G:$G,累计考核费用!$B73,考核调整事项表!$D:$D,累计考核费用!V$3)+SUMIFS(考核调整事项表!$E:$E,考核调整事项表!$G:$G,累计考核费用!$B73,考核调整事项表!$F:$F,累计考核费用!V$3)</f>
        <v>0</v>
      </c>
      <c r="W73" s="35">
        <f t="shared" si="8"/>
        <v>-100324</v>
      </c>
      <c r="X73" s="35">
        <f>SUMIFS(考核调整事项表!$C:$C,考核调整事项表!$G:$G,累计考核费用!$B73,考核调整事项表!$D:$D,累计考核费用!X$3)+SUMIFS(考核调整事项表!$E:$E,考核调整事项表!$G:$G,累计考核费用!$B73,考核调整事项表!$F:$F,累计考核费用!X$3)</f>
        <v>-100324</v>
      </c>
      <c r="Y73" s="35">
        <f>SUMIFS(考核调整事项表!$C:$C,考核调整事项表!$G:$G,累计考核费用!$B73,考核调整事项表!$D:$D,累计考核费用!Y$3)+SUMIFS(考核调整事项表!$E:$E,考核调整事项表!$G:$G,累计考核费用!$B73,考核调整事项表!$F:$F,累计考核费用!Y$3)</f>
        <v>0</v>
      </c>
      <c r="Z73" s="35">
        <f>SUMIFS(考核调整事项表!$C:$C,考核调整事项表!$G:$G,累计考核费用!$B73,考核调整事项表!$D:$D,累计考核费用!Z$3)+SUMIFS(考核调整事项表!$E:$E,考核调整事项表!$G:$G,累计考核费用!$B73,考核调整事项表!$F:$F,累计考核费用!Z$3)</f>
        <v>-78870</v>
      </c>
      <c r="AA73" s="35">
        <f>SUMIFS(考核调整事项表!$C:$C,考核调整事项表!$G:$G,累计考核费用!$B73,考核调整事项表!$D:$D,累计考核费用!AA$3)+SUMIFS(考核调整事项表!$E:$E,考核调整事项表!$G:$G,累计考核费用!$B73,考核调整事项表!$F:$F,累计考核费用!AA$3)</f>
        <v>0</v>
      </c>
    </row>
    <row r="74" spans="1:27">
      <c r="A74" s="320"/>
      <c r="B74" s="174" t="s">
        <v>77</v>
      </c>
      <c r="C74" s="35">
        <f t="shared" si="1"/>
        <v>0</v>
      </c>
      <c r="D74" s="35">
        <f>SUMIFS(考核调整事项表!$C:$C,考核调整事项表!$G:$G,累计考核费用!$B74,考核调整事项表!$D:$D,累计考核费用!D$3)+SUMIFS(考核调整事项表!$E:$E,考核调整事项表!$G:$G,累计考核费用!$B74,考核调整事项表!$F:$F,累计考核费用!D$3)</f>
        <v>0</v>
      </c>
      <c r="E74" s="35">
        <f>SUMIFS(考核调整事项表!$C:$C,考核调整事项表!$G:$G,累计考核费用!$B74,考核调整事项表!$D:$D,累计考核费用!E$3)+SUMIFS(考核调整事项表!$E:$E,考核调整事项表!$G:$G,累计考核费用!$B74,考核调整事项表!$F:$F,累计考核费用!E$3)</f>
        <v>0</v>
      </c>
      <c r="F74" s="35">
        <f>SUMIFS(考核调整事项表!$C:$C,考核调整事项表!$G:$G,累计考核费用!$B74,考核调整事项表!$D:$D,累计考核费用!F$3)+SUMIFS(考核调整事项表!$E:$E,考核调整事项表!$G:$G,累计考核费用!$B74,考核调整事项表!$F:$F,累计考核费用!F$3)</f>
        <v>-21462.5</v>
      </c>
      <c r="G74" s="35">
        <f>SUMIFS(考核调整事项表!$C:$C,考核调整事项表!$G:$G,累计考核费用!$B74,考核调整事项表!$D:$D,累计考核费用!G$3)+SUMIFS(考核调整事项表!$E:$E,考核调整事项表!$G:$G,累计考核费用!$B74,考核调整事项表!$F:$F,累计考核费用!G$3)</f>
        <v>0</v>
      </c>
      <c r="H74" s="35">
        <f t="shared" si="12"/>
        <v>21462.5</v>
      </c>
      <c r="I74" s="35">
        <f>SUMIFS(考核调整事项表!$C:$C,考核调整事项表!$G:$G,累计考核费用!$B74,考核调整事项表!$D:$D,累计考核费用!I$3)+SUMIFS(考核调整事项表!$E:$E,考核调整事项表!$G:$G,累计考核费用!$B74,考核调整事项表!$F:$F,累计考核费用!I$3)</f>
        <v>21462.5</v>
      </c>
      <c r="J74" s="35">
        <f>SUMIFS(考核调整事项表!$C:$C,考核调整事项表!$G:$G,累计考核费用!$B74,考核调整事项表!$D:$D,累计考核费用!J$3)+SUMIFS(考核调整事项表!$E:$E,考核调整事项表!$G:$G,累计考核费用!$B74,考核调整事项表!$F:$F,累计考核费用!J$3)</f>
        <v>0</v>
      </c>
      <c r="K74" s="35">
        <f>SUMIFS(考核调整事项表!$C:$C,考核调整事项表!$G:$G,累计考核费用!$B74,考核调整事项表!$D:$D,累计考核费用!K$3)+SUMIFS(考核调整事项表!$E:$E,考核调整事项表!$G:$G,累计考核费用!$B74,考核调整事项表!$F:$F,累计考核费用!K$3)</f>
        <v>0</v>
      </c>
      <c r="L74" s="35">
        <f>SUMIFS(考核调整事项表!$C:$C,考核调整事项表!$G:$G,累计考核费用!$B74,考核调整事项表!$D:$D,累计考核费用!L$3)+SUMIFS(考核调整事项表!$E:$E,考核调整事项表!$G:$G,累计考核费用!$B74,考核调整事项表!$F:$F,累计考核费用!L$3)</f>
        <v>0</v>
      </c>
      <c r="M74" s="35">
        <f>SUMIFS(考核调整事项表!$C:$C,考核调整事项表!$G:$G,累计考核费用!$B74,考核调整事项表!$D:$D,累计考核费用!M$3)+SUMIFS(考核调整事项表!$E:$E,考核调整事项表!$G:$G,累计考核费用!$B74,考核调整事项表!$F:$F,累计考核费用!M$3)</f>
        <v>0</v>
      </c>
      <c r="N74" s="35">
        <f>SUMIFS(考核调整事项表!$C:$C,考核调整事项表!$G:$G,累计考核费用!$B74,考核调整事项表!$D:$D,累计考核费用!N$3)+SUMIFS(考核调整事项表!$E:$E,考核调整事项表!$G:$G,累计考核费用!$B74,考核调整事项表!$F:$F,累计考核费用!N$3)</f>
        <v>0</v>
      </c>
      <c r="O74" s="35">
        <f>SUMIFS(考核调整事项表!$C:$C,考核调整事项表!$G:$G,累计考核费用!$B74,考核调整事项表!$D:$D,累计考核费用!O$3)+SUMIFS(考核调整事项表!$E:$E,考核调整事项表!$G:$G,累计考核费用!$B74,考核调整事项表!$F:$F,累计考核费用!O$3)</f>
        <v>0</v>
      </c>
      <c r="P74" s="35">
        <f>SUMIFS(考核调整事项表!$C:$C,考核调整事项表!$G:$G,累计考核费用!$B74,考核调整事项表!$D:$D,累计考核费用!P$3)+SUMIFS(考核调整事项表!$E:$E,考核调整事项表!$G:$G,累计考核费用!$B74,考核调整事项表!$F:$F,累计考核费用!P$3)</f>
        <v>0</v>
      </c>
      <c r="Q74" s="35">
        <f>SUMIFS(考核调整事项表!$C:$C,考核调整事项表!$G:$G,累计考核费用!$B74,考核调整事项表!$D:$D,累计考核费用!Q$3)+SUMIFS(考核调整事项表!$E:$E,考核调整事项表!$G:$G,累计考核费用!$B74,考核调整事项表!$F:$F,累计考核费用!Q$3)</f>
        <v>0</v>
      </c>
      <c r="R74" s="41">
        <f t="shared" si="13"/>
        <v>0</v>
      </c>
      <c r="S74" s="35">
        <f>SUMIFS(考核调整事项表!$C:$C,考核调整事项表!$G:$G,累计考核费用!$B74,考核调整事项表!$D:$D,累计考核费用!S$3)+SUMIFS(考核调整事项表!$E:$E,考核调整事项表!$G:$G,累计考核费用!$B74,考核调整事项表!$F:$F,累计考核费用!S$3)</f>
        <v>0</v>
      </c>
      <c r="T74" s="35">
        <f>SUMIFS(考核调整事项表!$C:$C,考核调整事项表!$G:$G,累计考核费用!$B74,考核调整事项表!$D:$D,累计考核费用!T$3)+SUMIFS(考核调整事项表!$E:$E,考核调整事项表!$G:$G,累计考核费用!$B74,考核调整事项表!$F:$F,累计考核费用!T$3)</f>
        <v>0</v>
      </c>
      <c r="U74" s="35">
        <f>SUMIFS(考核调整事项表!$C:$C,考核调整事项表!$G:$G,累计考核费用!$B74,考核调整事项表!$D:$D,累计考核费用!U$3)+SUMIFS(考核调整事项表!$E:$E,考核调整事项表!$G:$G,累计考核费用!$B74,考核调整事项表!$F:$F,累计考核费用!U$3)</f>
        <v>0</v>
      </c>
      <c r="V74" s="35">
        <f>SUMIFS(考核调整事项表!$C:$C,考核调整事项表!$G:$G,累计考核费用!$B74,考核调整事项表!$D:$D,累计考核费用!V$3)+SUMIFS(考核调整事项表!$E:$E,考核调整事项表!$G:$G,累计考核费用!$B74,考核调整事项表!$F:$F,累计考核费用!V$3)</f>
        <v>0</v>
      </c>
      <c r="W74" s="35">
        <f t="shared" si="8"/>
        <v>0</v>
      </c>
      <c r="X74" s="35">
        <f>SUMIFS(考核调整事项表!$C:$C,考核调整事项表!$G:$G,累计考核费用!$B74,考核调整事项表!$D:$D,累计考核费用!X$3)+SUMIFS(考核调整事项表!$E:$E,考核调整事项表!$G:$G,累计考核费用!$B74,考核调整事项表!$F:$F,累计考核费用!X$3)</f>
        <v>0</v>
      </c>
      <c r="Y74" s="35">
        <f>SUMIFS(考核调整事项表!$C:$C,考核调整事项表!$G:$G,累计考核费用!$B74,考核调整事项表!$D:$D,累计考核费用!Y$3)+SUMIFS(考核调整事项表!$E:$E,考核调整事项表!$G:$G,累计考核费用!$B74,考核调整事项表!$F:$F,累计考核费用!Y$3)</f>
        <v>0</v>
      </c>
      <c r="Z74" s="35">
        <f>SUMIFS(考核调整事项表!$C:$C,考核调整事项表!$G:$G,累计考核费用!$B74,考核调整事项表!$D:$D,累计考核费用!Z$3)+SUMIFS(考核调整事项表!$E:$E,考核调整事项表!$G:$G,累计考核费用!$B74,考核调整事项表!$F:$F,累计考核费用!Z$3)</f>
        <v>0</v>
      </c>
      <c r="AA74" s="35">
        <f>SUMIFS(考核调整事项表!$C:$C,考核调整事项表!$G:$G,累计考核费用!$B74,考核调整事项表!$D:$D,累计考核费用!AA$3)+SUMIFS(考核调整事项表!$E:$E,考核调整事项表!$G:$G,累计考核费用!$B74,考核调整事项表!$F:$F,累计考核费用!AA$3)</f>
        <v>0</v>
      </c>
    </row>
    <row r="75" spans="1:27">
      <c r="A75" s="320"/>
      <c r="B75" s="174" t="s">
        <v>80</v>
      </c>
      <c r="C75" s="35">
        <f t="shared" si="1"/>
        <v>0</v>
      </c>
      <c r="D75" s="35">
        <f>SUMIFS(考核调整事项表!$C:$C,考核调整事项表!$G:$G,累计考核费用!$B75,考核调整事项表!$D:$D,累计考核费用!D$3)+SUMIFS(考核调整事项表!$E:$E,考核调整事项表!$G:$G,累计考核费用!$B75,考核调整事项表!$F:$F,累计考核费用!D$3)</f>
        <v>0</v>
      </c>
      <c r="E75" s="35">
        <f>SUMIFS(考核调整事项表!$C:$C,考核调整事项表!$G:$G,累计考核费用!$B75,考核调整事项表!$D:$D,累计考核费用!E$3)+SUMIFS(考核调整事项表!$E:$E,考核调整事项表!$G:$G,累计考核费用!$B75,考核调整事项表!$F:$F,累计考核费用!E$3)</f>
        <v>0</v>
      </c>
      <c r="F75" s="35">
        <f>SUMIFS(考核调整事项表!$C:$C,考核调整事项表!$G:$G,累计考核费用!$B75,考核调整事项表!$D:$D,累计考核费用!F$3)+SUMIFS(考核调整事项表!$E:$E,考核调整事项表!$G:$G,累计考核费用!$B75,考核调整事项表!$F:$F,累计考核费用!F$3)</f>
        <v>0</v>
      </c>
      <c r="G75" s="35">
        <f>SUMIFS(考核调整事项表!$C:$C,考核调整事项表!$G:$G,累计考核费用!$B75,考核调整事项表!$D:$D,累计考核费用!G$3)+SUMIFS(考核调整事项表!$E:$E,考核调整事项表!$G:$G,累计考核费用!$B75,考核调整事项表!$F:$F,累计考核费用!G$3)</f>
        <v>0</v>
      </c>
      <c r="H75" s="35">
        <f t="shared" si="12"/>
        <v>0</v>
      </c>
      <c r="I75" s="35">
        <f>SUMIFS(考核调整事项表!$C:$C,考核调整事项表!$G:$G,累计考核费用!$B75,考核调整事项表!$D:$D,累计考核费用!I$3)+SUMIFS(考核调整事项表!$E:$E,考核调整事项表!$G:$G,累计考核费用!$B75,考核调整事项表!$F:$F,累计考核费用!I$3)</f>
        <v>0</v>
      </c>
      <c r="J75" s="35">
        <f>SUMIFS(考核调整事项表!$C:$C,考核调整事项表!$G:$G,累计考核费用!$B75,考核调整事项表!$D:$D,累计考核费用!J$3)+SUMIFS(考核调整事项表!$E:$E,考核调整事项表!$G:$G,累计考核费用!$B75,考核调整事项表!$F:$F,累计考核费用!J$3)</f>
        <v>0</v>
      </c>
      <c r="K75" s="35">
        <f>SUMIFS(考核调整事项表!$C:$C,考核调整事项表!$G:$G,累计考核费用!$B75,考核调整事项表!$D:$D,累计考核费用!K$3)+SUMIFS(考核调整事项表!$E:$E,考核调整事项表!$G:$G,累计考核费用!$B75,考核调整事项表!$F:$F,累计考核费用!K$3)</f>
        <v>0</v>
      </c>
      <c r="L75" s="35">
        <f>SUMIFS(考核调整事项表!$C:$C,考核调整事项表!$G:$G,累计考核费用!$B75,考核调整事项表!$D:$D,累计考核费用!L$3)+SUMIFS(考核调整事项表!$E:$E,考核调整事项表!$G:$G,累计考核费用!$B75,考核调整事项表!$F:$F,累计考核费用!L$3)</f>
        <v>0</v>
      </c>
      <c r="M75" s="35">
        <f>SUMIFS(考核调整事项表!$C:$C,考核调整事项表!$G:$G,累计考核费用!$B75,考核调整事项表!$D:$D,累计考核费用!M$3)+SUMIFS(考核调整事项表!$E:$E,考核调整事项表!$G:$G,累计考核费用!$B75,考核调整事项表!$F:$F,累计考核费用!M$3)</f>
        <v>0</v>
      </c>
      <c r="N75" s="35">
        <f>SUMIFS(考核调整事项表!$C:$C,考核调整事项表!$G:$G,累计考核费用!$B75,考核调整事项表!$D:$D,累计考核费用!N$3)+SUMIFS(考核调整事项表!$E:$E,考核调整事项表!$G:$G,累计考核费用!$B75,考核调整事项表!$F:$F,累计考核费用!N$3)</f>
        <v>0</v>
      </c>
      <c r="O75" s="35">
        <f>SUMIFS(考核调整事项表!$C:$C,考核调整事项表!$G:$G,累计考核费用!$B75,考核调整事项表!$D:$D,累计考核费用!O$3)+SUMIFS(考核调整事项表!$E:$E,考核调整事项表!$G:$G,累计考核费用!$B75,考核调整事项表!$F:$F,累计考核费用!O$3)</f>
        <v>0</v>
      </c>
      <c r="P75" s="35">
        <f>SUMIFS(考核调整事项表!$C:$C,考核调整事项表!$G:$G,累计考核费用!$B75,考核调整事项表!$D:$D,累计考核费用!P$3)+SUMIFS(考核调整事项表!$E:$E,考核调整事项表!$G:$G,累计考核费用!$B75,考核调整事项表!$F:$F,累计考核费用!P$3)</f>
        <v>0</v>
      </c>
      <c r="Q75" s="35">
        <f>SUMIFS(考核调整事项表!$C:$C,考核调整事项表!$G:$G,累计考核费用!$B75,考核调整事项表!$D:$D,累计考核费用!Q$3)+SUMIFS(考核调整事项表!$E:$E,考核调整事项表!$G:$G,累计考核费用!$B75,考核调整事项表!$F:$F,累计考核费用!Q$3)</f>
        <v>0</v>
      </c>
      <c r="R75" s="41">
        <f t="shared" si="13"/>
        <v>0</v>
      </c>
      <c r="S75" s="35">
        <f>SUMIFS(考核调整事项表!$C:$C,考核调整事项表!$G:$G,累计考核费用!$B75,考核调整事项表!$D:$D,累计考核费用!S$3)+SUMIFS(考核调整事项表!$E:$E,考核调整事项表!$G:$G,累计考核费用!$B75,考核调整事项表!$F:$F,累计考核费用!S$3)</f>
        <v>0</v>
      </c>
      <c r="T75" s="35">
        <f>SUMIFS(考核调整事项表!$C:$C,考核调整事项表!$G:$G,累计考核费用!$B75,考核调整事项表!$D:$D,累计考核费用!T$3)+SUMIFS(考核调整事项表!$E:$E,考核调整事项表!$G:$G,累计考核费用!$B75,考核调整事项表!$F:$F,累计考核费用!T$3)</f>
        <v>0</v>
      </c>
      <c r="U75" s="35">
        <f>SUMIFS(考核调整事项表!$C:$C,考核调整事项表!$G:$G,累计考核费用!$B75,考核调整事项表!$D:$D,累计考核费用!U$3)+SUMIFS(考核调整事项表!$E:$E,考核调整事项表!$G:$G,累计考核费用!$B75,考核调整事项表!$F:$F,累计考核费用!U$3)</f>
        <v>0</v>
      </c>
      <c r="V75" s="35">
        <f>SUMIFS(考核调整事项表!$C:$C,考核调整事项表!$G:$G,累计考核费用!$B75,考核调整事项表!$D:$D,累计考核费用!V$3)+SUMIFS(考核调整事项表!$E:$E,考核调整事项表!$G:$G,累计考核费用!$B75,考核调整事项表!$F:$F,累计考核费用!V$3)</f>
        <v>0</v>
      </c>
      <c r="W75" s="35">
        <f t="shared" si="8"/>
        <v>0</v>
      </c>
      <c r="X75" s="35">
        <f>SUMIFS(考核调整事项表!$C:$C,考核调整事项表!$G:$G,累计考核费用!$B75,考核调整事项表!$D:$D,累计考核费用!X$3)+SUMIFS(考核调整事项表!$E:$E,考核调整事项表!$G:$G,累计考核费用!$B75,考核调整事项表!$F:$F,累计考核费用!X$3)</f>
        <v>0</v>
      </c>
      <c r="Y75" s="35">
        <f>SUMIFS(考核调整事项表!$C:$C,考核调整事项表!$G:$G,累计考核费用!$B75,考核调整事项表!$D:$D,累计考核费用!Y$3)+SUMIFS(考核调整事项表!$E:$E,考核调整事项表!$G:$G,累计考核费用!$B75,考核调整事项表!$F:$F,累计考核费用!Y$3)</f>
        <v>0</v>
      </c>
      <c r="Z75" s="35">
        <f>SUMIFS(考核调整事项表!$C:$C,考核调整事项表!$G:$G,累计考核费用!$B75,考核调整事项表!$D:$D,累计考核费用!Z$3)+SUMIFS(考核调整事项表!$E:$E,考核调整事项表!$G:$G,累计考核费用!$B75,考核调整事项表!$F:$F,累计考核费用!Z$3)</f>
        <v>0</v>
      </c>
      <c r="AA75" s="35">
        <f>SUMIFS(考核调整事项表!$C:$C,考核调整事项表!$G:$G,累计考核费用!$B75,考核调整事项表!$D:$D,累计考核费用!AA$3)+SUMIFS(考核调整事项表!$E:$E,考核调整事项表!$G:$G,累计考核费用!$B75,考核调整事项表!$F:$F,累计考核费用!AA$3)</f>
        <v>0</v>
      </c>
    </row>
    <row r="76" spans="1:27">
      <c r="A76" s="320"/>
      <c r="B76" s="174" t="s">
        <v>81</v>
      </c>
      <c r="C76" s="35">
        <f t="shared" si="1"/>
        <v>0</v>
      </c>
      <c r="D76" s="35">
        <f>SUMIFS(考核调整事项表!$C:$C,考核调整事项表!$G:$G,累计考核费用!$B76,考核调整事项表!$D:$D,累计考核费用!D$3)+SUMIFS(考核调整事项表!$E:$E,考核调整事项表!$G:$G,累计考核费用!$B76,考核调整事项表!$F:$F,累计考核费用!D$3)</f>
        <v>0</v>
      </c>
      <c r="E76" s="35">
        <f>SUMIFS(考核调整事项表!$C:$C,考核调整事项表!$G:$G,累计考核费用!$B76,考核调整事项表!$D:$D,累计考核费用!E$3)+SUMIFS(考核调整事项表!$E:$E,考核调整事项表!$G:$G,累计考核费用!$B76,考核调整事项表!$F:$F,累计考核费用!E$3)</f>
        <v>0</v>
      </c>
      <c r="F76" s="35">
        <f>SUMIFS(考核调整事项表!$C:$C,考核调整事项表!$G:$G,累计考核费用!$B76,考核调整事项表!$D:$D,累计考核费用!F$3)+SUMIFS(考核调整事项表!$E:$E,考核调整事项表!$G:$G,累计考核费用!$B76,考核调整事项表!$F:$F,累计考核费用!F$3)</f>
        <v>0</v>
      </c>
      <c r="G76" s="35">
        <f>SUMIFS(考核调整事项表!$C:$C,考核调整事项表!$G:$G,累计考核费用!$B76,考核调整事项表!$D:$D,累计考核费用!G$3)+SUMIFS(考核调整事项表!$E:$E,考核调整事项表!$G:$G,累计考核费用!$B76,考核调整事项表!$F:$F,累计考核费用!G$3)</f>
        <v>0</v>
      </c>
      <c r="H76" s="35">
        <f t="shared" si="12"/>
        <v>0</v>
      </c>
      <c r="I76" s="35">
        <f>SUMIFS(考核调整事项表!$C:$C,考核调整事项表!$G:$G,累计考核费用!$B76,考核调整事项表!$D:$D,累计考核费用!I$3)+SUMIFS(考核调整事项表!$E:$E,考核调整事项表!$G:$G,累计考核费用!$B76,考核调整事项表!$F:$F,累计考核费用!I$3)</f>
        <v>0</v>
      </c>
      <c r="J76" s="35">
        <f>SUMIFS(考核调整事项表!$C:$C,考核调整事项表!$G:$G,累计考核费用!$B76,考核调整事项表!$D:$D,累计考核费用!J$3)+SUMIFS(考核调整事项表!$E:$E,考核调整事项表!$G:$G,累计考核费用!$B76,考核调整事项表!$F:$F,累计考核费用!J$3)</f>
        <v>0</v>
      </c>
      <c r="K76" s="35">
        <f>SUMIFS(考核调整事项表!$C:$C,考核调整事项表!$G:$G,累计考核费用!$B76,考核调整事项表!$D:$D,累计考核费用!K$3)+SUMIFS(考核调整事项表!$E:$E,考核调整事项表!$G:$G,累计考核费用!$B76,考核调整事项表!$F:$F,累计考核费用!K$3)</f>
        <v>0</v>
      </c>
      <c r="L76" s="35">
        <f>SUMIFS(考核调整事项表!$C:$C,考核调整事项表!$G:$G,累计考核费用!$B76,考核调整事项表!$D:$D,累计考核费用!L$3)+SUMIFS(考核调整事项表!$E:$E,考核调整事项表!$G:$G,累计考核费用!$B76,考核调整事项表!$F:$F,累计考核费用!L$3)</f>
        <v>0</v>
      </c>
      <c r="M76" s="35">
        <f>SUMIFS(考核调整事项表!$C:$C,考核调整事项表!$G:$G,累计考核费用!$B76,考核调整事项表!$D:$D,累计考核费用!M$3)+SUMIFS(考核调整事项表!$E:$E,考核调整事项表!$G:$G,累计考核费用!$B76,考核调整事项表!$F:$F,累计考核费用!M$3)</f>
        <v>0</v>
      </c>
      <c r="N76" s="35">
        <f>SUMIFS(考核调整事项表!$C:$C,考核调整事项表!$G:$G,累计考核费用!$B76,考核调整事项表!$D:$D,累计考核费用!N$3)+SUMIFS(考核调整事项表!$E:$E,考核调整事项表!$G:$G,累计考核费用!$B76,考核调整事项表!$F:$F,累计考核费用!N$3)</f>
        <v>0</v>
      </c>
      <c r="O76" s="35">
        <f>SUMIFS(考核调整事项表!$C:$C,考核调整事项表!$G:$G,累计考核费用!$B76,考核调整事项表!$D:$D,累计考核费用!O$3)+SUMIFS(考核调整事项表!$E:$E,考核调整事项表!$G:$G,累计考核费用!$B76,考核调整事项表!$F:$F,累计考核费用!O$3)</f>
        <v>0</v>
      </c>
      <c r="P76" s="35">
        <f>SUMIFS(考核调整事项表!$C:$C,考核调整事项表!$G:$G,累计考核费用!$B76,考核调整事项表!$D:$D,累计考核费用!P$3)+SUMIFS(考核调整事项表!$E:$E,考核调整事项表!$G:$G,累计考核费用!$B76,考核调整事项表!$F:$F,累计考核费用!P$3)</f>
        <v>0</v>
      </c>
      <c r="Q76" s="35">
        <f>SUMIFS(考核调整事项表!$C:$C,考核调整事项表!$G:$G,累计考核费用!$B76,考核调整事项表!$D:$D,累计考核费用!Q$3)+SUMIFS(考核调整事项表!$E:$E,考核调整事项表!$G:$G,累计考核费用!$B76,考核调整事项表!$F:$F,累计考核费用!Q$3)</f>
        <v>0</v>
      </c>
      <c r="R76" s="41">
        <f t="shared" si="13"/>
        <v>0</v>
      </c>
      <c r="S76" s="35">
        <f>SUMIFS(考核调整事项表!$C:$C,考核调整事项表!$G:$G,累计考核费用!$B76,考核调整事项表!$D:$D,累计考核费用!S$3)+SUMIFS(考核调整事项表!$E:$E,考核调整事项表!$G:$G,累计考核费用!$B76,考核调整事项表!$F:$F,累计考核费用!S$3)</f>
        <v>0</v>
      </c>
      <c r="T76" s="35">
        <f>SUMIFS(考核调整事项表!$C:$C,考核调整事项表!$G:$G,累计考核费用!$B76,考核调整事项表!$D:$D,累计考核费用!T$3)+SUMIFS(考核调整事项表!$E:$E,考核调整事项表!$G:$G,累计考核费用!$B76,考核调整事项表!$F:$F,累计考核费用!T$3)</f>
        <v>0</v>
      </c>
      <c r="U76" s="35">
        <f>SUMIFS(考核调整事项表!$C:$C,考核调整事项表!$G:$G,累计考核费用!$B76,考核调整事项表!$D:$D,累计考核费用!U$3)+SUMIFS(考核调整事项表!$E:$E,考核调整事项表!$G:$G,累计考核费用!$B76,考核调整事项表!$F:$F,累计考核费用!U$3)</f>
        <v>0</v>
      </c>
      <c r="V76" s="35">
        <f>SUMIFS(考核调整事项表!$C:$C,考核调整事项表!$G:$G,累计考核费用!$B76,考核调整事项表!$D:$D,累计考核费用!V$3)+SUMIFS(考核调整事项表!$E:$E,考核调整事项表!$G:$G,累计考核费用!$B76,考核调整事项表!$F:$F,累计考核费用!V$3)</f>
        <v>0</v>
      </c>
      <c r="W76" s="35">
        <f t="shared" si="8"/>
        <v>0</v>
      </c>
      <c r="X76" s="35">
        <f>SUMIFS(考核调整事项表!$C:$C,考核调整事项表!$G:$G,累计考核费用!$B76,考核调整事项表!$D:$D,累计考核费用!X$3)+SUMIFS(考核调整事项表!$E:$E,考核调整事项表!$G:$G,累计考核费用!$B76,考核调整事项表!$F:$F,累计考核费用!X$3)</f>
        <v>0</v>
      </c>
      <c r="Y76" s="35">
        <f>SUMIFS(考核调整事项表!$C:$C,考核调整事项表!$G:$G,累计考核费用!$B76,考核调整事项表!$D:$D,累计考核费用!Y$3)+SUMIFS(考核调整事项表!$E:$E,考核调整事项表!$G:$G,累计考核费用!$B76,考核调整事项表!$F:$F,累计考核费用!Y$3)</f>
        <v>0</v>
      </c>
      <c r="Z76" s="35">
        <f>SUMIFS(考核调整事项表!$C:$C,考核调整事项表!$G:$G,累计考核费用!$B76,考核调整事项表!$D:$D,累计考核费用!Z$3)+SUMIFS(考核调整事项表!$E:$E,考核调整事项表!$G:$G,累计考核费用!$B76,考核调整事项表!$F:$F,累计考核费用!Z$3)</f>
        <v>0</v>
      </c>
      <c r="AA76" s="35">
        <f>SUMIFS(考核调整事项表!$C:$C,考核调整事项表!$G:$G,累计考核费用!$B76,考核调整事项表!$D:$D,累计考核费用!AA$3)+SUMIFS(考核调整事项表!$E:$E,考核调整事项表!$G:$G,累计考核费用!$B76,考核调整事项表!$F:$F,累计考核费用!AA$3)</f>
        <v>0</v>
      </c>
    </row>
    <row r="77" spans="1:27">
      <c r="A77" s="320"/>
      <c r="B77" s="174" t="s">
        <v>84</v>
      </c>
      <c r="C77" s="35">
        <f t="shared" si="1"/>
        <v>-1.4842953532934189E-9</v>
      </c>
      <c r="D77" s="35">
        <f>SUMIFS(考核调整事项表!$C:$C,考核调整事项表!$G:$G,累计考核费用!$B77,考核调整事项表!$D:$D,累计考核费用!D$3)+SUMIFS(考核调整事项表!$E:$E,考核调整事项表!$G:$G,累计考核费用!$B77,考核调整事项表!$F:$F,累计考核费用!D$3)</f>
        <v>-28809643.68</v>
      </c>
      <c r="E77" s="35">
        <f>SUMIFS(考核调整事项表!$C:$C,考核调整事项表!$G:$G,累计考核费用!$B77,考核调整事项表!$D:$D,累计考核费用!E$3)+SUMIFS(考核调整事项表!$E:$E,考核调整事项表!$G:$G,累计考核费用!$B77,考核调整事项表!$F:$F,累计考核费用!E$3)</f>
        <v>81775.459999999992</v>
      </c>
      <c r="F77" s="35">
        <f>SUMIFS(考核调整事项表!$C:$C,考核调整事项表!$G:$G,累计考核费用!$B77,考核调整事项表!$D:$D,累计考核费用!F$3)+SUMIFS(考核调整事项表!$E:$E,考核调整事项表!$G:$G,累计考核费用!$B77,考核调整事项表!$F:$F,累计考核费用!F$3)</f>
        <v>28899933.869999997</v>
      </c>
      <c r="G77" s="35">
        <f>SUMIFS(考核调整事项表!$C:$C,考核调整事项表!$G:$G,累计考核费用!$B77,考核调整事项表!$D:$D,累计考核费用!G$3)+SUMIFS(考核调整事项表!$E:$E,考核调整事项表!$G:$G,累计考核费用!$B77,考核调整事项表!$F:$F,累计考核费用!G$3)</f>
        <v>0</v>
      </c>
      <c r="H77" s="35">
        <f t="shared" si="12"/>
        <v>0</v>
      </c>
      <c r="I77" s="35">
        <f>SUMIFS(考核调整事项表!$C:$C,考核调整事项表!$G:$G,累计考核费用!$B77,考核调整事项表!$D:$D,累计考核费用!I$3)+SUMIFS(考核调整事项表!$E:$E,考核调整事项表!$G:$G,累计考核费用!$B77,考核调整事项表!$F:$F,累计考核费用!I$3)</f>
        <v>0</v>
      </c>
      <c r="J77" s="35">
        <f>SUMIFS(考核调整事项表!$C:$C,考核调整事项表!$G:$G,累计考核费用!$B77,考核调整事项表!$D:$D,累计考核费用!J$3)+SUMIFS(考核调整事项表!$E:$E,考核调整事项表!$G:$G,累计考核费用!$B77,考核调整事项表!$F:$F,累计考核费用!J$3)</f>
        <v>0</v>
      </c>
      <c r="K77" s="35">
        <f>SUMIFS(考核调整事项表!$C:$C,考核调整事项表!$G:$G,累计考核费用!$B77,考核调整事项表!$D:$D,累计考核费用!K$3)+SUMIFS(考核调整事项表!$E:$E,考核调整事项表!$G:$G,累计考核费用!$B77,考核调整事项表!$F:$F,累计考核费用!K$3)</f>
        <v>0</v>
      </c>
      <c r="L77" s="35">
        <f>SUMIFS(考核调整事项表!$C:$C,考核调整事项表!$G:$G,累计考核费用!$B77,考核调整事项表!$D:$D,累计考核费用!L$3)+SUMIFS(考核调整事项表!$E:$E,考核调整事项表!$G:$G,累计考核费用!$B77,考核调整事项表!$F:$F,累计考核费用!L$3)</f>
        <v>0</v>
      </c>
      <c r="M77" s="35">
        <f>SUMIFS(考核调整事项表!$C:$C,考核调整事项表!$G:$G,累计考核费用!$B77,考核调整事项表!$D:$D,累计考核费用!M$3)+SUMIFS(考核调整事项表!$E:$E,考核调整事项表!$G:$G,累计考核费用!$B77,考核调整事项表!$F:$F,累计考核费用!M$3)</f>
        <v>0</v>
      </c>
      <c r="N77" s="35">
        <f>SUMIFS(考核调整事项表!$C:$C,考核调整事项表!$G:$G,累计考核费用!$B77,考核调整事项表!$D:$D,累计考核费用!N$3)+SUMIFS(考核调整事项表!$E:$E,考核调整事项表!$G:$G,累计考核费用!$B77,考核调整事项表!$F:$F,累计考核费用!N$3)</f>
        <v>0</v>
      </c>
      <c r="O77" s="35">
        <f>SUMIFS(考核调整事项表!$C:$C,考核调整事项表!$G:$G,累计考核费用!$B77,考核调整事项表!$D:$D,累计考核费用!O$3)+SUMIFS(考核调整事项表!$E:$E,考核调整事项表!$G:$G,累计考核费用!$B77,考核调整事项表!$F:$F,累计考核费用!O$3)</f>
        <v>0</v>
      </c>
      <c r="P77" s="35">
        <f>SUMIFS(考核调整事项表!$C:$C,考核调整事项表!$G:$G,累计考核费用!$B77,考核调整事项表!$D:$D,累计考核费用!P$3)+SUMIFS(考核调整事项表!$E:$E,考核调整事项表!$G:$G,累计考核费用!$B77,考核调整事项表!$F:$F,累计考核费用!P$3)</f>
        <v>0</v>
      </c>
      <c r="Q77" s="35">
        <f>SUMIFS(考核调整事项表!$C:$C,考核调整事项表!$G:$G,累计考核费用!$B77,考核调整事项表!$D:$D,累计考核费用!Q$3)+SUMIFS(考核调整事项表!$E:$E,考核调整事项表!$G:$G,累计考核费用!$B77,考核调整事项表!$F:$F,累计考核费用!Q$3)</f>
        <v>0</v>
      </c>
      <c r="R77" s="41">
        <f t="shared" si="13"/>
        <v>0</v>
      </c>
      <c r="S77" s="35">
        <f>SUMIFS(考核调整事项表!$C:$C,考核调整事项表!$G:$G,累计考核费用!$B77,考核调整事项表!$D:$D,累计考核费用!S$3)+SUMIFS(考核调整事项表!$E:$E,考核调整事项表!$G:$G,累计考核费用!$B77,考核调整事项表!$F:$F,累计考核费用!S$3)</f>
        <v>0</v>
      </c>
      <c r="T77" s="35">
        <f>SUMIFS(考核调整事项表!$C:$C,考核调整事项表!$G:$G,累计考核费用!$B77,考核调整事项表!$D:$D,累计考核费用!T$3)+SUMIFS(考核调整事项表!$E:$E,考核调整事项表!$G:$G,累计考核费用!$B77,考核调整事项表!$F:$F,累计考核费用!T$3)</f>
        <v>0</v>
      </c>
      <c r="U77" s="35">
        <f>SUMIFS(考核调整事项表!$C:$C,考核调整事项表!$G:$G,累计考核费用!$B77,考核调整事项表!$D:$D,累计考核费用!U$3)+SUMIFS(考核调整事项表!$E:$E,考核调整事项表!$G:$G,累计考核费用!$B77,考核调整事项表!$F:$F,累计考核费用!U$3)</f>
        <v>0</v>
      </c>
      <c r="V77" s="35">
        <f>SUMIFS(考核调整事项表!$C:$C,考核调整事项表!$G:$G,累计考核费用!$B77,考核调整事项表!$D:$D,累计考核费用!V$3)+SUMIFS(考核调整事项表!$E:$E,考核调整事项表!$G:$G,累计考核费用!$B77,考核调整事项表!$F:$F,累计考核费用!V$3)</f>
        <v>0</v>
      </c>
      <c r="W77" s="35">
        <f t="shared" si="8"/>
        <v>0</v>
      </c>
      <c r="X77" s="35">
        <f>SUMIFS(考核调整事项表!$C:$C,考核调整事项表!$G:$G,累计考核费用!$B77,考核调整事项表!$D:$D,累计考核费用!X$3)+SUMIFS(考核调整事项表!$E:$E,考核调整事项表!$G:$G,累计考核费用!$B77,考核调整事项表!$F:$F,累计考核费用!X$3)</f>
        <v>0</v>
      </c>
      <c r="Y77" s="35">
        <f>SUMIFS(考核调整事项表!$C:$C,考核调整事项表!$G:$G,累计考核费用!$B77,考核调整事项表!$D:$D,累计考核费用!Y$3)+SUMIFS(考核调整事项表!$E:$E,考核调整事项表!$G:$G,累计考核费用!$B77,考核调整事项表!$F:$F,累计考核费用!Y$3)</f>
        <v>0</v>
      </c>
      <c r="Z77" s="35">
        <f>SUMIFS(考核调整事项表!$C:$C,考核调整事项表!$G:$G,累计考核费用!$B77,考核调整事项表!$D:$D,累计考核费用!Z$3)+SUMIFS(考核调整事项表!$E:$E,考核调整事项表!$G:$G,累计考核费用!$B77,考核调整事项表!$F:$F,累计考核费用!Z$3)</f>
        <v>-172065.65</v>
      </c>
      <c r="AA77" s="35">
        <f>SUMIFS(考核调整事项表!$C:$C,考核调整事项表!$G:$G,累计考核费用!$B77,考核调整事项表!$D:$D,累计考核费用!AA$3)+SUMIFS(考核调整事项表!$E:$E,考核调整事项表!$G:$G,累计考核费用!$B77,考核调整事项表!$F:$F,累计考核费用!AA$3)</f>
        <v>0</v>
      </c>
    </row>
    <row r="78" spans="1:27">
      <c r="A78" s="320"/>
      <c r="B78" s="174" t="s">
        <v>86</v>
      </c>
      <c r="C78" s="35">
        <f t="shared" si="1"/>
        <v>0</v>
      </c>
      <c r="D78" s="35">
        <f>SUMIFS(考核调整事项表!$C:$C,考核调整事项表!$G:$G,累计考核费用!$B78,考核调整事项表!$D:$D,累计考核费用!D$3)+SUMIFS(考核调整事项表!$E:$E,考核调整事项表!$G:$G,累计考核费用!$B78,考核调整事项表!$F:$F,累计考核费用!D$3)</f>
        <v>0</v>
      </c>
      <c r="E78" s="35">
        <f>SUMIFS(考核调整事项表!$C:$C,考核调整事项表!$G:$G,累计考核费用!$B78,考核调整事项表!$D:$D,累计考核费用!E$3)+SUMIFS(考核调整事项表!$E:$E,考核调整事项表!$G:$G,累计考核费用!$B78,考核调整事项表!$F:$F,累计考核费用!E$3)</f>
        <v>0</v>
      </c>
      <c r="F78" s="35">
        <f>SUMIFS(考核调整事项表!$C:$C,考核调整事项表!$G:$G,累计考核费用!$B78,考核调整事项表!$D:$D,累计考核费用!F$3)+SUMIFS(考核调整事项表!$E:$E,考核调整事项表!$G:$G,累计考核费用!$B78,考核调整事项表!$F:$F,累计考核费用!F$3)</f>
        <v>0</v>
      </c>
      <c r="G78" s="35">
        <f>SUMIFS(考核调整事项表!$C:$C,考核调整事项表!$G:$G,累计考核费用!$B78,考核调整事项表!$D:$D,累计考核费用!G$3)+SUMIFS(考核调整事项表!$E:$E,考核调整事项表!$G:$G,累计考核费用!$B78,考核调整事项表!$F:$F,累计考核费用!G$3)</f>
        <v>0</v>
      </c>
      <c r="H78" s="35">
        <f t="shared" si="12"/>
        <v>0</v>
      </c>
      <c r="I78" s="35">
        <f>SUMIFS(考核调整事项表!$C:$C,考核调整事项表!$G:$G,累计考核费用!$B78,考核调整事项表!$D:$D,累计考核费用!I$3)+SUMIFS(考核调整事项表!$E:$E,考核调整事项表!$G:$G,累计考核费用!$B78,考核调整事项表!$F:$F,累计考核费用!I$3)</f>
        <v>0</v>
      </c>
      <c r="J78" s="35">
        <f>SUMIFS(考核调整事项表!$C:$C,考核调整事项表!$G:$G,累计考核费用!$B78,考核调整事项表!$D:$D,累计考核费用!J$3)+SUMIFS(考核调整事项表!$E:$E,考核调整事项表!$G:$G,累计考核费用!$B78,考核调整事项表!$F:$F,累计考核费用!J$3)</f>
        <v>0</v>
      </c>
      <c r="K78" s="35">
        <f>SUMIFS(考核调整事项表!$C:$C,考核调整事项表!$G:$G,累计考核费用!$B78,考核调整事项表!$D:$D,累计考核费用!K$3)+SUMIFS(考核调整事项表!$E:$E,考核调整事项表!$G:$G,累计考核费用!$B78,考核调整事项表!$F:$F,累计考核费用!K$3)</f>
        <v>0</v>
      </c>
      <c r="L78" s="35">
        <f>SUMIFS(考核调整事项表!$C:$C,考核调整事项表!$G:$G,累计考核费用!$B78,考核调整事项表!$D:$D,累计考核费用!L$3)+SUMIFS(考核调整事项表!$E:$E,考核调整事项表!$G:$G,累计考核费用!$B78,考核调整事项表!$F:$F,累计考核费用!L$3)</f>
        <v>0</v>
      </c>
      <c r="M78" s="35">
        <f>SUMIFS(考核调整事项表!$C:$C,考核调整事项表!$G:$G,累计考核费用!$B78,考核调整事项表!$D:$D,累计考核费用!M$3)+SUMIFS(考核调整事项表!$E:$E,考核调整事项表!$G:$G,累计考核费用!$B78,考核调整事项表!$F:$F,累计考核费用!M$3)</f>
        <v>0</v>
      </c>
      <c r="N78" s="35">
        <f>SUMIFS(考核调整事项表!$C:$C,考核调整事项表!$G:$G,累计考核费用!$B78,考核调整事项表!$D:$D,累计考核费用!N$3)+SUMIFS(考核调整事项表!$E:$E,考核调整事项表!$G:$G,累计考核费用!$B78,考核调整事项表!$F:$F,累计考核费用!N$3)</f>
        <v>0</v>
      </c>
      <c r="O78" s="35">
        <f>SUMIFS(考核调整事项表!$C:$C,考核调整事项表!$G:$G,累计考核费用!$B78,考核调整事项表!$D:$D,累计考核费用!O$3)+SUMIFS(考核调整事项表!$E:$E,考核调整事项表!$G:$G,累计考核费用!$B78,考核调整事项表!$F:$F,累计考核费用!O$3)</f>
        <v>0</v>
      </c>
      <c r="P78" s="35">
        <f>SUMIFS(考核调整事项表!$C:$C,考核调整事项表!$G:$G,累计考核费用!$B78,考核调整事项表!$D:$D,累计考核费用!P$3)+SUMIFS(考核调整事项表!$E:$E,考核调整事项表!$G:$G,累计考核费用!$B78,考核调整事项表!$F:$F,累计考核费用!P$3)</f>
        <v>0</v>
      </c>
      <c r="Q78" s="35">
        <f>SUMIFS(考核调整事项表!$C:$C,考核调整事项表!$G:$G,累计考核费用!$B78,考核调整事项表!$D:$D,累计考核费用!Q$3)+SUMIFS(考核调整事项表!$E:$E,考核调整事项表!$G:$G,累计考核费用!$B78,考核调整事项表!$F:$F,累计考核费用!Q$3)</f>
        <v>0</v>
      </c>
      <c r="R78" s="41">
        <f t="shared" si="13"/>
        <v>0</v>
      </c>
      <c r="S78" s="35">
        <f>SUMIFS(考核调整事项表!$C:$C,考核调整事项表!$G:$G,累计考核费用!$B78,考核调整事项表!$D:$D,累计考核费用!S$3)+SUMIFS(考核调整事项表!$E:$E,考核调整事项表!$G:$G,累计考核费用!$B78,考核调整事项表!$F:$F,累计考核费用!S$3)</f>
        <v>0</v>
      </c>
      <c r="T78" s="35">
        <f>SUMIFS(考核调整事项表!$C:$C,考核调整事项表!$G:$G,累计考核费用!$B78,考核调整事项表!$D:$D,累计考核费用!T$3)+SUMIFS(考核调整事项表!$E:$E,考核调整事项表!$G:$G,累计考核费用!$B78,考核调整事项表!$F:$F,累计考核费用!T$3)</f>
        <v>0</v>
      </c>
      <c r="U78" s="35">
        <f>SUMIFS(考核调整事项表!$C:$C,考核调整事项表!$G:$G,累计考核费用!$B78,考核调整事项表!$D:$D,累计考核费用!U$3)+SUMIFS(考核调整事项表!$E:$E,考核调整事项表!$G:$G,累计考核费用!$B78,考核调整事项表!$F:$F,累计考核费用!U$3)</f>
        <v>0</v>
      </c>
      <c r="V78" s="35">
        <f>SUMIFS(考核调整事项表!$C:$C,考核调整事项表!$G:$G,累计考核费用!$B78,考核调整事项表!$D:$D,累计考核费用!V$3)+SUMIFS(考核调整事项表!$E:$E,考核调整事项表!$G:$G,累计考核费用!$B78,考核调整事项表!$F:$F,累计考核费用!V$3)</f>
        <v>0</v>
      </c>
      <c r="W78" s="35">
        <f t="shared" si="8"/>
        <v>0</v>
      </c>
      <c r="X78" s="35">
        <f>SUMIFS(考核调整事项表!$C:$C,考核调整事项表!$G:$G,累计考核费用!$B78,考核调整事项表!$D:$D,累计考核费用!X$3)+SUMIFS(考核调整事项表!$E:$E,考核调整事项表!$G:$G,累计考核费用!$B78,考核调整事项表!$F:$F,累计考核费用!X$3)</f>
        <v>0</v>
      </c>
      <c r="Y78" s="35">
        <f>SUMIFS(考核调整事项表!$C:$C,考核调整事项表!$G:$G,累计考核费用!$B78,考核调整事项表!$D:$D,累计考核费用!Y$3)+SUMIFS(考核调整事项表!$E:$E,考核调整事项表!$G:$G,累计考核费用!$B78,考核调整事项表!$F:$F,累计考核费用!Y$3)</f>
        <v>0</v>
      </c>
      <c r="Z78" s="35">
        <f>SUMIFS(考核调整事项表!$C:$C,考核调整事项表!$G:$G,累计考核费用!$B78,考核调整事项表!$D:$D,累计考核费用!Z$3)+SUMIFS(考核调整事项表!$E:$E,考核调整事项表!$G:$G,累计考核费用!$B78,考核调整事项表!$F:$F,累计考核费用!Z$3)</f>
        <v>0</v>
      </c>
      <c r="AA78" s="35">
        <f>SUMIFS(考核调整事项表!$C:$C,考核调整事项表!$G:$G,累计考核费用!$B78,考核调整事项表!$D:$D,累计考核费用!AA$3)+SUMIFS(考核调整事项表!$E:$E,考核调整事项表!$G:$G,累计考核费用!$B78,考核调整事项表!$F:$F,累计考核费用!AA$3)</f>
        <v>0</v>
      </c>
    </row>
    <row r="79" spans="1:27">
      <c r="A79" s="320"/>
      <c r="B79" s="174" t="s">
        <v>88</v>
      </c>
      <c r="C79" s="35">
        <f t="shared" si="1"/>
        <v>0</v>
      </c>
      <c r="D79" s="35">
        <f>SUMIFS(考核调整事项表!$C:$C,考核调整事项表!$G:$G,累计考核费用!$B79,考核调整事项表!$D:$D,累计考核费用!D$3)+SUMIFS(考核调整事项表!$E:$E,考核调整事项表!$G:$G,累计考核费用!$B79,考核调整事项表!$F:$F,累计考核费用!D$3)</f>
        <v>0</v>
      </c>
      <c r="E79" s="35">
        <f>SUMIFS(考核调整事项表!$C:$C,考核调整事项表!$G:$G,累计考核费用!$B79,考核调整事项表!$D:$D,累计考核费用!E$3)+SUMIFS(考核调整事项表!$E:$E,考核调整事项表!$G:$G,累计考核费用!$B79,考核调整事项表!$F:$F,累计考核费用!E$3)</f>
        <v>0</v>
      </c>
      <c r="F79" s="35">
        <f>SUMIFS(考核调整事项表!$C:$C,考核调整事项表!$G:$G,累计考核费用!$B79,考核调整事项表!$D:$D,累计考核费用!F$3)+SUMIFS(考核调整事项表!$E:$E,考核调整事项表!$G:$G,累计考核费用!$B79,考核调整事项表!$F:$F,累计考核费用!F$3)</f>
        <v>0</v>
      </c>
      <c r="G79" s="35">
        <f>SUMIFS(考核调整事项表!$C:$C,考核调整事项表!$G:$G,累计考核费用!$B79,考核调整事项表!$D:$D,累计考核费用!G$3)+SUMIFS(考核调整事项表!$E:$E,考核调整事项表!$G:$G,累计考核费用!$B79,考核调整事项表!$F:$F,累计考核费用!G$3)</f>
        <v>0</v>
      </c>
      <c r="H79" s="35">
        <f t="shared" si="12"/>
        <v>0</v>
      </c>
      <c r="I79" s="35">
        <f>SUMIFS(考核调整事项表!$C:$C,考核调整事项表!$G:$G,累计考核费用!$B79,考核调整事项表!$D:$D,累计考核费用!I$3)+SUMIFS(考核调整事项表!$E:$E,考核调整事项表!$G:$G,累计考核费用!$B79,考核调整事项表!$F:$F,累计考核费用!I$3)</f>
        <v>0</v>
      </c>
      <c r="J79" s="35">
        <f>SUMIFS(考核调整事项表!$C:$C,考核调整事项表!$G:$G,累计考核费用!$B79,考核调整事项表!$D:$D,累计考核费用!J$3)+SUMIFS(考核调整事项表!$E:$E,考核调整事项表!$G:$G,累计考核费用!$B79,考核调整事项表!$F:$F,累计考核费用!J$3)</f>
        <v>0</v>
      </c>
      <c r="K79" s="35">
        <f>SUMIFS(考核调整事项表!$C:$C,考核调整事项表!$G:$G,累计考核费用!$B79,考核调整事项表!$D:$D,累计考核费用!K$3)+SUMIFS(考核调整事项表!$E:$E,考核调整事项表!$G:$G,累计考核费用!$B79,考核调整事项表!$F:$F,累计考核费用!K$3)</f>
        <v>0</v>
      </c>
      <c r="L79" s="35">
        <f>SUMIFS(考核调整事项表!$C:$C,考核调整事项表!$G:$G,累计考核费用!$B79,考核调整事项表!$D:$D,累计考核费用!L$3)+SUMIFS(考核调整事项表!$E:$E,考核调整事项表!$G:$G,累计考核费用!$B79,考核调整事项表!$F:$F,累计考核费用!L$3)</f>
        <v>0</v>
      </c>
      <c r="M79" s="35">
        <f>SUMIFS(考核调整事项表!$C:$C,考核调整事项表!$G:$G,累计考核费用!$B79,考核调整事项表!$D:$D,累计考核费用!M$3)+SUMIFS(考核调整事项表!$E:$E,考核调整事项表!$G:$G,累计考核费用!$B79,考核调整事项表!$F:$F,累计考核费用!M$3)</f>
        <v>0</v>
      </c>
      <c r="N79" s="35">
        <f>SUMIFS(考核调整事项表!$C:$C,考核调整事项表!$G:$G,累计考核费用!$B79,考核调整事项表!$D:$D,累计考核费用!N$3)+SUMIFS(考核调整事项表!$E:$E,考核调整事项表!$G:$G,累计考核费用!$B79,考核调整事项表!$F:$F,累计考核费用!N$3)</f>
        <v>0</v>
      </c>
      <c r="O79" s="35">
        <f>SUMIFS(考核调整事项表!$C:$C,考核调整事项表!$G:$G,累计考核费用!$B79,考核调整事项表!$D:$D,累计考核费用!O$3)+SUMIFS(考核调整事项表!$E:$E,考核调整事项表!$G:$G,累计考核费用!$B79,考核调整事项表!$F:$F,累计考核费用!O$3)</f>
        <v>0</v>
      </c>
      <c r="P79" s="35">
        <f>SUMIFS(考核调整事项表!$C:$C,考核调整事项表!$G:$G,累计考核费用!$B79,考核调整事项表!$D:$D,累计考核费用!P$3)+SUMIFS(考核调整事项表!$E:$E,考核调整事项表!$G:$G,累计考核费用!$B79,考核调整事项表!$F:$F,累计考核费用!P$3)</f>
        <v>0</v>
      </c>
      <c r="Q79" s="35">
        <f>SUMIFS(考核调整事项表!$C:$C,考核调整事项表!$G:$G,累计考核费用!$B79,考核调整事项表!$D:$D,累计考核费用!Q$3)+SUMIFS(考核调整事项表!$E:$E,考核调整事项表!$G:$G,累计考核费用!$B79,考核调整事项表!$F:$F,累计考核费用!Q$3)</f>
        <v>0</v>
      </c>
      <c r="R79" s="41">
        <f t="shared" si="13"/>
        <v>0</v>
      </c>
      <c r="S79" s="35">
        <f>SUMIFS(考核调整事项表!$C:$C,考核调整事项表!$G:$G,累计考核费用!$B79,考核调整事项表!$D:$D,累计考核费用!S$3)+SUMIFS(考核调整事项表!$E:$E,考核调整事项表!$G:$G,累计考核费用!$B79,考核调整事项表!$F:$F,累计考核费用!S$3)</f>
        <v>0</v>
      </c>
      <c r="T79" s="35">
        <f>SUMIFS(考核调整事项表!$C:$C,考核调整事项表!$G:$G,累计考核费用!$B79,考核调整事项表!$D:$D,累计考核费用!T$3)+SUMIFS(考核调整事项表!$E:$E,考核调整事项表!$G:$G,累计考核费用!$B79,考核调整事项表!$F:$F,累计考核费用!T$3)</f>
        <v>0</v>
      </c>
      <c r="U79" s="35">
        <f>SUMIFS(考核调整事项表!$C:$C,考核调整事项表!$G:$G,累计考核费用!$B79,考核调整事项表!$D:$D,累计考核费用!U$3)+SUMIFS(考核调整事项表!$E:$E,考核调整事项表!$G:$G,累计考核费用!$B79,考核调整事项表!$F:$F,累计考核费用!U$3)</f>
        <v>0</v>
      </c>
      <c r="V79" s="35">
        <f>SUMIFS(考核调整事项表!$C:$C,考核调整事项表!$G:$G,累计考核费用!$B79,考核调整事项表!$D:$D,累计考核费用!V$3)+SUMIFS(考核调整事项表!$E:$E,考核调整事项表!$G:$G,累计考核费用!$B79,考核调整事项表!$F:$F,累计考核费用!V$3)</f>
        <v>0</v>
      </c>
      <c r="W79" s="35">
        <f t="shared" si="8"/>
        <v>0</v>
      </c>
      <c r="X79" s="35">
        <f>SUMIFS(考核调整事项表!$C:$C,考核调整事项表!$G:$G,累计考核费用!$B79,考核调整事项表!$D:$D,累计考核费用!X$3)+SUMIFS(考核调整事项表!$E:$E,考核调整事项表!$G:$G,累计考核费用!$B79,考核调整事项表!$F:$F,累计考核费用!X$3)</f>
        <v>0</v>
      </c>
      <c r="Y79" s="35">
        <f>SUMIFS(考核调整事项表!$C:$C,考核调整事项表!$G:$G,累计考核费用!$B79,考核调整事项表!$D:$D,累计考核费用!Y$3)+SUMIFS(考核调整事项表!$E:$E,考核调整事项表!$G:$G,累计考核费用!$B79,考核调整事项表!$F:$F,累计考核费用!Y$3)</f>
        <v>0</v>
      </c>
      <c r="Z79" s="35">
        <f>SUMIFS(考核调整事项表!$C:$C,考核调整事项表!$G:$G,累计考核费用!$B79,考核调整事项表!$D:$D,累计考核费用!Z$3)+SUMIFS(考核调整事项表!$E:$E,考核调整事项表!$G:$G,累计考核费用!$B79,考核调整事项表!$F:$F,累计考核费用!Z$3)</f>
        <v>0</v>
      </c>
      <c r="AA79" s="35">
        <f>SUMIFS(考核调整事项表!$C:$C,考核调整事项表!$G:$G,累计考核费用!$B79,考核调整事项表!$D:$D,累计考核费用!AA$3)+SUMIFS(考核调整事项表!$E:$E,考核调整事项表!$G:$G,累计考核费用!$B79,考核调整事项表!$F:$F,累计考核费用!AA$3)</f>
        <v>0</v>
      </c>
    </row>
    <row r="80" spans="1:27">
      <c r="A80" s="320"/>
      <c r="B80" s="174" t="s">
        <v>89</v>
      </c>
      <c r="C80" s="35">
        <f t="shared" si="1"/>
        <v>0</v>
      </c>
      <c r="D80" s="35">
        <f>SUMIFS(考核调整事项表!$C:$C,考核调整事项表!$G:$G,累计考核费用!$B80,考核调整事项表!$D:$D,累计考核费用!D$3)+SUMIFS(考核调整事项表!$E:$E,考核调整事项表!$G:$G,累计考核费用!$B80,考核调整事项表!$F:$F,累计考核费用!D$3)</f>
        <v>0</v>
      </c>
      <c r="E80" s="35">
        <f>SUMIFS(考核调整事项表!$C:$C,考核调整事项表!$G:$G,累计考核费用!$B80,考核调整事项表!$D:$D,累计考核费用!E$3)+SUMIFS(考核调整事项表!$E:$E,考核调整事项表!$G:$G,累计考核费用!$B80,考核调整事项表!$F:$F,累计考核费用!E$3)</f>
        <v>0</v>
      </c>
      <c r="F80" s="35">
        <f>SUMIFS(考核调整事项表!$C:$C,考核调整事项表!$G:$G,累计考核费用!$B80,考核调整事项表!$D:$D,累计考核费用!F$3)+SUMIFS(考核调整事项表!$E:$E,考核调整事项表!$G:$G,累计考核费用!$B80,考核调整事项表!$F:$F,累计考核费用!F$3)</f>
        <v>-1261</v>
      </c>
      <c r="G80" s="35">
        <f>SUMIFS(考核调整事项表!$C:$C,考核调整事项表!$G:$G,累计考核费用!$B80,考核调整事项表!$D:$D,累计考核费用!G$3)+SUMIFS(考核调整事项表!$E:$E,考核调整事项表!$G:$G,累计考核费用!$B80,考核调整事项表!$F:$F,累计考核费用!G$3)</f>
        <v>0</v>
      </c>
      <c r="H80" s="35">
        <f t="shared" si="12"/>
        <v>1261</v>
      </c>
      <c r="I80" s="35">
        <f>SUMIFS(考核调整事项表!$C:$C,考核调整事项表!$G:$G,累计考核费用!$B80,考核调整事项表!$D:$D,累计考核费用!I$3)+SUMIFS(考核调整事项表!$E:$E,考核调整事项表!$G:$G,累计考核费用!$B80,考核调整事项表!$F:$F,累计考核费用!I$3)</f>
        <v>1261</v>
      </c>
      <c r="J80" s="35">
        <f>SUMIFS(考核调整事项表!$C:$C,考核调整事项表!$G:$G,累计考核费用!$B80,考核调整事项表!$D:$D,累计考核费用!J$3)+SUMIFS(考核调整事项表!$E:$E,考核调整事项表!$G:$G,累计考核费用!$B80,考核调整事项表!$F:$F,累计考核费用!J$3)</f>
        <v>0</v>
      </c>
      <c r="K80" s="35">
        <f>SUMIFS(考核调整事项表!$C:$C,考核调整事项表!$G:$G,累计考核费用!$B80,考核调整事项表!$D:$D,累计考核费用!K$3)+SUMIFS(考核调整事项表!$E:$E,考核调整事项表!$G:$G,累计考核费用!$B80,考核调整事项表!$F:$F,累计考核费用!K$3)</f>
        <v>0</v>
      </c>
      <c r="L80" s="35">
        <f>SUMIFS(考核调整事项表!$C:$C,考核调整事项表!$G:$G,累计考核费用!$B80,考核调整事项表!$D:$D,累计考核费用!L$3)+SUMIFS(考核调整事项表!$E:$E,考核调整事项表!$G:$G,累计考核费用!$B80,考核调整事项表!$F:$F,累计考核费用!L$3)</f>
        <v>0</v>
      </c>
      <c r="M80" s="35">
        <f>SUMIFS(考核调整事项表!$C:$C,考核调整事项表!$G:$G,累计考核费用!$B80,考核调整事项表!$D:$D,累计考核费用!M$3)+SUMIFS(考核调整事项表!$E:$E,考核调整事项表!$G:$G,累计考核费用!$B80,考核调整事项表!$F:$F,累计考核费用!M$3)</f>
        <v>0</v>
      </c>
      <c r="N80" s="35">
        <f>SUMIFS(考核调整事项表!$C:$C,考核调整事项表!$G:$G,累计考核费用!$B80,考核调整事项表!$D:$D,累计考核费用!N$3)+SUMIFS(考核调整事项表!$E:$E,考核调整事项表!$G:$G,累计考核费用!$B80,考核调整事项表!$F:$F,累计考核费用!N$3)</f>
        <v>0</v>
      </c>
      <c r="O80" s="35">
        <f>SUMIFS(考核调整事项表!$C:$C,考核调整事项表!$G:$G,累计考核费用!$B80,考核调整事项表!$D:$D,累计考核费用!O$3)+SUMIFS(考核调整事项表!$E:$E,考核调整事项表!$G:$G,累计考核费用!$B80,考核调整事项表!$F:$F,累计考核费用!O$3)</f>
        <v>0</v>
      </c>
      <c r="P80" s="35">
        <f>SUMIFS(考核调整事项表!$C:$C,考核调整事项表!$G:$G,累计考核费用!$B80,考核调整事项表!$D:$D,累计考核费用!P$3)+SUMIFS(考核调整事项表!$E:$E,考核调整事项表!$G:$G,累计考核费用!$B80,考核调整事项表!$F:$F,累计考核费用!P$3)</f>
        <v>0</v>
      </c>
      <c r="Q80" s="35">
        <f>SUMIFS(考核调整事项表!$C:$C,考核调整事项表!$G:$G,累计考核费用!$B80,考核调整事项表!$D:$D,累计考核费用!Q$3)+SUMIFS(考核调整事项表!$E:$E,考核调整事项表!$G:$G,累计考核费用!$B80,考核调整事项表!$F:$F,累计考核费用!Q$3)</f>
        <v>0</v>
      </c>
      <c r="R80" s="41">
        <f t="shared" si="13"/>
        <v>0</v>
      </c>
      <c r="S80" s="35">
        <f>SUMIFS(考核调整事项表!$C:$C,考核调整事项表!$G:$G,累计考核费用!$B80,考核调整事项表!$D:$D,累计考核费用!S$3)+SUMIFS(考核调整事项表!$E:$E,考核调整事项表!$G:$G,累计考核费用!$B80,考核调整事项表!$F:$F,累计考核费用!S$3)</f>
        <v>0</v>
      </c>
      <c r="T80" s="35">
        <f>SUMIFS(考核调整事项表!$C:$C,考核调整事项表!$G:$G,累计考核费用!$B80,考核调整事项表!$D:$D,累计考核费用!T$3)+SUMIFS(考核调整事项表!$E:$E,考核调整事项表!$G:$G,累计考核费用!$B80,考核调整事项表!$F:$F,累计考核费用!T$3)</f>
        <v>0</v>
      </c>
      <c r="U80" s="35">
        <f>SUMIFS(考核调整事项表!$C:$C,考核调整事项表!$G:$G,累计考核费用!$B80,考核调整事项表!$D:$D,累计考核费用!U$3)+SUMIFS(考核调整事项表!$E:$E,考核调整事项表!$G:$G,累计考核费用!$B80,考核调整事项表!$F:$F,累计考核费用!U$3)</f>
        <v>0</v>
      </c>
      <c r="V80" s="35">
        <f>SUMIFS(考核调整事项表!$C:$C,考核调整事项表!$G:$G,累计考核费用!$B80,考核调整事项表!$D:$D,累计考核费用!V$3)+SUMIFS(考核调整事项表!$E:$E,考核调整事项表!$G:$G,累计考核费用!$B80,考核调整事项表!$F:$F,累计考核费用!V$3)</f>
        <v>0</v>
      </c>
      <c r="W80" s="35">
        <f t="shared" si="8"/>
        <v>0</v>
      </c>
      <c r="X80" s="35">
        <f>SUMIFS(考核调整事项表!$C:$C,考核调整事项表!$G:$G,累计考核费用!$B80,考核调整事项表!$D:$D,累计考核费用!X$3)+SUMIFS(考核调整事项表!$E:$E,考核调整事项表!$G:$G,累计考核费用!$B80,考核调整事项表!$F:$F,累计考核费用!X$3)</f>
        <v>0</v>
      </c>
      <c r="Y80" s="35">
        <f>SUMIFS(考核调整事项表!$C:$C,考核调整事项表!$G:$G,累计考核费用!$B80,考核调整事项表!$D:$D,累计考核费用!Y$3)+SUMIFS(考核调整事项表!$E:$E,考核调整事项表!$G:$G,累计考核费用!$B80,考核调整事项表!$F:$F,累计考核费用!Y$3)</f>
        <v>0</v>
      </c>
      <c r="Z80" s="35">
        <f>SUMIFS(考核调整事项表!$C:$C,考核调整事项表!$G:$G,累计考核费用!$B80,考核调整事项表!$D:$D,累计考核费用!Z$3)+SUMIFS(考核调整事项表!$E:$E,考核调整事项表!$G:$G,累计考核费用!$B80,考核调整事项表!$F:$F,累计考核费用!Z$3)</f>
        <v>0</v>
      </c>
      <c r="AA80" s="35">
        <f>SUMIFS(考核调整事项表!$C:$C,考核调整事项表!$G:$G,累计考核费用!$B80,考核调整事项表!$D:$D,累计考核费用!AA$3)+SUMIFS(考核调整事项表!$E:$E,考核调整事项表!$G:$G,累计考核费用!$B80,考核调整事项表!$F:$F,累计考核费用!AA$3)</f>
        <v>0</v>
      </c>
    </row>
    <row r="81" spans="1:27">
      <c r="A81" s="320"/>
      <c r="B81" s="174" t="s">
        <v>93</v>
      </c>
      <c r="C81" s="35">
        <f t="shared" si="1"/>
        <v>0</v>
      </c>
      <c r="D81" s="35">
        <f>SUMIFS(考核调整事项表!$C:$C,考核调整事项表!$G:$G,累计考核费用!$B81,考核调整事项表!$D:$D,累计考核费用!D$3)+SUMIFS(考核调整事项表!$E:$E,考核调整事项表!$G:$G,累计考核费用!$B81,考核调整事项表!$F:$F,累计考核费用!D$3)</f>
        <v>0</v>
      </c>
      <c r="E81" s="35">
        <f>SUMIFS(考核调整事项表!$C:$C,考核调整事项表!$G:$G,累计考核费用!$B81,考核调整事项表!$D:$D,累计考核费用!E$3)+SUMIFS(考核调整事项表!$E:$E,考核调整事项表!$G:$G,累计考核费用!$B81,考核调整事项表!$F:$F,累计考核费用!E$3)</f>
        <v>0</v>
      </c>
      <c r="F81" s="35">
        <f>SUMIFS(考核调整事项表!$C:$C,考核调整事项表!$G:$G,累计考核费用!$B81,考核调整事项表!$D:$D,累计考核费用!F$3)+SUMIFS(考核调整事项表!$E:$E,考核调整事项表!$G:$G,累计考核费用!$B81,考核调整事项表!$F:$F,累计考核费用!F$3)</f>
        <v>0</v>
      </c>
      <c r="G81" s="35">
        <f>SUMIFS(考核调整事项表!$C:$C,考核调整事项表!$G:$G,累计考核费用!$B81,考核调整事项表!$D:$D,累计考核费用!G$3)+SUMIFS(考核调整事项表!$E:$E,考核调整事项表!$G:$G,累计考核费用!$B81,考核调整事项表!$F:$F,累计考核费用!G$3)</f>
        <v>0</v>
      </c>
      <c r="H81" s="35">
        <f t="shared" si="12"/>
        <v>0</v>
      </c>
      <c r="I81" s="35">
        <f>SUMIFS(考核调整事项表!$C:$C,考核调整事项表!$G:$G,累计考核费用!$B81,考核调整事项表!$D:$D,累计考核费用!I$3)+SUMIFS(考核调整事项表!$E:$E,考核调整事项表!$G:$G,累计考核费用!$B81,考核调整事项表!$F:$F,累计考核费用!I$3)</f>
        <v>0</v>
      </c>
      <c r="J81" s="35">
        <f>SUMIFS(考核调整事项表!$C:$C,考核调整事项表!$G:$G,累计考核费用!$B81,考核调整事项表!$D:$D,累计考核费用!J$3)+SUMIFS(考核调整事项表!$E:$E,考核调整事项表!$G:$G,累计考核费用!$B81,考核调整事项表!$F:$F,累计考核费用!J$3)</f>
        <v>0</v>
      </c>
      <c r="K81" s="35">
        <f>SUMIFS(考核调整事项表!$C:$C,考核调整事项表!$G:$G,累计考核费用!$B81,考核调整事项表!$D:$D,累计考核费用!K$3)+SUMIFS(考核调整事项表!$E:$E,考核调整事项表!$G:$G,累计考核费用!$B81,考核调整事项表!$F:$F,累计考核费用!K$3)</f>
        <v>0</v>
      </c>
      <c r="L81" s="35">
        <f>SUMIFS(考核调整事项表!$C:$C,考核调整事项表!$G:$G,累计考核费用!$B81,考核调整事项表!$D:$D,累计考核费用!L$3)+SUMIFS(考核调整事项表!$E:$E,考核调整事项表!$G:$G,累计考核费用!$B81,考核调整事项表!$F:$F,累计考核费用!L$3)</f>
        <v>0</v>
      </c>
      <c r="M81" s="35">
        <f>SUMIFS(考核调整事项表!$C:$C,考核调整事项表!$G:$G,累计考核费用!$B81,考核调整事项表!$D:$D,累计考核费用!M$3)+SUMIFS(考核调整事项表!$E:$E,考核调整事项表!$G:$G,累计考核费用!$B81,考核调整事项表!$F:$F,累计考核费用!M$3)</f>
        <v>0</v>
      </c>
      <c r="N81" s="35">
        <f>SUMIFS(考核调整事项表!$C:$C,考核调整事项表!$G:$G,累计考核费用!$B81,考核调整事项表!$D:$D,累计考核费用!N$3)+SUMIFS(考核调整事项表!$E:$E,考核调整事项表!$G:$G,累计考核费用!$B81,考核调整事项表!$F:$F,累计考核费用!N$3)</f>
        <v>0</v>
      </c>
      <c r="O81" s="35">
        <f>SUMIFS(考核调整事项表!$C:$C,考核调整事项表!$G:$G,累计考核费用!$B81,考核调整事项表!$D:$D,累计考核费用!O$3)+SUMIFS(考核调整事项表!$E:$E,考核调整事项表!$G:$G,累计考核费用!$B81,考核调整事项表!$F:$F,累计考核费用!O$3)</f>
        <v>0</v>
      </c>
      <c r="P81" s="35">
        <f>SUMIFS(考核调整事项表!$C:$C,考核调整事项表!$G:$G,累计考核费用!$B81,考核调整事项表!$D:$D,累计考核费用!P$3)+SUMIFS(考核调整事项表!$E:$E,考核调整事项表!$G:$G,累计考核费用!$B81,考核调整事项表!$F:$F,累计考核费用!P$3)</f>
        <v>0</v>
      </c>
      <c r="Q81" s="35">
        <f>SUMIFS(考核调整事项表!$C:$C,考核调整事项表!$G:$G,累计考核费用!$B81,考核调整事项表!$D:$D,累计考核费用!Q$3)+SUMIFS(考核调整事项表!$E:$E,考核调整事项表!$G:$G,累计考核费用!$B81,考核调整事项表!$F:$F,累计考核费用!Q$3)</f>
        <v>0</v>
      </c>
      <c r="R81" s="41">
        <f t="shared" si="13"/>
        <v>0</v>
      </c>
      <c r="S81" s="35">
        <f>SUMIFS(考核调整事项表!$C:$C,考核调整事项表!$G:$G,累计考核费用!$B81,考核调整事项表!$D:$D,累计考核费用!S$3)+SUMIFS(考核调整事项表!$E:$E,考核调整事项表!$G:$G,累计考核费用!$B81,考核调整事项表!$F:$F,累计考核费用!S$3)</f>
        <v>0</v>
      </c>
      <c r="T81" s="35">
        <f>SUMIFS(考核调整事项表!$C:$C,考核调整事项表!$G:$G,累计考核费用!$B81,考核调整事项表!$D:$D,累计考核费用!T$3)+SUMIFS(考核调整事项表!$E:$E,考核调整事项表!$G:$G,累计考核费用!$B81,考核调整事项表!$F:$F,累计考核费用!T$3)</f>
        <v>0</v>
      </c>
      <c r="U81" s="35">
        <f>SUMIFS(考核调整事项表!$C:$C,考核调整事项表!$G:$G,累计考核费用!$B81,考核调整事项表!$D:$D,累计考核费用!U$3)+SUMIFS(考核调整事项表!$E:$E,考核调整事项表!$G:$G,累计考核费用!$B81,考核调整事项表!$F:$F,累计考核费用!U$3)</f>
        <v>0</v>
      </c>
      <c r="V81" s="35">
        <f>SUMIFS(考核调整事项表!$C:$C,考核调整事项表!$G:$G,累计考核费用!$B81,考核调整事项表!$D:$D,累计考核费用!V$3)+SUMIFS(考核调整事项表!$E:$E,考核调整事项表!$G:$G,累计考核费用!$B81,考核调整事项表!$F:$F,累计考核费用!V$3)</f>
        <v>0</v>
      </c>
      <c r="W81" s="35">
        <f t="shared" si="8"/>
        <v>0</v>
      </c>
      <c r="X81" s="35">
        <f>SUMIFS(考核调整事项表!$C:$C,考核调整事项表!$G:$G,累计考核费用!$B81,考核调整事项表!$D:$D,累计考核费用!X$3)+SUMIFS(考核调整事项表!$E:$E,考核调整事项表!$G:$G,累计考核费用!$B81,考核调整事项表!$F:$F,累计考核费用!X$3)</f>
        <v>0</v>
      </c>
      <c r="Y81" s="35">
        <f>SUMIFS(考核调整事项表!$C:$C,考核调整事项表!$G:$G,累计考核费用!$B81,考核调整事项表!$D:$D,累计考核费用!Y$3)+SUMIFS(考核调整事项表!$E:$E,考核调整事项表!$G:$G,累计考核费用!$B81,考核调整事项表!$F:$F,累计考核费用!Y$3)</f>
        <v>0</v>
      </c>
      <c r="Z81" s="35">
        <f>SUMIFS(考核调整事项表!$C:$C,考核调整事项表!$G:$G,累计考核费用!$B81,考核调整事项表!$D:$D,累计考核费用!Z$3)+SUMIFS(考核调整事项表!$E:$E,考核调整事项表!$G:$G,累计考核费用!$B81,考核调整事项表!$F:$F,累计考核费用!Z$3)</f>
        <v>0</v>
      </c>
      <c r="AA81" s="35">
        <f>SUMIFS(考核调整事项表!$C:$C,考核调整事项表!$G:$G,累计考核费用!$B81,考核调整事项表!$D:$D,累计考核费用!AA$3)+SUMIFS(考核调整事项表!$E:$E,考核调整事项表!$G:$G,累计考核费用!$B81,考核调整事项表!$F:$F,累计考核费用!AA$3)</f>
        <v>0</v>
      </c>
    </row>
    <row r="82" spans="1:27">
      <c r="A82" s="320"/>
      <c r="B82" s="174" t="s">
        <v>94</v>
      </c>
      <c r="C82" s="35">
        <f t="shared" si="1"/>
        <v>0</v>
      </c>
      <c r="D82" s="35">
        <f>SUMIFS(考核调整事项表!$C:$C,考核调整事项表!$G:$G,累计考核费用!$B82,考核调整事项表!$D:$D,累计考核费用!D$3)+SUMIFS(考核调整事项表!$E:$E,考核调整事项表!$G:$G,累计考核费用!$B82,考核调整事项表!$F:$F,累计考核费用!D$3)</f>
        <v>0</v>
      </c>
      <c r="E82" s="35">
        <f>SUMIFS(考核调整事项表!$C:$C,考核调整事项表!$G:$G,累计考核费用!$B82,考核调整事项表!$D:$D,累计考核费用!E$3)+SUMIFS(考核调整事项表!$E:$E,考核调整事项表!$G:$G,累计考核费用!$B82,考核调整事项表!$F:$F,累计考核费用!E$3)</f>
        <v>0</v>
      </c>
      <c r="F82" s="35">
        <f>SUMIFS(考核调整事项表!$C:$C,考核调整事项表!$G:$G,累计考核费用!$B82,考核调整事项表!$D:$D,累计考核费用!F$3)+SUMIFS(考核调整事项表!$E:$E,考核调整事项表!$G:$G,累计考核费用!$B82,考核调整事项表!$F:$F,累计考核费用!F$3)</f>
        <v>-66</v>
      </c>
      <c r="G82" s="35">
        <f>SUMIFS(考核调整事项表!$C:$C,考核调整事项表!$G:$G,累计考核费用!$B82,考核调整事项表!$D:$D,累计考核费用!G$3)+SUMIFS(考核调整事项表!$E:$E,考核调整事项表!$G:$G,累计考核费用!$B82,考核调整事项表!$F:$F,累计考核费用!G$3)</f>
        <v>0</v>
      </c>
      <c r="H82" s="35">
        <f t="shared" si="12"/>
        <v>66</v>
      </c>
      <c r="I82" s="35">
        <f>SUMIFS(考核调整事项表!$C:$C,考核调整事项表!$G:$G,累计考核费用!$B82,考核调整事项表!$D:$D,累计考核费用!I$3)+SUMIFS(考核调整事项表!$E:$E,考核调整事项表!$G:$G,累计考核费用!$B82,考核调整事项表!$F:$F,累计考核费用!I$3)</f>
        <v>66</v>
      </c>
      <c r="J82" s="35">
        <f>SUMIFS(考核调整事项表!$C:$C,考核调整事项表!$G:$G,累计考核费用!$B82,考核调整事项表!$D:$D,累计考核费用!J$3)+SUMIFS(考核调整事项表!$E:$E,考核调整事项表!$G:$G,累计考核费用!$B82,考核调整事项表!$F:$F,累计考核费用!J$3)</f>
        <v>0</v>
      </c>
      <c r="K82" s="35">
        <f>SUMIFS(考核调整事项表!$C:$C,考核调整事项表!$G:$G,累计考核费用!$B82,考核调整事项表!$D:$D,累计考核费用!K$3)+SUMIFS(考核调整事项表!$E:$E,考核调整事项表!$G:$G,累计考核费用!$B82,考核调整事项表!$F:$F,累计考核费用!K$3)</f>
        <v>0</v>
      </c>
      <c r="L82" s="35">
        <f>SUMIFS(考核调整事项表!$C:$C,考核调整事项表!$G:$G,累计考核费用!$B82,考核调整事项表!$D:$D,累计考核费用!L$3)+SUMIFS(考核调整事项表!$E:$E,考核调整事项表!$G:$G,累计考核费用!$B82,考核调整事项表!$F:$F,累计考核费用!L$3)</f>
        <v>0</v>
      </c>
      <c r="M82" s="35">
        <f>SUMIFS(考核调整事项表!$C:$C,考核调整事项表!$G:$G,累计考核费用!$B82,考核调整事项表!$D:$D,累计考核费用!M$3)+SUMIFS(考核调整事项表!$E:$E,考核调整事项表!$G:$G,累计考核费用!$B82,考核调整事项表!$F:$F,累计考核费用!M$3)</f>
        <v>0</v>
      </c>
      <c r="N82" s="35">
        <f>SUMIFS(考核调整事项表!$C:$C,考核调整事项表!$G:$G,累计考核费用!$B82,考核调整事项表!$D:$D,累计考核费用!N$3)+SUMIFS(考核调整事项表!$E:$E,考核调整事项表!$G:$G,累计考核费用!$B82,考核调整事项表!$F:$F,累计考核费用!N$3)</f>
        <v>0</v>
      </c>
      <c r="O82" s="35">
        <f>SUMIFS(考核调整事项表!$C:$C,考核调整事项表!$G:$G,累计考核费用!$B82,考核调整事项表!$D:$D,累计考核费用!O$3)+SUMIFS(考核调整事项表!$E:$E,考核调整事项表!$G:$G,累计考核费用!$B82,考核调整事项表!$F:$F,累计考核费用!O$3)</f>
        <v>0</v>
      </c>
      <c r="P82" s="35">
        <f>SUMIFS(考核调整事项表!$C:$C,考核调整事项表!$G:$G,累计考核费用!$B82,考核调整事项表!$D:$D,累计考核费用!P$3)+SUMIFS(考核调整事项表!$E:$E,考核调整事项表!$G:$G,累计考核费用!$B82,考核调整事项表!$F:$F,累计考核费用!P$3)</f>
        <v>0</v>
      </c>
      <c r="Q82" s="35">
        <f>SUMIFS(考核调整事项表!$C:$C,考核调整事项表!$G:$G,累计考核费用!$B82,考核调整事项表!$D:$D,累计考核费用!Q$3)+SUMIFS(考核调整事项表!$E:$E,考核调整事项表!$G:$G,累计考核费用!$B82,考核调整事项表!$F:$F,累计考核费用!Q$3)</f>
        <v>0</v>
      </c>
      <c r="R82" s="41">
        <f t="shared" si="13"/>
        <v>0</v>
      </c>
      <c r="S82" s="35">
        <f>SUMIFS(考核调整事项表!$C:$C,考核调整事项表!$G:$G,累计考核费用!$B82,考核调整事项表!$D:$D,累计考核费用!S$3)+SUMIFS(考核调整事项表!$E:$E,考核调整事项表!$G:$G,累计考核费用!$B82,考核调整事项表!$F:$F,累计考核费用!S$3)</f>
        <v>0</v>
      </c>
      <c r="T82" s="35">
        <f>SUMIFS(考核调整事项表!$C:$C,考核调整事项表!$G:$G,累计考核费用!$B82,考核调整事项表!$D:$D,累计考核费用!T$3)+SUMIFS(考核调整事项表!$E:$E,考核调整事项表!$G:$G,累计考核费用!$B82,考核调整事项表!$F:$F,累计考核费用!T$3)</f>
        <v>0</v>
      </c>
      <c r="U82" s="35">
        <f>SUMIFS(考核调整事项表!$C:$C,考核调整事项表!$G:$G,累计考核费用!$B82,考核调整事项表!$D:$D,累计考核费用!U$3)+SUMIFS(考核调整事项表!$E:$E,考核调整事项表!$G:$G,累计考核费用!$B82,考核调整事项表!$F:$F,累计考核费用!U$3)</f>
        <v>0</v>
      </c>
      <c r="V82" s="35">
        <f>SUMIFS(考核调整事项表!$C:$C,考核调整事项表!$G:$G,累计考核费用!$B82,考核调整事项表!$D:$D,累计考核费用!V$3)+SUMIFS(考核调整事项表!$E:$E,考核调整事项表!$G:$G,累计考核费用!$B82,考核调整事项表!$F:$F,累计考核费用!V$3)</f>
        <v>0</v>
      </c>
      <c r="W82" s="35">
        <f t="shared" si="8"/>
        <v>0</v>
      </c>
      <c r="X82" s="35">
        <f>SUMIFS(考核调整事项表!$C:$C,考核调整事项表!$G:$G,累计考核费用!$B82,考核调整事项表!$D:$D,累计考核费用!X$3)+SUMIFS(考核调整事项表!$E:$E,考核调整事项表!$G:$G,累计考核费用!$B82,考核调整事项表!$F:$F,累计考核费用!X$3)</f>
        <v>0</v>
      </c>
      <c r="Y82" s="35">
        <f>SUMIFS(考核调整事项表!$C:$C,考核调整事项表!$G:$G,累计考核费用!$B82,考核调整事项表!$D:$D,累计考核费用!Y$3)+SUMIFS(考核调整事项表!$E:$E,考核调整事项表!$G:$G,累计考核费用!$B82,考核调整事项表!$F:$F,累计考核费用!Y$3)</f>
        <v>0</v>
      </c>
      <c r="Z82" s="35">
        <f>SUMIFS(考核调整事项表!$C:$C,考核调整事项表!$G:$G,累计考核费用!$B82,考核调整事项表!$D:$D,累计考核费用!Z$3)+SUMIFS(考核调整事项表!$E:$E,考核调整事项表!$G:$G,累计考核费用!$B82,考核调整事项表!$F:$F,累计考核费用!Z$3)</f>
        <v>0</v>
      </c>
      <c r="AA82" s="35">
        <f>SUMIFS(考核调整事项表!$C:$C,考核调整事项表!$G:$G,累计考核费用!$B82,考核调整事项表!$D:$D,累计考核费用!AA$3)+SUMIFS(考核调整事项表!$E:$E,考核调整事项表!$G:$G,累计考核费用!$B82,考核调整事项表!$F:$F,累计考核费用!AA$3)</f>
        <v>0</v>
      </c>
    </row>
    <row r="83" spans="1:27">
      <c r="A83" s="320"/>
      <c r="B83" s="174" t="s">
        <v>90</v>
      </c>
      <c r="C83" s="35">
        <f t="shared" si="1"/>
        <v>0</v>
      </c>
      <c r="D83" s="35">
        <f>SUMIFS(考核调整事项表!$C:$C,考核调整事项表!$G:$G,累计考核费用!$B83,考核调整事项表!$D:$D,累计考核费用!D$3)+SUMIFS(考核调整事项表!$E:$E,考核调整事项表!$G:$G,累计考核费用!$B83,考核调整事项表!$F:$F,累计考核费用!D$3)</f>
        <v>18000</v>
      </c>
      <c r="E83" s="35">
        <f>SUMIFS(考核调整事项表!$C:$C,考核调整事项表!$G:$G,累计考核费用!$B83,考核调整事项表!$D:$D,累计考核费用!E$3)+SUMIFS(考核调整事项表!$E:$E,考核调整事项表!$G:$G,累计考核费用!$B83,考核调整事项表!$F:$F,累计考核费用!E$3)</f>
        <v>9000</v>
      </c>
      <c r="F83" s="35">
        <f>SUMIFS(考核调整事项表!$C:$C,考核调整事项表!$G:$G,累计考核费用!$B83,考核调整事项表!$D:$D,累计考核费用!F$3)+SUMIFS(考核调整事项表!$E:$E,考核调整事项表!$G:$G,累计考核费用!$B83,考核调整事项表!$F:$F,累计考核费用!F$3)</f>
        <v>-28000</v>
      </c>
      <c r="G83" s="35">
        <f>SUMIFS(考核调整事项表!$C:$C,考核调整事项表!$G:$G,累计考核费用!$B83,考核调整事项表!$D:$D,累计考核费用!G$3)+SUMIFS(考核调整事项表!$E:$E,考核调整事项表!$G:$G,累计考核费用!$B83,考核调整事项表!$F:$F,累计考核费用!G$3)</f>
        <v>-9000</v>
      </c>
      <c r="H83" s="35">
        <f t="shared" si="12"/>
        <v>0</v>
      </c>
      <c r="I83" s="35">
        <f>SUMIFS(考核调整事项表!$C:$C,考核调整事项表!$G:$G,累计考核费用!$B83,考核调整事项表!$D:$D,累计考核费用!I$3)+SUMIFS(考核调整事项表!$E:$E,考核调整事项表!$G:$G,累计考核费用!$B83,考核调整事项表!$F:$F,累计考核费用!I$3)</f>
        <v>0</v>
      </c>
      <c r="J83" s="35">
        <f>SUMIFS(考核调整事项表!$C:$C,考核调整事项表!$G:$G,累计考核费用!$B83,考核调整事项表!$D:$D,累计考核费用!J$3)+SUMIFS(考核调整事项表!$E:$E,考核调整事项表!$G:$G,累计考核费用!$B83,考核调整事项表!$F:$F,累计考核费用!J$3)</f>
        <v>0</v>
      </c>
      <c r="K83" s="35">
        <f>SUMIFS(考核调整事项表!$C:$C,考核调整事项表!$G:$G,累计考核费用!$B83,考核调整事项表!$D:$D,累计考核费用!K$3)+SUMIFS(考核调整事项表!$E:$E,考核调整事项表!$G:$G,累计考核费用!$B83,考核调整事项表!$F:$F,累计考核费用!K$3)</f>
        <v>0</v>
      </c>
      <c r="L83" s="35">
        <f>SUMIFS(考核调整事项表!$C:$C,考核调整事项表!$G:$G,累计考核费用!$B83,考核调整事项表!$D:$D,累计考核费用!L$3)+SUMIFS(考核调整事项表!$E:$E,考核调整事项表!$G:$G,累计考核费用!$B83,考核调整事项表!$F:$F,累计考核费用!L$3)</f>
        <v>0</v>
      </c>
      <c r="M83" s="35">
        <f>SUMIFS(考核调整事项表!$C:$C,考核调整事项表!$G:$G,累计考核费用!$B83,考核调整事项表!$D:$D,累计考核费用!M$3)+SUMIFS(考核调整事项表!$E:$E,考核调整事项表!$G:$G,累计考核费用!$B83,考核调整事项表!$F:$F,累计考核费用!M$3)</f>
        <v>0</v>
      </c>
      <c r="N83" s="35">
        <f>SUMIFS(考核调整事项表!$C:$C,考核调整事项表!$G:$G,累计考核费用!$B83,考核调整事项表!$D:$D,累计考核费用!N$3)+SUMIFS(考核调整事项表!$E:$E,考核调整事项表!$G:$G,累计考核费用!$B83,考核调整事项表!$F:$F,累计考核费用!N$3)</f>
        <v>0</v>
      </c>
      <c r="O83" s="35">
        <f>SUMIFS(考核调整事项表!$C:$C,考核调整事项表!$G:$G,累计考核费用!$B83,考核调整事项表!$D:$D,累计考核费用!O$3)+SUMIFS(考核调整事项表!$E:$E,考核调整事项表!$G:$G,累计考核费用!$B83,考核调整事项表!$F:$F,累计考核费用!O$3)</f>
        <v>0</v>
      </c>
      <c r="P83" s="35">
        <f>SUMIFS(考核调整事项表!$C:$C,考核调整事项表!$G:$G,累计考核费用!$B83,考核调整事项表!$D:$D,累计考核费用!P$3)+SUMIFS(考核调整事项表!$E:$E,考核调整事项表!$G:$G,累计考核费用!$B83,考核调整事项表!$F:$F,累计考核费用!P$3)</f>
        <v>0</v>
      </c>
      <c r="Q83" s="35">
        <f>SUMIFS(考核调整事项表!$C:$C,考核调整事项表!$G:$G,累计考核费用!$B83,考核调整事项表!$D:$D,累计考核费用!Q$3)+SUMIFS(考核调整事项表!$E:$E,考核调整事项表!$G:$G,累计考核费用!$B83,考核调整事项表!$F:$F,累计考核费用!Q$3)</f>
        <v>0</v>
      </c>
      <c r="R83" s="41">
        <f t="shared" si="13"/>
        <v>0</v>
      </c>
      <c r="S83" s="35">
        <f>SUMIFS(考核调整事项表!$C:$C,考核调整事项表!$G:$G,累计考核费用!$B83,考核调整事项表!$D:$D,累计考核费用!S$3)+SUMIFS(考核调整事项表!$E:$E,考核调整事项表!$G:$G,累计考核费用!$B83,考核调整事项表!$F:$F,累计考核费用!S$3)</f>
        <v>0</v>
      </c>
      <c r="T83" s="35">
        <f>SUMIFS(考核调整事项表!$C:$C,考核调整事项表!$G:$G,累计考核费用!$B83,考核调整事项表!$D:$D,累计考核费用!T$3)+SUMIFS(考核调整事项表!$E:$E,考核调整事项表!$G:$G,累计考核费用!$B83,考核调整事项表!$F:$F,累计考核费用!T$3)</f>
        <v>0</v>
      </c>
      <c r="U83" s="35">
        <f>SUMIFS(考核调整事项表!$C:$C,考核调整事项表!$G:$G,累计考核费用!$B83,考核调整事项表!$D:$D,累计考核费用!U$3)+SUMIFS(考核调整事项表!$E:$E,考核调整事项表!$G:$G,累计考核费用!$B83,考核调整事项表!$F:$F,累计考核费用!U$3)</f>
        <v>0</v>
      </c>
      <c r="V83" s="35">
        <f>SUMIFS(考核调整事项表!$C:$C,考核调整事项表!$G:$G,累计考核费用!$B83,考核调整事项表!$D:$D,累计考核费用!V$3)+SUMIFS(考核调整事项表!$E:$E,考核调整事项表!$G:$G,累计考核费用!$B83,考核调整事项表!$F:$F,累计考核费用!V$3)</f>
        <v>0</v>
      </c>
      <c r="W83" s="35">
        <f t="shared" si="8"/>
        <v>10000</v>
      </c>
      <c r="X83" s="35">
        <f>SUMIFS(考核调整事项表!$C:$C,考核调整事项表!$G:$G,累计考核费用!$B83,考核调整事项表!$D:$D,累计考核费用!X$3)+SUMIFS(考核调整事项表!$E:$E,考核调整事项表!$G:$G,累计考核费用!$B83,考核调整事项表!$F:$F,累计考核费用!X$3)</f>
        <v>10000</v>
      </c>
      <c r="Y83" s="35">
        <f>SUMIFS(考核调整事项表!$C:$C,考核调整事项表!$G:$G,累计考核费用!$B83,考核调整事项表!$D:$D,累计考核费用!Y$3)+SUMIFS(考核调整事项表!$E:$E,考核调整事项表!$G:$G,累计考核费用!$B83,考核调整事项表!$F:$F,累计考核费用!Y$3)</f>
        <v>0</v>
      </c>
      <c r="Z83" s="35">
        <f>SUMIFS(考核调整事项表!$C:$C,考核调整事项表!$G:$G,累计考核费用!$B83,考核调整事项表!$D:$D,累计考核费用!Z$3)+SUMIFS(考核调整事项表!$E:$E,考核调整事项表!$G:$G,累计考核费用!$B83,考核调整事项表!$F:$F,累计考核费用!Z$3)</f>
        <v>0</v>
      </c>
      <c r="AA83" s="35">
        <f>SUMIFS(考核调整事项表!$C:$C,考核调整事项表!$G:$G,累计考核费用!$B83,考核调整事项表!$D:$D,累计考核费用!AA$3)+SUMIFS(考核调整事项表!$E:$E,考核调整事项表!$G:$G,累计考核费用!$B83,考核调整事项表!$F:$F,累计考核费用!AA$3)</f>
        <v>0</v>
      </c>
    </row>
    <row r="84" spans="1:27">
      <c r="A84" s="320"/>
      <c r="B84" s="174" t="s">
        <v>85</v>
      </c>
      <c r="C84" s="35">
        <f t="shared" si="1"/>
        <v>0</v>
      </c>
      <c r="D84" s="35">
        <f>SUMIFS(考核调整事项表!$C:$C,考核调整事项表!$G:$G,累计考核费用!$B84,考核调整事项表!$D:$D,累计考核费用!D$3)+SUMIFS(考核调整事项表!$E:$E,考核调整事项表!$G:$G,累计考核费用!$B84,考核调整事项表!$F:$F,累计考核费用!D$3)</f>
        <v>0</v>
      </c>
      <c r="E84" s="35">
        <f>SUMIFS(考核调整事项表!$C:$C,考核调整事项表!$G:$G,累计考核费用!$B84,考核调整事项表!$D:$D,累计考核费用!E$3)+SUMIFS(考核调整事项表!$E:$E,考核调整事项表!$G:$G,累计考核费用!$B84,考核调整事项表!$F:$F,累计考核费用!E$3)</f>
        <v>0</v>
      </c>
      <c r="F84" s="35">
        <f>SUMIFS(考核调整事项表!$C:$C,考核调整事项表!$G:$G,累计考核费用!$B84,考核调整事项表!$D:$D,累计考核费用!F$3)+SUMIFS(考核调整事项表!$E:$E,考核调整事项表!$G:$G,累计考核费用!$B84,考核调整事项表!$F:$F,累计考核费用!F$3)</f>
        <v>196801</v>
      </c>
      <c r="G84" s="35">
        <f>SUMIFS(考核调整事项表!$C:$C,考核调整事项表!$G:$G,累计考核费用!$B84,考核调整事项表!$D:$D,累计考核费用!G$3)+SUMIFS(考核调整事项表!$E:$E,考核调整事项表!$G:$G,累计考核费用!$B84,考核调整事项表!$F:$F,累计考核费用!G$3)</f>
        <v>0</v>
      </c>
      <c r="H84" s="35">
        <f t="shared" si="12"/>
        <v>0</v>
      </c>
      <c r="I84" s="35">
        <f>SUMIFS(考核调整事项表!$C:$C,考核调整事项表!$G:$G,累计考核费用!$B84,考核调整事项表!$D:$D,累计考核费用!I$3)+SUMIFS(考核调整事项表!$E:$E,考核调整事项表!$G:$G,累计考核费用!$B84,考核调整事项表!$F:$F,累计考核费用!I$3)</f>
        <v>0</v>
      </c>
      <c r="J84" s="35">
        <f>SUMIFS(考核调整事项表!$C:$C,考核调整事项表!$G:$G,累计考核费用!$B84,考核调整事项表!$D:$D,累计考核费用!J$3)+SUMIFS(考核调整事项表!$E:$E,考核调整事项表!$G:$G,累计考核费用!$B84,考核调整事项表!$F:$F,累计考核费用!J$3)</f>
        <v>0</v>
      </c>
      <c r="K84" s="35">
        <f>SUMIFS(考核调整事项表!$C:$C,考核调整事项表!$G:$G,累计考核费用!$B84,考核调整事项表!$D:$D,累计考核费用!K$3)+SUMIFS(考核调整事项表!$E:$E,考核调整事项表!$G:$G,累计考核费用!$B84,考核调整事项表!$F:$F,累计考核费用!K$3)</f>
        <v>0</v>
      </c>
      <c r="L84" s="35">
        <f>SUMIFS(考核调整事项表!$C:$C,考核调整事项表!$G:$G,累计考核费用!$B84,考核调整事项表!$D:$D,累计考核费用!L$3)+SUMIFS(考核调整事项表!$E:$E,考核调整事项表!$G:$G,累计考核费用!$B84,考核调整事项表!$F:$F,累计考核费用!L$3)</f>
        <v>0</v>
      </c>
      <c r="M84" s="35">
        <f>SUMIFS(考核调整事项表!$C:$C,考核调整事项表!$G:$G,累计考核费用!$B84,考核调整事项表!$D:$D,累计考核费用!M$3)+SUMIFS(考核调整事项表!$E:$E,考核调整事项表!$G:$G,累计考核费用!$B84,考核调整事项表!$F:$F,累计考核费用!M$3)</f>
        <v>0</v>
      </c>
      <c r="N84" s="35">
        <f>SUMIFS(考核调整事项表!$C:$C,考核调整事项表!$G:$G,累计考核费用!$B84,考核调整事项表!$D:$D,累计考核费用!N$3)+SUMIFS(考核调整事项表!$E:$E,考核调整事项表!$G:$G,累计考核费用!$B84,考核调整事项表!$F:$F,累计考核费用!N$3)</f>
        <v>0</v>
      </c>
      <c r="O84" s="35">
        <f>SUMIFS(考核调整事项表!$C:$C,考核调整事项表!$G:$G,累计考核费用!$B84,考核调整事项表!$D:$D,累计考核费用!O$3)+SUMIFS(考核调整事项表!$E:$E,考核调整事项表!$G:$G,累计考核费用!$B84,考核调整事项表!$F:$F,累计考核费用!O$3)</f>
        <v>0</v>
      </c>
      <c r="P84" s="35">
        <f>SUMIFS(考核调整事项表!$C:$C,考核调整事项表!$G:$G,累计考核费用!$B84,考核调整事项表!$D:$D,累计考核费用!P$3)+SUMIFS(考核调整事项表!$E:$E,考核调整事项表!$G:$G,累计考核费用!$B84,考核调整事项表!$F:$F,累计考核费用!P$3)</f>
        <v>0</v>
      </c>
      <c r="Q84" s="35">
        <f>SUMIFS(考核调整事项表!$C:$C,考核调整事项表!$G:$G,累计考核费用!$B84,考核调整事项表!$D:$D,累计考核费用!Q$3)+SUMIFS(考核调整事项表!$E:$E,考核调整事项表!$G:$G,累计考核费用!$B84,考核调整事项表!$F:$F,累计考核费用!Q$3)</f>
        <v>0</v>
      </c>
      <c r="R84" s="41">
        <f t="shared" si="13"/>
        <v>0</v>
      </c>
      <c r="S84" s="35">
        <f>SUMIFS(考核调整事项表!$C:$C,考核调整事项表!$G:$G,累计考核费用!$B84,考核调整事项表!$D:$D,累计考核费用!S$3)+SUMIFS(考核调整事项表!$E:$E,考核调整事项表!$G:$G,累计考核费用!$B84,考核调整事项表!$F:$F,累计考核费用!S$3)</f>
        <v>0</v>
      </c>
      <c r="T84" s="35">
        <f>SUMIFS(考核调整事项表!$C:$C,考核调整事项表!$G:$G,累计考核费用!$B84,考核调整事项表!$D:$D,累计考核费用!T$3)+SUMIFS(考核调整事项表!$E:$E,考核调整事项表!$G:$G,累计考核费用!$B84,考核调整事项表!$F:$F,累计考核费用!T$3)</f>
        <v>0</v>
      </c>
      <c r="U84" s="35">
        <f>SUMIFS(考核调整事项表!$C:$C,考核调整事项表!$G:$G,累计考核费用!$B84,考核调整事项表!$D:$D,累计考核费用!U$3)+SUMIFS(考核调整事项表!$E:$E,考核调整事项表!$G:$G,累计考核费用!$B84,考核调整事项表!$F:$F,累计考核费用!U$3)</f>
        <v>0</v>
      </c>
      <c r="V84" s="35">
        <f>SUMIFS(考核调整事项表!$C:$C,考核调整事项表!$G:$G,累计考核费用!$B84,考核调整事项表!$D:$D,累计考核费用!V$3)+SUMIFS(考核调整事项表!$E:$E,考核调整事项表!$G:$G,累计考核费用!$B84,考核调整事项表!$F:$F,累计考核费用!V$3)</f>
        <v>0</v>
      </c>
      <c r="W84" s="35">
        <f t="shared" si="8"/>
        <v>0</v>
      </c>
      <c r="X84" s="35">
        <f>SUMIFS(考核调整事项表!$C:$C,考核调整事项表!$G:$G,累计考核费用!$B84,考核调整事项表!$D:$D,累计考核费用!X$3)+SUMIFS(考核调整事项表!$E:$E,考核调整事项表!$G:$G,累计考核费用!$B84,考核调整事项表!$F:$F,累计考核费用!X$3)</f>
        <v>0</v>
      </c>
      <c r="Y84" s="35">
        <f>SUMIFS(考核调整事项表!$C:$C,考核调整事项表!$G:$G,累计考核费用!$B84,考核调整事项表!$D:$D,累计考核费用!Y$3)+SUMIFS(考核调整事项表!$E:$E,考核调整事项表!$G:$G,累计考核费用!$B84,考核调整事项表!$F:$F,累计考核费用!Y$3)</f>
        <v>0</v>
      </c>
      <c r="Z84" s="35">
        <f>SUMIFS(考核调整事项表!$C:$C,考核调整事项表!$G:$G,累计考核费用!$B84,考核调整事项表!$D:$D,累计考核费用!Z$3)+SUMIFS(考核调整事项表!$E:$E,考核调整事项表!$G:$G,累计考核费用!$B84,考核调整事项表!$F:$F,累计考核费用!Z$3)</f>
        <v>-196801</v>
      </c>
      <c r="AA84" s="35">
        <f>SUMIFS(考核调整事项表!$C:$C,考核调整事项表!$G:$G,累计考核费用!$B84,考核调整事项表!$D:$D,累计考核费用!AA$3)+SUMIFS(考核调整事项表!$E:$E,考核调整事项表!$G:$G,累计考核费用!$B84,考核调整事项表!$F:$F,累计考核费用!AA$3)</f>
        <v>0</v>
      </c>
    </row>
    <row r="85" spans="1:27">
      <c r="A85" s="320"/>
      <c r="B85" s="174" t="s">
        <v>243</v>
      </c>
      <c r="C85" s="35">
        <f t="shared" si="1"/>
        <v>0</v>
      </c>
      <c r="D85" s="35">
        <f>SUMIFS(考核调整事项表!$C:$C,考核调整事项表!$G:$G,累计考核费用!$B85,考核调整事项表!$D:$D,累计考核费用!D$3)+SUMIFS(考核调整事项表!$E:$E,考核调整事项表!$G:$G,累计考核费用!$B85,考核调整事项表!$F:$F,累计考核费用!D$3)</f>
        <v>0</v>
      </c>
      <c r="E85" s="35">
        <f>SUMIFS(考核调整事项表!$C:$C,考核调整事项表!$G:$G,累计考核费用!$B85,考核调整事项表!$D:$D,累计考核费用!E$3)+SUMIFS(考核调整事项表!$E:$E,考核调整事项表!$G:$G,累计考核费用!$B85,考核调整事项表!$F:$F,累计考核费用!E$3)</f>
        <v>0</v>
      </c>
      <c r="F85" s="35">
        <f>SUMIFS(考核调整事项表!$C:$C,考核调整事项表!$G:$G,累计考核费用!$B85,考核调整事项表!$D:$D,累计考核费用!F$3)+SUMIFS(考核调整事项表!$E:$E,考核调整事项表!$G:$G,累计考核费用!$B85,考核调整事项表!$F:$F,累计考核费用!F$3)</f>
        <v>0</v>
      </c>
      <c r="G85" s="35">
        <f>SUMIFS(考核调整事项表!$C:$C,考核调整事项表!$G:$G,累计考核费用!$B85,考核调整事项表!$D:$D,累计考核费用!G$3)+SUMIFS(考核调整事项表!$E:$E,考核调整事项表!$G:$G,累计考核费用!$B85,考核调整事项表!$F:$F,累计考核费用!G$3)</f>
        <v>0</v>
      </c>
      <c r="H85" s="35">
        <f t="shared" si="12"/>
        <v>0</v>
      </c>
      <c r="I85" s="35">
        <f>SUMIFS(考核调整事项表!$C:$C,考核调整事项表!$G:$G,累计考核费用!$B85,考核调整事项表!$D:$D,累计考核费用!I$3)+SUMIFS(考核调整事项表!$E:$E,考核调整事项表!$G:$G,累计考核费用!$B85,考核调整事项表!$F:$F,累计考核费用!I$3)</f>
        <v>0</v>
      </c>
      <c r="J85" s="35">
        <f>SUMIFS(考核调整事项表!$C:$C,考核调整事项表!$G:$G,累计考核费用!$B85,考核调整事项表!$D:$D,累计考核费用!J$3)+SUMIFS(考核调整事项表!$E:$E,考核调整事项表!$G:$G,累计考核费用!$B85,考核调整事项表!$F:$F,累计考核费用!J$3)</f>
        <v>0</v>
      </c>
      <c r="K85" s="35">
        <f>SUMIFS(考核调整事项表!$C:$C,考核调整事项表!$G:$G,累计考核费用!$B85,考核调整事项表!$D:$D,累计考核费用!K$3)+SUMIFS(考核调整事项表!$E:$E,考核调整事项表!$G:$G,累计考核费用!$B85,考核调整事项表!$F:$F,累计考核费用!K$3)</f>
        <v>0</v>
      </c>
      <c r="L85" s="35">
        <f>SUMIFS(考核调整事项表!$C:$C,考核调整事项表!$G:$G,累计考核费用!$B85,考核调整事项表!$D:$D,累计考核费用!L$3)+SUMIFS(考核调整事项表!$E:$E,考核调整事项表!$G:$G,累计考核费用!$B85,考核调整事项表!$F:$F,累计考核费用!L$3)</f>
        <v>0</v>
      </c>
      <c r="M85" s="35">
        <f>SUMIFS(考核调整事项表!$C:$C,考核调整事项表!$G:$G,累计考核费用!$B85,考核调整事项表!$D:$D,累计考核费用!M$3)+SUMIFS(考核调整事项表!$E:$E,考核调整事项表!$G:$G,累计考核费用!$B85,考核调整事项表!$F:$F,累计考核费用!M$3)</f>
        <v>0</v>
      </c>
      <c r="N85" s="35">
        <f>SUMIFS(考核调整事项表!$C:$C,考核调整事项表!$G:$G,累计考核费用!$B85,考核调整事项表!$D:$D,累计考核费用!N$3)+SUMIFS(考核调整事项表!$E:$E,考核调整事项表!$G:$G,累计考核费用!$B85,考核调整事项表!$F:$F,累计考核费用!N$3)</f>
        <v>0</v>
      </c>
      <c r="O85" s="35">
        <f>SUMIFS(考核调整事项表!$C:$C,考核调整事项表!$G:$G,累计考核费用!$B85,考核调整事项表!$D:$D,累计考核费用!O$3)+SUMIFS(考核调整事项表!$E:$E,考核调整事项表!$G:$G,累计考核费用!$B85,考核调整事项表!$F:$F,累计考核费用!O$3)</f>
        <v>0</v>
      </c>
      <c r="P85" s="35">
        <f>SUMIFS(考核调整事项表!$C:$C,考核调整事项表!$G:$G,累计考核费用!$B85,考核调整事项表!$D:$D,累计考核费用!P$3)+SUMIFS(考核调整事项表!$E:$E,考核调整事项表!$G:$G,累计考核费用!$B85,考核调整事项表!$F:$F,累计考核费用!P$3)</f>
        <v>0</v>
      </c>
      <c r="Q85" s="35">
        <f>SUMIFS(考核调整事项表!$C:$C,考核调整事项表!$G:$G,累计考核费用!$B85,考核调整事项表!$D:$D,累计考核费用!Q$3)+SUMIFS(考核调整事项表!$E:$E,考核调整事项表!$G:$G,累计考核费用!$B85,考核调整事项表!$F:$F,累计考核费用!Q$3)</f>
        <v>0</v>
      </c>
      <c r="R85" s="41">
        <f t="shared" si="13"/>
        <v>0</v>
      </c>
      <c r="S85" s="35">
        <f>SUMIFS(考核调整事项表!$C:$C,考核调整事项表!$G:$G,累计考核费用!$B85,考核调整事项表!$D:$D,累计考核费用!S$3)+SUMIFS(考核调整事项表!$E:$E,考核调整事项表!$G:$G,累计考核费用!$B85,考核调整事项表!$F:$F,累计考核费用!S$3)</f>
        <v>0</v>
      </c>
      <c r="T85" s="35">
        <f>SUMIFS(考核调整事项表!$C:$C,考核调整事项表!$G:$G,累计考核费用!$B85,考核调整事项表!$D:$D,累计考核费用!T$3)+SUMIFS(考核调整事项表!$E:$E,考核调整事项表!$G:$G,累计考核费用!$B85,考核调整事项表!$F:$F,累计考核费用!T$3)</f>
        <v>0</v>
      </c>
      <c r="U85" s="35">
        <f>SUMIFS(考核调整事项表!$C:$C,考核调整事项表!$G:$G,累计考核费用!$B85,考核调整事项表!$D:$D,累计考核费用!U$3)+SUMIFS(考核调整事项表!$E:$E,考核调整事项表!$G:$G,累计考核费用!$B85,考核调整事项表!$F:$F,累计考核费用!U$3)</f>
        <v>0</v>
      </c>
      <c r="V85" s="35">
        <f>SUMIFS(考核调整事项表!$C:$C,考核调整事项表!$G:$G,累计考核费用!$B85,考核调整事项表!$D:$D,累计考核费用!V$3)+SUMIFS(考核调整事项表!$E:$E,考核调整事项表!$G:$G,累计考核费用!$B85,考核调整事项表!$F:$F,累计考核费用!V$3)</f>
        <v>0</v>
      </c>
      <c r="W85" s="35">
        <f t="shared" si="8"/>
        <v>0</v>
      </c>
      <c r="X85" s="35">
        <f>SUMIFS(考核调整事项表!$C:$C,考核调整事项表!$G:$G,累计考核费用!$B85,考核调整事项表!$D:$D,累计考核费用!X$3)+SUMIFS(考核调整事项表!$E:$E,考核调整事项表!$G:$G,累计考核费用!$B85,考核调整事项表!$F:$F,累计考核费用!X$3)</f>
        <v>0</v>
      </c>
      <c r="Y85" s="35">
        <f>SUMIFS(考核调整事项表!$C:$C,考核调整事项表!$G:$G,累计考核费用!$B85,考核调整事项表!$D:$D,累计考核费用!Y$3)+SUMIFS(考核调整事项表!$E:$E,考核调整事项表!$G:$G,累计考核费用!$B85,考核调整事项表!$F:$F,累计考核费用!Y$3)</f>
        <v>0</v>
      </c>
      <c r="Z85" s="35">
        <f>SUMIFS(考核调整事项表!$C:$C,考核调整事项表!$G:$G,累计考核费用!$B85,考核调整事项表!$D:$D,累计考核费用!Z$3)+SUMIFS(考核调整事项表!$E:$E,考核调整事项表!$G:$G,累计考核费用!$B85,考核调整事项表!$F:$F,累计考核费用!Z$3)</f>
        <v>0</v>
      </c>
      <c r="AA85" s="35">
        <f>SUMIFS(考核调整事项表!$C:$C,考核调整事项表!$G:$G,累计考核费用!$B85,考核调整事项表!$D:$D,累计考核费用!AA$3)+SUMIFS(考核调整事项表!$E:$E,考核调整事项表!$G:$G,累计考核费用!$B85,考核调整事项表!$F:$F,累计考核费用!AA$3)</f>
        <v>0</v>
      </c>
    </row>
    <row r="86" spans="1:27">
      <c r="A86" s="321"/>
      <c r="B86" s="175" t="s">
        <v>69</v>
      </c>
      <c r="C86" s="175">
        <f t="shared" ref="C86:Z86" si="14">SUM(C73:C85)</f>
        <v>-1.4842953532934189E-9</v>
      </c>
      <c r="D86" s="175">
        <f t="shared" si="14"/>
        <v>-28791643.68</v>
      </c>
      <c r="E86" s="175">
        <f t="shared" si="14"/>
        <v>344926.45999999996</v>
      </c>
      <c r="F86" s="175">
        <f t="shared" si="14"/>
        <v>27349562.369999997</v>
      </c>
      <c r="G86" s="175">
        <f t="shared" si="14"/>
        <v>139684</v>
      </c>
      <c r="H86" s="175">
        <f t="shared" si="14"/>
        <v>153605.5</v>
      </c>
      <c r="I86" s="175">
        <f t="shared" si="14"/>
        <v>147331.5</v>
      </c>
      <c r="J86" s="175">
        <f t="shared" ref="J86:L86" si="15">SUM(J73:J85)</f>
        <v>20564</v>
      </c>
      <c r="K86" s="175">
        <f t="shared" si="15"/>
        <v>34900</v>
      </c>
      <c r="L86" s="175">
        <f t="shared" si="15"/>
        <v>0</v>
      </c>
      <c r="M86" s="175">
        <f t="shared" si="14"/>
        <v>14720</v>
      </c>
      <c r="N86" s="175">
        <f t="shared" si="14"/>
        <v>0</v>
      </c>
      <c r="O86" s="175">
        <f t="shared" si="14"/>
        <v>-31330</v>
      </c>
      <c r="P86" s="175">
        <f t="shared" si="14"/>
        <v>-32580</v>
      </c>
      <c r="Q86" s="175">
        <f t="shared" si="14"/>
        <v>13077</v>
      </c>
      <c r="R86" s="175">
        <f t="shared" si="14"/>
        <v>1328849</v>
      </c>
      <c r="S86" s="175">
        <f t="shared" si="14"/>
        <v>0</v>
      </c>
      <c r="T86" s="175">
        <f t="shared" si="14"/>
        <v>1280385</v>
      </c>
      <c r="U86" s="175">
        <f t="shared" si="14"/>
        <v>48464</v>
      </c>
      <c r="V86" s="175">
        <f t="shared" si="14"/>
        <v>0</v>
      </c>
      <c r="W86" s="175">
        <f t="shared" si="14"/>
        <v>-90324</v>
      </c>
      <c r="X86" s="175">
        <f t="shared" si="14"/>
        <v>-90324</v>
      </c>
      <c r="Y86" s="175">
        <f t="shared" si="14"/>
        <v>0</v>
      </c>
      <c r="Z86" s="175">
        <f t="shared" si="14"/>
        <v>-447736.65</v>
      </c>
      <c r="AA86" s="175">
        <f t="shared" ref="AA86" si="16">SUM(AA73:AA85)</f>
        <v>0</v>
      </c>
    </row>
    <row r="87" spans="1:27" ht="13.5" customHeight="1">
      <c r="A87" s="319" t="s">
        <v>100</v>
      </c>
      <c r="B87" s="174" t="s">
        <v>78</v>
      </c>
      <c r="C87" s="35">
        <f t="shared" si="1"/>
        <v>0</v>
      </c>
      <c r="D87" s="35">
        <f>SUMIFS(考核调整事项表!$C:$C,考核调整事项表!$G:$G,累计考核费用!$B87,考核调整事项表!$D:$D,累计考核费用!D$3)+SUMIFS(考核调整事项表!$E:$E,考核调整事项表!$G:$G,累计考核费用!$B87,考核调整事项表!$F:$F,累计考核费用!D$3)</f>
        <v>0</v>
      </c>
      <c r="E87" s="35">
        <f>SUMIFS(考核调整事项表!$C:$C,考核调整事项表!$G:$G,累计考核费用!$B87,考核调整事项表!$D:$D,累计考核费用!E$3)+SUMIFS(考核调整事项表!$E:$E,考核调整事项表!$G:$G,累计考核费用!$B87,考核调整事项表!$F:$F,累计考核费用!E$3)</f>
        <v>0</v>
      </c>
      <c r="F87" s="35">
        <f>SUMIFS(考核调整事项表!$C:$C,考核调整事项表!$G:$G,累计考核费用!$B87,考核调整事项表!$D:$D,累计考核费用!F$3)+SUMIFS(考核调整事项表!$E:$E,考核调整事项表!$G:$G,累计考核费用!$B87,考核调整事项表!$F:$F,累计考核费用!F$3)</f>
        <v>2852.46</v>
      </c>
      <c r="G87" s="35">
        <f>SUMIFS(考核调整事项表!$C:$C,考核调整事项表!$G:$G,累计考核费用!$B87,考核调整事项表!$D:$D,累计考核费用!G$3)+SUMIFS(考核调整事项表!$E:$E,考核调整事项表!$G:$G,累计考核费用!$B87,考核调整事项表!$F:$F,累计考核费用!G$3)</f>
        <v>0</v>
      </c>
      <c r="H87" s="35">
        <f t="shared" si="12"/>
        <v>-3299.91</v>
      </c>
      <c r="I87" s="35">
        <f>SUMIFS(考核调整事项表!$C:$C,考核调整事项表!$G:$G,累计考核费用!$B87,考核调整事项表!$D:$D,累计考核费用!I$3)+SUMIFS(考核调整事项表!$E:$E,考核调整事项表!$G:$G,累计考核费用!$B87,考核调整事项表!$F:$F,累计考核费用!I$3)</f>
        <v>0</v>
      </c>
      <c r="J87" s="35">
        <f>SUMIFS(考核调整事项表!$C:$C,考核调整事项表!$G:$G,累计考核费用!$B87,考核调整事项表!$D:$D,累计考核费用!J$3)+SUMIFS(考核调整事项表!$E:$E,考核调整事项表!$G:$G,累计考核费用!$B87,考核调整事项表!$F:$F,累计考核费用!J$3)</f>
        <v>0</v>
      </c>
      <c r="K87" s="35">
        <f>SUMIFS(考核调整事项表!$C:$C,考核调整事项表!$G:$G,累计考核费用!$B87,考核调整事项表!$D:$D,累计考核费用!K$3)+SUMIFS(考核调整事项表!$E:$E,考核调整事项表!$G:$G,累计考核费用!$B87,考核调整事项表!$F:$F,累计考核费用!K$3)</f>
        <v>0</v>
      </c>
      <c r="L87" s="35">
        <f>SUMIFS(考核调整事项表!$C:$C,考核调整事项表!$G:$G,累计考核费用!$B87,考核调整事项表!$D:$D,累计考核费用!L$3)+SUMIFS(考核调整事项表!$E:$E,考核调整事项表!$G:$G,累计考核费用!$B87,考核调整事项表!$F:$F,累计考核费用!L$3)</f>
        <v>0</v>
      </c>
      <c r="M87" s="35">
        <f>SUMIFS(考核调整事项表!$C:$C,考核调整事项表!$G:$G,累计考核费用!$B87,考核调整事项表!$D:$D,累计考核费用!M$3)+SUMIFS(考核调整事项表!$E:$E,考核调整事项表!$G:$G,累计考核费用!$B87,考核调整事项表!$F:$F,累计考核费用!M$3)</f>
        <v>0</v>
      </c>
      <c r="N87" s="35">
        <f>SUMIFS(考核调整事项表!$C:$C,考核调整事项表!$G:$G,累计考核费用!$B87,考核调整事项表!$D:$D,累计考核费用!N$3)+SUMIFS(考核调整事项表!$E:$E,考核调整事项表!$G:$G,累计考核费用!$B87,考核调整事项表!$F:$F,累计考核费用!N$3)</f>
        <v>0</v>
      </c>
      <c r="O87" s="35">
        <f>SUMIFS(考核调整事项表!$C:$C,考核调整事项表!$G:$G,累计考核费用!$B87,考核调整事项表!$D:$D,累计考核费用!O$3)+SUMIFS(考核调整事项表!$E:$E,考核调整事项表!$G:$G,累计考核费用!$B87,考核调整事项表!$F:$F,累计考核费用!O$3)</f>
        <v>-3299.91</v>
      </c>
      <c r="P87" s="35">
        <f>SUMIFS(考核调整事项表!$C:$C,考核调整事项表!$G:$G,累计考核费用!$B87,考核调整事项表!$D:$D,累计考核费用!P$3)+SUMIFS(考核调整事项表!$E:$E,考核调整事项表!$G:$G,累计考核费用!$B87,考核调整事项表!$F:$F,累计考核费用!P$3)</f>
        <v>0</v>
      </c>
      <c r="Q87" s="35">
        <f>SUMIFS(考核调整事项表!$C:$C,考核调整事项表!$G:$G,累计考核费用!$B87,考核调整事项表!$D:$D,累计考核费用!Q$3)+SUMIFS(考核调整事项表!$E:$E,考核调整事项表!$G:$G,累计考核费用!$B87,考核调整事项表!$F:$F,累计考核费用!Q$3)</f>
        <v>0</v>
      </c>
      <c r="R87" s="41">
        <f t="shared" si="13"/>
        <v>0</v>
      </c>
      <c r="S87" s="35">
        <f>SUMIFS(考核调整事项表!$C:$C,考核调整事项表!$G:$G,累计考核费用!$B87,考核调整事项表!$D:$D,累计考核费用!S$3)+SUMIFS(考核调整事项表!$E:$E,考核调整事项表!$G:$G,累计考核费用!$B87,考核调整事项表!$F:$F,累计考核费用!S$3)</f>
        <v>0</v>
      </c>
      <c r="T87" s="35">
        <f>SUMIFS(考核调整事项表!$C:$C,考核调整事项表!$G:$G,累计考核费用!$B87,考核调整事项表!$D:$D,累计考核费用!T$3)+SUMIFS(考核调整事项表!$E:$E,考核调整事项表!$G:$G,累计考核费用!$B87,考核调整事项表!$F:$F,累计考核费用!T$3)</f>
        <v>0</v>
      </c>
      <c r="U87" s="35">
        <f>SUMIFS(考核调整事项表!$C:$C,考核调整事项表!$G:$G,累计考核费用!$B87,考核调整事项表!$D:$D,累计考核费用!U$3)+SUMIFS(考核调整事项表!$E:$E,考核调整事项表!$G:$G,累计考核费用!$B87,考核调整事项表!$F:$F,累计考核费用!U$3)</f>
        <v>0</v>
      </c>
      <c r="V87" s="35">
        <f>SUMIFS(考核调整事项表!$C:$C,考核调整事项表!$G:$G,累计考核费用!$B87,考核调整事项表!$D:$D,累计考核费用!V$3)+SUMIFS(考核调整事项表!$E:$E,考核调整事项表!$G:$G,累计考核费用!$B87,考核调整事项表!$F:$F,累计考核费用!V$3)</f>
        <v>0</v>
      </c>
      <c r="W87" s="35">
        <f t="shared" si="8"/>
        <v>0</v>
      </c>
      <c r="X87" s="35">
        <f>SUMIFS(考核调整事项表!$C:$C,考核调整事项表!$G:$G,累计考核费用!$B87,考核调整事项表!$D:$D,累计考核费用!X$3)+SUMIFS(考核调整事项表!$E:$E,考核调整事项表!$G:$G,累计考核费用!$B87,考核调整事项表!$F:$F,累计考核费用!X$3)</f>
        <v>0</v>
      </c>
      <c r="Y87" s="35">
        <f>SUMIFS(考核调整事项表!$C:$C,考核调整事项表!$G:$G,累计考核费用!$B87,考核调整事项表!$D:$D,累计考核费用!Y$3)+SUMIFS(考核调整事项表!$E:$E,考核调整事项表!$G:$G,累计考核费用!$B87,考核调整事项表!$F:$F,累计考核费用!Y$3)</f>
        <v>0</v>
      </c>
      <c r="Z87" s="35">
        <f>SUMIFS(考核调整事项表!$C:$C,考核调整事项表!$G:$G,累计考核费用!$B87,考核调整事项表!$D:$D,累计考核费用!Z$3)+SUMIFS(考核调整事项表!$E:$E,考核调整事项表!$G:$G,累计考核费用!$B87,考核调整事项表!$F:$F,累计考核费用!Z$3)</f>
        <v>0</v>
      </c>
      <c r="AA87" s="35">
        <f>SUMIFS(考核调整事项表!$C:$C,考核调整事项表!$G:$G,累计考核费用!$B87,考核调整事项表!$D:$D,累计考核费用!AA$3)+SUMIFS(考核调整事项表!$E:$E,考核调整事项表!$G:$G,累计考核费用!$B87,考核调整事项表!$F:$F,累计考核费用!AA$3)</f>
        <v>447.45</v>
      </c>
    </row>
    <row r="88" spans="1:27">
      <c r="A88" s="320"/>
      <c r="B88" s="174" t="s">
        <v>79</v>
      </c>
      <c r="C88" s="35">
        <f t="shared" si="1"/>
        <v>0</v>
      </c>
      <c r="D88" s="35">
        <f>SUMIFS(考核调整事项表!$C:$C,考核调整事项表!$G:$G,累计考核费用!$B88,考核调整事项表!$D:$D,累计考核费用!D$3)+SUMIFS(考核调整事项表!$E:$E,考核调整事项表!$G:$G,累计考核费用!$B88,考核调整事项表!$F:$F,累计考核费用!D$3)</f>
        <v>-6118</v>
      </c>
      <c r="E88" s="35">
        <f>SUMIFS(考核调整事项表!$C:$C,考核调整事项表!$G:$G,累计考核费用!$B88,考核调整事项表!$D:$D,累计考核费用!E$3)+SUMIFS(考核调整事项表!$E:$E,考核调整事项表!$G:$G,累计考核费用!$B88,考核调整事项表!$F:$F,累计考核费用!E$3)</f>
        <v>0</v>
      </c>
      <c r="F88" s="35">
        <f>SUMIFS(考核调整事项表!$C:$C,考核调整事项表!$G:$G,累计考核费用!$B88,考核调整事项表!$D:$D,累计考核费用!F$3)+SUMIFS(考核调整事项表!$E:$E,考核调整事项表!$G:$G,累计考核费用!$B88,考核调整事项表!$F:$F,累计考核费用!F$3)</f>
        <v>-377</v>
      </c>
      <c r="G88" s="35">
        <f>SUMIFS(考核调整事项表!$C:$C,考核调整事项表!$G:$G,累计考核费用!$B88,考核调整事项表!$D:$D,累计考核费用!G$3)+SUMIFS(考核调整事项表!$E:$E,考核调整事项表!$G:$G,累计考核费用!$B88,考核调整事项表!$F:$F,累计考核费用!G$3)</f>
        <v>0</v>
      </c>
      <c r="H88" s="35">
        <f t="shared" si="12"/>
        <v>6495</v>
      </c>
      <c r="I88" s="35">
        <f>SUMIFS(考核调整事项表!$C:$C,考核调整事项表!$G:$G,累计考核费用!$B88,考核调整事项表!$D:$D,累计考核费用!I$3)+SUMIFS(考核调整事项表!$E:$E,考核调整事项表!$G:$G,累计考核费用!$B88,考核调整事项表!$F:$F,累计考核费用!I$3)</f>
        <v>377</v>
      </c>
      <c r="J88" s="35">
        <f>SUMIFS(考核调整事项表!$C:$C,考核调整事项表!$G:$G,累计考核费用!$B88,考核调整事项表!$D:$D,累计考核费用!J$3)+SUMIFS(考核调整事项表!$E:$E,考核调整事项表!$G:$G,累计考核费用!$B88,考核调整事项表!$F:$F,累计考核费用!J$3)</f>
        <v>0</v>
      </c>
      <c r="K88" s="35">
        <f>SUMIFS(考核调整事项表!$C:$C,考核调整事项表!$G:$G,累计考核费用!$B88,考核调整事项表!$D:$D,累计考核费用!K$3)+SUMIFS(考核调整事项表!$E:$E,考核调整事项表!$G:$G,累计考核费用!$B88,考核调整事项表!$F:$F,累计考核费用!K$3)</f>
        <v>0</v>
      </c>
      <c r="L88" s="35">
        <f>SUMIFS(考核调整事项表!$C:$C,考核调整事项表!$G:$G,累计考核费用!$B88,考核调整事项表!$D:$D,累计考核费用!L$3)+SUMIFS(考核调整事项表!$E:$E,考核调整事项表!$G:$G,累计考核费用!$B88,考核调整事项表!$F:$F,累计考核费用!L$3)</f>
        <v>0</v>
      </c>
      <c r="M88" s="35">
        <f>SUMIFS(考核调整事项表!$C:$C,考核调整事项表!$G:$G,累计考核费用!$B88,考核调整事项表!$D:$D,累计考核费用!M$3)+SUMIFS(考核调整事项表!$E:$E,考核调整事项表!$G:$G,累计考核费用!$B88,考核调整事项表!$F:$F,累计考核费用!M$3)</f>
        <v>6118</v>
      </c>
      <c r="N88" s="35">
        <f>SUMIFS(考核调整事项表!$C:$C,考核调整事项表!$G:$G,累计考核费用!$B88,考核调整事项表!$D:$D,累计考核费用!N$3)+SUMIFS(考核调整事项表!$E:$E,考核调整事项表!$G:$G,累计考核费用!$B88,考核调整事项表!$F:$F,累计考核费用!N$3)</f>
        <v>0</v>
      </c>
      <c r="O88" s="35">
        <f>SUMIFS(考核调整事项表!$C:$C,考核调整事项表!$G:$G,累计考核费用!$B88,考核调整事项表!$D:$D,累计考核费用!O$3)+SUMIFS(考核调整事项表!$E:$E,考核调整事项表!$G:$G,累计考核费用!$B88,考核调整事项表!$F:$F,累计考核费用!O$3)</f>
        <v>0</v>
      </c>
      <c r="P88" s="35">
        <f>SUMIFS(考核调整事项表!$C:$C,考核调整事项表!$G:$G,累计考核费用!$B88,考核调整事项表!$D:$D,累计考核费用!P$3)+SUMIFS(考核调整事项表!$E:$E,考核调整事项表!$G:$G,累计考核费用!$B88,考核调整事项表!$F:$F,累计考核费用!P$3)</f>
        <v>0</v>
      </c>
      <c r="Q88" s="35">
        <f>SUMIFS(考核调整事项表!$C:$C,考核调整事项表!$G:$G,累计考核费用!$B88,考核调整事项表!$D:$D,累计考核费用!Q$3)+SUMIFS(考核调整事项表!$E:$E,考核调整事项表!$G:$G,累计考核费用!$B88,考核调整事项表!$F:$F,累计考核费用!Q$3)</f>
        <v>0</v>
      </c>
      <c r="R88" s="41">
        <f t="shared" si="13"/>
        <v>0</v>
      </c>
      <c r="S88" s="35">
        <f>SUMIFS(考核调整事项表!$C:$C,考核调整事项表!$G:$G,累计考核费用!$B88,考核调整事项表!$D:$D,累计考核费用!S$3)+SUMIFS(考核调整事项表!$E:$E,考核调整事项表!$G:$G,累计考核费用!$B88,考核调整事项表!$F:$F,累计考核费用!S$3)</f>
        <v>0</v>
      </c>
      <c r="T88" s="35">
        <f>SUMIFS(考核调整事项表!$C:$C,考核调整事项表!$G:$G,累计考核费用!$B88,考核调整事项表!$D:$D,累计考核费用!T$3)+SUMIFS(考核调整事项表!$E:$E,考核调整事项表!$G:$G,累计考核费用!$B88,考核调整事项表!$F:$F,累计考核费用!T$3)</f>
        <v>0</v>
      </c>
      <c r="U88" s="35">
        <f>SUMIFS(考核调整事项表!$C:$C,考核调整事项表!$G:$G,累计考核费用!$B88,考核调整事项表!$D:$D,累计考核费用!U$3)+SUMIFS(考核调整事项表!$E:$E,考核调整事项表!$G:$G,累计考核费用!$B88,考核调整事项表!$F:$F,累计考核费用!U$3)</f>
        <v>0</v>
      </c>
      <c r="V88" s="35">
        <f>SUMIFS(考核调整事项表!$C:$C,考核调整事项表!$G:$G,累计考核费用!$B88,考核调整事项表!$D:$D,累计考核费用!V$3)+SUMIFS(考核调整事项表!$E:$E,考核调整事项表!$G:$G,累计考核费用!$B88,考核调整事项表!$F:$F,累计考核费用!V$3)</f>
        <v>0</v>
      </c>
      <c r="W88" s="35">
        <f t="shared" si="8"/>
        <v>0</v>
      </c>
      <c r="X88" s="35">
        <f>SUMIFS(考核调整事项表!$C:$C,考核调整事项表!$G:$G,累计考核费用!$B88,考核调整事项表!$D:$D,累计考核费用!X$3)+SUMIFS(考核调整事项表!$E:$E,考核调整事项表!$G:$G,累计考核费用!$B88,考核调整事项表!$F:$F,累计考核费用!X$3)</f>
        <v>0</v>
      </c>
      <c r="Y88" s="35">
        <f>SUMIFS(考核调整事项表!$C:$C,考核调整事项表!$G:$G,累计考核费用!$B88,考核调整事项表!$D:$D,累计考核费用!Y$3)+SUMIFS(考核调整事项表!$E:$E,考核调整事项表!$G:$G,累计考核费用!$B88,考核调整事项表!$F:$F,累计考核费用!Y$3)</f>
        <v>0</v>
      </c>
      <c r="Z88" s="35">
        <f>SUMIFS(考核调整事项表!$C:$C,考核调整事项表!$G:$G,累计考核费用!$B88,考核调整事项表!$D:$D,累计考核费用!Z$3)+SUMIFS(考核调整事项表!$E:$E,考核调整事项表!$G:$G,累计考核费用!$B88,考核调整事项表!$F:$F,累计考核费用!Z$3)</f>
        <v>0</v>
      </c>
      <c r="AA88" s="35">
        <f>SUMIFS(考核调整事项表!$C:$C,考核调整事项表!$G:$G,累计考核费用!$B88,考核调整事项表!$D:$D,累计考核费用!AA$3)+SUMIFS(考核调整事项表!$E:$E,考核调整事项表!$G:$G,累计考核费用!$B88,考核调整事项表!$F:$F,累计考核费用!AA$3)</f>
        <v>0</v>
      </c>
    </row>
    <row r="89" spans="1:27">
      <c r="A89" s="320"/>
      <c r="B89" s="174" t="s">
        <v>83</v>
      </c>
      <c r="C89" s="35">
        <f t="shared" si="1"/>
        <v>0</v>
      </c>
      <c r="D89" s="35">
        <f>SUMIFS(考核调整事项表!$C:$C,考核调整事项表!$G:$G,累计考核费用!$B89,考核调整事项表!$D:$D,累计考核费用!D$3)+SUMIFS(考核调整事项表!$E:$E,考核调整事项表!$G:$G,累计考核费用!$B89,考核调整事项表!$F:$F,累计考核费用!D$3)</f>
        <v>0</v>
      </c>
      <c r="E89" s="35">
        <f>SUMIFS(考核调整事项表!$C:$C,考核调整事项表!$G:$G,累计考核费用!$B89,考核调整事项表!$D:$D,累计考核费用!E$3)+SUMIFS(考核调整事项表!$E:$E,考核调整事项表!$G:$G,累计考核费用!$B89,考核调整事项表!$F:$F,累计考核费用!E$3)</f>
        <v>0</v>
      </c>
      <c r="F89" s="35">
        <f>SUMIFS(考核调整事项表!$C:$C,考核调整事项表!$G:$G,累计考核费用!$B89,考核调整事项表!$D:$D,累计考核费用!F$3)+SUMIFS(考核调整事项表!$E:$E,考核调整事项表!$G:$G,累计考核费用!$B89,考核调整事项表!$F:$F,累计考核费用!F$3)</f>
        <v>0</v>
      </c>
      <c r="G89" s="35">
        <f>SUMIFS(考核调整事项表!$C:$C,考核调整事项表!$G:$G,累计考核费用!$B89,考核调整事项表!$D:$D,累计考核费用!G$3)+SUMIFS(考核调整事项表!$E:$E,考核调整事项表!$G:$G,累计考核费用!$B89,考核调整事项表!$F:$F,累计考核费用!G$3)</f>
        <v>0</v>
      </c>
      <c r="H89" s="35">
        <f t="shared" si="12"/>
        <v>0</v>
      </c>
      <c r="I89" s="35">
        <f>SUMIFS(考核调整事项表!$C:$C,考核调整事项表!$G:$G,累计考核费用!$B89,考核调整事项表!$D:$D,累计考核费用!I$3)+SUMIFS(考核调整事项表!$E:$E,考核调整事项表!$G:$G,累计考核费用!$B89,考核调整事项表!$F:$F,累计考核费用!I$3)</f>
        <v>0</v>
      </c>
      <c r="J89" s="35">
        <f>SUMIFS(考核调整事项表!$C:$C,考核调整事项表!$G:$G,累计考核费用!$B89,考核调整事项表!$D:$D,累计考核费用!J$3)+SUMIFS(考核调整事项表!$E:$E,考核调整事项表!$G:$G,累计考核费用!$B89,考核调整事项表!$F:$F,累计考核费用!J$3)</f>
        <v>0</v>
      </c>
      <c r="K89" s="35">
        <f>SUMIFS(考核调整事项表!$C:$C,考核调整事项表!$G:$G,累计考核费用!$B89,考核调整事项表!$D:$D,累计考核费用!K$3)+SUMIFS(考核调整事项表!$E:$E,考核调整事项表!$G:$G,累计考核费用!$B89,考核调整事项表!$F:$F,累计考核费用!K$3)</f>
        <v>0</v>
      </c>
      <c r="L89" s="35">
        <f>SUMIFS(考核调整事项表!$C:$C,考核调整事项表!$G:$G,累计考核费用!$B89,考核调整事项表!$D:$D,累计考核费用!L$3)+SUMIFS(考核调整事项表!$E:$E,考核调整事项表!$G:$G,累计考核费用!$B89,考核调整事项表!$F:$F,累计考核费用!L$3)</f>
        <v>0</v>
      </c>
      <c r="M89" s="35">
        <f>SUMIFS(考核调整事项表!$C:$C,考核调整事项表!$G:$G,累计考核费用!$B89,考核调整事项表!$D:$D,累计考核费用!M$3)+SUMIFS(考核调整事项表!$E:$E,考核调整事项表!$G:$G,累计考核费用!$B89,考核调整事项表!$F:$F,累计考核费用!M$3)</f>
        <v>0</v>
      </c>
      <c r="N89" s="35">
        <f>SUMIFS(考核调整事项表!$C:$C,考核调整事项表!$G:$G,累计考核费用!$B89,考核调整事项表!$D:$D,累计考核费用!N$3)+SUMIFS(考核调整事项表!$E:$E,考核调整事项表!$G:$G,累计考核费用!$B89,考核调整事项表!$F:$F,累计考核费用!N$3)</f>
        <v>0</v>
      </c>
      <c r="O89" s="35">
        <f>SUMIFS(考核调整事项表!$C:$C,考核调整事项表!$G:$G,累计考核费用!$B89,考核调整事项表!$D:$D,累计考核费用!O$3)+SUMIFS(考核调整事项表!$E:$E,考核调整事项表!$G:$G,累计考核费用!$B89,考核调整事项表!$F:$F,累计考核费用!O$3)</f>
        <v>0</v>
      </c>
      <c r="P89" s="35">
        <f>SUMIFS(考核调整事项表!$C:$C,考核调整事项表!$G:$G,累计考核费用!$B89,考核调整事项表!$D:$D,累计考核费用!P$3)+SUMIFS(考核调整事项表!$E:$E,考核调整事项表!$G:$G,累计考核费用!$B89,考核调整事项表!$F:$F,累计考核费用!P$3)</f>
        <v>0</v>
      </c>
      <c r="Q89" s="35">
        <f>SUMIFS(考核调整事项表!$C:$C,考核调整事项表!$G:$G,累计考核费用!$B89,考核调整事项表!$D:$D,累计考核费用!Q$3)+SUMIFS(考核调整事项表!$E:$E,考核调整事项表!$G:$G,累计考核费用!$B89,考核调整事项表!$F:$F,累计考核费用!Q$3)</f>
        <v>0</v>
      </c>
      <c r="R89" s="41">
        <f t="shared" si="13"/>
        <v>0</v>
      </c>
      <c r="S89" s="35">
        <f>SUMIFS(考核调整事项表!$C:$C,考核调整事项表!$G:$G,累计考核费用!$B89,考核调整事项表!$D:$D,累计考核费用!S$3)+SUMIFS(考核调整事项表!$E:$E,考核调整事项表!$G:$G,累计考核费用!$B89,考核调整事项表!$F:$F,累计考核费用!S$3)</f>
        <v>0</v>
      </c>
      <c r="T89" s="35">
        <f>SUMIFS(考核调整事项表!$C:$C,考核调整事项表!$G:$G,累计考核费用!$B89,考核调整事项表!$D:$D,累计考核费用!T$3)+SUMIFS(考核调整事项表!$E:$E,考核调整事项表!$G:$G,累计考核费用!$B89,考核调整事项表!$F:$F,累计考核费用!T$3)</f>
        <v>0</v>
      </c>
      <c r="U89" s="35">
        <f>SUMIFS(考核调整事项表!$C:$C,考核调整事项表!$G:$G,累计考核费用!$B89,考核调整事项表!$D:$D,累计考核费用!U$3)+SUMIFS(考核调整事项表!$E:$E,考核调整事项表!$G:$G,累计考核费用!$B89,考核调整事项表!$F:$F,累计考核费用!U$3)</f>
        <v>0</v>
      </c>
      <c r="V89" s="35">
        <f>SUMIFS(考核调整事项表!$C:$C,考核调整事项表!$G:$G,累计考核费用!$B89,考核调整事项表!$D:$D,累计考核费用!V$3)+SUMIFS(考核调整事项表!$E:$E,考核调整事项表!$G:$G,累计考核费用!$B89,考核调整事项表!$F:$F,累计考核费用!V$3)</f>
        <v>0</v>
      </c>
      <c r="W89" s="35">
        <f t="shared" si="8"/>
        <v>0</v>
      </c>
      <c r="X89" s="35">
        <f>SUMIFS(考核调整事项表!$C:$C,考核调整事项表!$G:$G,累计考核费用!$B89,考核调整事项表!$D:$D,累计考核费用!X$3)+SUMIFS(考核调整事项表!$E:$E,考核调整事项表!$G:$G,累计考核费用!$B89,考核调整事项表!$F:$F,累计考核费用!X$3)</f>
        <v>0</v>
      </c>
      <c r="Y89" s="35">
        <f>SUMIFS(考核调整事项表!$C:$C,考核调整事项表!$G:$G,累计考核费用!$B89,考核调整事项表!$D:$D,累计考核费用!Y$3)+SUMIFS(考核调整事项表!$E:$E,考核调整事项表!$G:$G,累计考核费用!$B89,考核调整事项表!$F:$F,累计考核费用!Y$3)</f>
        <v>0</v>
      </c>
      <c r="Z89" s="35">
        <f>SUMIFS(考核调整事项表!$C:$C,考核调整事项表!$G:$G,累计考核费用!$B89,考核调整事项表!$D:$D,累计考核费用!Z$3)+SUMIFS(考核调整事项表!$E:$E,考核调整事项表!$G:$G,累计考核费用!$B89,考核调整事项表!$F:$F,累计考核费用!Z$3)</f>
        <v>0</v>
      </c>
      <c r="AA89" s="35">
        <f>SUMIFS(考核调整事项表!$C:$C,考核调整事项表!$G:$G,累计考核费用!$B89,考核调整事项表!$D:$D,累计考核费用!AA$3)+SUMIFS(考核调整事项表!$E:$E,考核调整事项表!$G:$G,累计考核费用!$B89,考核调整事项表!$F:$F,累计考核费用!AA$3)</f>
        <v>0</v>
      </c>
    </row>
    <row r="90" spans="1:27">
      <c r="A90" s="320"/>
      <c r="B90" s="174" t="s">
        <v>87</v>
      </c>
      <c r="C90" s="35">
        <f t="shared" si="1"/>
        <v>0</v>
      </c>
      <c r="D90" s="35">
        <f>SUMIFS(考核调整事项表!$C:$C,考核调整事项表!$G:$G,累计考核费用!$B90,考核调整事项表!$D:$D,累计考核费用!D$3)+SUMIFS(考核调整事项表!$E:$E,考核调整事项表!$G:$G,累计考核费用!$B90,考核调整事项表!$F:$F,累计考核费用!D$3)</f>
        <v>0</v>
      </c>
      <c r="E90" s="35">
        <f>SUMIFS(考核调整事项表!$C:$C,考核调整事项表!$G:$G,累计考核费用!$B90,考核调整事项表!$D:$D,累计考核费用!E$3)+SUMIFS(考核调整事项表!$E:$E,考核调整事项表!$G:$G,累计考核费用!$B90,考核调整事项表!$F:$F,累计考核费用!E$3)</f>
        <v>0</v>
      </c>
      <c r="F90" s="35">
        <f>SUMIFS(考核调整事项表!$C:$C,考核调整事项表!$G:$G,累计考核费用!$B90,考核调整事项表!$D:$D,累计考核费用!F$3)+SUMIFS(考核调整事项表!$E:$E,考核调整事项表!$G:$G,累计考核费用!$B90,考核调整事项表!$F:$F,累计考核费用!F$3)</f>
        <v>0</v>
      </c>
      <c r="G90" s="35">
        <f>SUMIFS(考核调整事项表!$C:$C,考核调整事项表!$G:$G,累计考核费用!$B90,考核调整事项表!$D:$D,累计考核费用!G$3)+SUMIFS(考核调整事项表!$E:$E,考核调整事项表!$G:$G,累计考核费用!$B90,考核调整事项表!$F:$F,累计考核费用!G$3)</f>
        <v>0</v>
      </c>
      <c r="H90" s="35">
        <f t="shared" si="12"/>
        <v>0</v>
      </c>
      <c r="I90" s="35">
        <f>SUMIFS(考核调整事项表!$C:$C,考核调整事项表!$G:$G,累计考核费用!$B90,考核调整事项表!$D:$D,累计考核费用!I$3)+SUMIFS(考核调整事项表!$E:$E,考核调整事项表!$G:$G,累计考核费用!$B90,考核调整事项表!$F:$F,累计考核费用!I$3)</f>
        <v>0</v>
      </c>
      <c r="J90" s="35">
        <f>SUMIFS(考核调整事项表!$C:$C,考核调整事项表!$G:$G,累计考核费用!$B90,考核调整事项表!$D:$D,累计考核费用!J$3)+SUMIFS(考核调整事项表!$E:$E,考核调整事项表!$G:$G,累计考核费用!$B90,考核调整事项表!$F:$F,累计考核费用!J$3)</f>
        <v>0</v>
      </c>
      <c r="K90" s="35">
        <f>SUMIFS(考核调整事项表!$C:$C,考核调整事项表!$G:$G,累计考核费用!$B90,考核调整事项表!$D:$D,累计考核费用!K$3)+SUMIFS(考核调整事项表!$E:$E,考核调整事项表!$G:$G,累计考核费用!$B90,考核调整事项表!$F:$F,累计考核费用!K$3)</f>
        <v>0</v>
      </c>
      <c r="L90" s="35">
        <f>SUMIFS(考核调整事项表!$C:$C,考核调整事项表!$G:$G,累计考核费用!$B90,考核调整事项表!$D:$D,累计考核费用!L$3)+SUMIFS(考核调整事项表!$E:$E,考核调整事项表!$G:$G,累计考核费用!$B90,考核调整事项表!$F:$F,累计考核费用!L$3)</f>
        <v>0</v>
      </c>
      <c r="M90" s="35">
        <f>SUMIFS(考核调整事项表!$C:$C,考核调整事项表!$G:$G,累计考核费用!$B90,考核调整事项表!$D:$D,累计考核费用!M$3)+SUMIFS(考核调整事项表!$E:$E,考核调整事项表!$G:$G,累计考核费用!$B90,考核调整事项表!$F:$F,累计考核费用!M$3)</f>
        <v>0</v>
      </c>
      <c r="N90" s="35">
        <f>SUMIFS(考核调整事项表!$C:$C,考核调整事项表!$G:$G,累计考核费用!$B90,考核调整事项表!$D:$D,累计考核费用!N$3)+SUMIFS(考核调整事项表!$E:$E,考核调整事项表!$G:$G,累计考核费用!$B90,考核调整事项表!$F:$F,累计考核费用!N$3)</f>
        <v>0</v>
      </c>
      <c r="O90" s="35">
        <f>SUMIFS(考核调整事项表!$C:$C,考核调整事项表!$G:$G,累计考核费用!$B90,考核调整事项表!$D:$D,累计考核费用!O$3)+SUMIFS(考核调整事项表!$E:$E,考核调整事项表!$G:$G,累计考核费用!$B90,考核调整事项表!$F:$F,累计考核费用!O$3)</f>
        <v>0</v>
      </c>
      <c r="P90" s="35">
        <f>SUMIFS(考核调整事项表!$C:$C,考核调整事项表!$G:$G,累计考核费用!$B90,考核调整事项表!$D:$D,累计考核费用!P$3)+SUMIFS(考核调整事项表!$E:$E,考核调整事项表!$G:$G,累计考核费用!$B90,考核调整事项表!$F:$F,累计考核费用!P$3)</f>
        <v>0</v>
      </c>
      <c r="Q90" s="35">
        <f>SUMIFS(考核调整事项表!$C:$C,考核调整事项表!$G:$G,累计考核费用!$B90,考核调整事项表!$D:$D,累计考核费用!Q$3)+SUMIFS(考核调整事项表!$E:$E,考核调整事项表!$G:$G,累计考核费用!$B90,考核调整事项表!$F:$F,累计考核费用!Q$3)</f>
        <v>0</v>
      </c>
      <c r="R90" s="41">
        <f t="shared" si="13"/>
        <v>0</v>
      </c>
      <c r="S90" s="35">
        <f>SUMIFS(考核调整事项表!$C:$C,考核调整事项表!$G:$G,累计考核费用!$B90,考核调整事项表!$D:$D,累计考核费用!S$3)+SUMIFS(考核调整事项表!$E:$E,考核调整事项表!$G:$G,累计考核费用!$B90,考核调整事项表!$F:$F,累计考核费用!S$3)</f>
        <v>0</v>
      </c>
      <c r="T90" s="35">
        <f>SUMIFS(考核调整事项表!$C:$C,考核调整事项表!$G:$G,累计考核费用!$B90,考核调整事项表!$D:$D,累计考核费用!T$3)+SUMIFS(考核调整事项表!$E:$E,考核调整事项表!$G:$G,累计考核费用!$B90,考核调整事项表!$F:$F,累计考核费用!T$3)</f>
        <v>0</v>
      </c>
      <c r="U90" s="35">
        <f>SUMIFS(考核调整事项表!$C:$C,考核调整事项表!$G:$G,累计考核费用!$B90,考核调整事项表!$D:$D,累计考核费用!U$3)+SUMIFS(考核调整事项表!$E:$E,考核调整事项表!$G:$G,累计考核费用!$B90,考核调整事项表!$F:$F,累计考核费用!U$3)</f>
        <v>0</v>
      </c>
      <c r="V90" s="35">
        <f>SUMIFS(考核调整事项表!$C:$C,考核调整事项表!$G:$G,累计考核费用!$B90,考核调整事项表!$D:$D,累计考核费用!V$3)+SUMIFS(考核调整事项表!$E:$E,考核调整事项表!$G:$G,累计考核费用!$B90,考核调整事项表!$F:$F,累计考核费用!V$3)</f>
        <v>0</v>
      </c>
      <c r="W90" s="35">
        <f t="shared" si="8"/>
        <v>0</v>
      </c>
      <c r="X90" s="35">
        <f>SUMIFS(考核调整事项表!$C:$C,考核调整事项表!$G:$G,累计考核费用!$B90,考核调整事项表!$D:$D,累计考核费用!X$3)+SUMIFS(考核调整事项表!$E:$E,考核调整事项表!$G:$G,累计考核费用!$B90,考核调整事项表!$F:$F,累计考核费用!X$3)</f>
        <v>0</v>
      </c>
      <c r="Y90" s="35">
        <f>SUMIFS(考核调整事项表!$C:$C,考核调整事项表!$G:$G,累计考核费用!$B90,考核调整事项表!$D:$D,累计考核费用!Y$3)+SUMIFS(考核调整事项表!$E:$E,考核调整事项表!$G:$G,累计考核费用!$B90,考核调整事项表!$F:$F,累计考核费用!Y$3)</f>
        <v>0</v>
      </c>
      <c r="Z90" s="35">
        <f>SUMIFS(考核调整事项表!$C:$C,考核调整事项表!$G:$G,累计考核费用!$B90,考核调整事项表!$D:$D,累计考核费用!Z$3)+SUMIFS(考核调整事项表!$E:$E,考核调整事项表!$G:$G,累计考核费用!$B90,考核调整事项表!$F:$F,累计考核费用!Z$3)</f>
        <v>0</v>
      </c>
      <c r="AA90" s="35">
        <f>SUMIFS(考核调整事项表!$C:$C,考核调整事项表!$G:$G,累计考核费用!$B90,考核调整事项表!$D:$D,累计考核费用!AA$3)+SUMIFS(考核调整事项表!$E:$E,考核调整事项表!$G:$G,累计考核费用!$B90,考核调整事项表!$F:$F,累计考核费用!AA$3)</f>
        <v>0</v>
      </c>
    </row>
    <row r="91" spans="1:27">
      <c r="A91" s="320"/>
      <c r="B91" s="174" t="s">
        <v>91</v>
      </c>
      <c r="C91" s="35">
        <f t="shared" si="1"/>
        <v>0</v>
      </c>
      <c r="D91" s="35">
        <f>SUMIFS(考核调整事项表!$C:$C,考核调整事项表!$G:$G,累计考核费用!$B91,考核调整事项表!$D:$D,累计考核费用!D$3)+SUMIFS(考核调整事项表!$E:$E,考核调整事项表!$G:$G,累计考核费用!$B91,考核调整事项表!$F:$F,累计考核费用!D$3)</f>
        <v>0</v>
      </c>
      <c r="E91" s="35">
        <f>SUMIFS(考核调整事项表!$C:$C,考核调整事项表!$G:$G,累计考核费用!$B91,考核调整事项表!$D:$D,累计考核费用!E$3)+SUMIFS(考核调整事项表!$E:$E,考核调整事项表!$G:$G,累计考核费用!$B91,考核调整事项表!$F:$F,累计考核费用!E$3)</f>
        <v>0</v>
      </c>
      <c r="F91" s="35">
        <f>SUMIFS(考核调整事项表!$C:$C,考核调整事项表!$G:$G,累计考核费用!$B91,考核调整事项表!$D:$D,累计考核费用!F$3)+SUMIFS(考核调整事项表!$E:$E,考核调整事项表!$G:$G,累计考核费用!$B91,考核调整事项表!$F:$F,累计考核费用!F$3)</f>
        <v>0</v>
      </c>
      <c r="G91" s="35">
        <f>SUMIFS(考核调整事项表!$C:$C,考核调整事项表!$G:$G,累计考核费用!$B91,考核调整事项表!$D:$D,累计考核费用!G$3)+SUMIFS(考核调整事项表!$E:$E,考核调整事项表!$G:$G,累计考核费用!$B91,考核调整事项表!$F:$F,累计考核费用!G$3)</f>
        <v>0</v>
      </c>
      <c r="H91" s="35">
        <f t="shared" si="12"/>
        <v>0</v>
      </c>
      <c r="I91" s="35">
        <f>SUMIFS(考核调整事项表!$C:$C,考核调整事项表!$G:$G,累计考核费用!$B91,考核调整事项表!$D:$D,累计考核费用!I$3)+SUMIFS(考核调整事项表!$E:$E,考核调整事项表!$G:$G,累计考核费用!$B91,考核调整事项表!$F:$F,累计考核费用!I$3)</f>
        <v>0</v>
      </c>
      <c r="J91" s="35">
        <f>SUMIFS(考核调整事项表!$C:$C,考核调整事项表!$G:$G,累计考核费用!$B91,考核调整事项表!$D:$D,累计考核费用!J$3)+SUMIFS(考核调整事项表!$E:$E,考核调整事项表!$G:$G,累计考核费用!$B91,考核调整事项表!$F:$F,累计考核费用!J$3)</f>
        <v>0</v>
      </c>
      <c r="K91" s="35">
        <f>SUMIFS(考核调整事项表!$C:$C,考核调整事项表!$G:$G,累计考核费用!$B91,考核调整事项表!$D:$D,累计考核费用!K$3)+SUMIFS(考核调整事项表!$E:$E,考核调整事项表!$G:$G,累计考核费用!$B91,考核调整事项表!$F:$F,累计考核费用!K$3)</f>
        <v>0</v>
      </c>
      <c r="L91" s="35">
        <f>SUMIFS(考核调整事项表!$C:$C,考核调整事项表!$G:$G,累计考核费用!$B91,考核调整事项表!$D:$D,累计考核费用!L$3)+SUMIFS(考核调整事项表!$E:$E,考核调整事项表!$G:$G,累计考核费用!$B91,考核调整事项表!$F:$F,累计考核费用!L$3)</f>
        <v>0</v>
      </c>
      <c r="M91" s="35">
        <f>SUMIFS(考核调整事项表!$C:$C,考核调整事项表!$G:$G,累计考核费用!$B91,考核调整事项表!$D:$D,累计考核费用!M$3)+SUMIFS(考核调整事项表!$E:$E,考核调整事项表!$G:$G,累计考核费用!$B91,考核调整事项表!$F:$F,累计考核费用!M$3)</f>
        <v>0</v>
      </c>
      <c r="N91" s="35">
        <f>SUMIFS(考核调整事项表!$C:$C,考核调整事项表!$G:$G,累计考核费用!$B91,考核调整事项表!$D:$D,累计考核费用!N$3)+SUMIFS(考核调整事项表!$E:$E,考核调整事项表!$G:$G,累计考核费用!$B91,考核调整事项表!$F:$F,累计考核费用!N$3)</f>
        <v>0</v>
      </c>
      <c r="O91" s="35">
        <f>SUMIFS(考核调整事项表!$C:$C,考核调整事项表!$G:$G,累计考核费用!$B91,考核调整事项表!$D:$D,累计考核费用!O$3)+SUMIFS(考核调整事项表!$E:$E,考核调整事项表!$G:$G,累计考核费用!$B91,考核调整事项表!$F:$F,累计考核费用!O$3)</f>
        <v>0</v>
      </c>
      <c r="P91" s="35">
        <f>SUMIFS(考核调整事项表!$C:$C,考核调整事项表!$G:$G,累计考核费用!$B91,考核调整事项表!$D:$D,累计考核费用!P$3)+SUMIFS(考核调整事项表!$E:$E,考核调整事项表!$G:$G,累计考核费用!$B91,考核调整事项表!$F:$F,累计考核费用!P$3)</f>
        <v>0</v>
      </c>
      <c r="Q91" s="35">
        <f>SUMIFS(考核调整事项表!$C:$C,考核调整事项表!$G:$G,累计考核费用!$B91,考核调整事项表!$D:$D,累计考核费用!Q$3)+SUMIFS(考核调整事项表!$E:$E,考核调整事项表!$G:$G,累计考核费用!$B91,考核调整事项表!$F:$F,累计考核费用!Q$3)</f>
        <v>0</v>
      </c>
      <c r="R91" s="41">
        <f t="shared" si="13"/>
        <v>0</v>
      </c>
      <c r="S91" s="35">
        <f>SUMIFS(考核调整事项表!$C:$C,考核调整事项表!$G:$G,累计考核费用!$B91,考核调整事项表!$D:$D,累计考核费用!S$3)+SUMIFS(考核调整事项表!$E:$E,考核调整事项表!$G:$G,累计考核费用!$B91,考核调整事项表!$F:$F,累计考核费用!S$3)</f>
        <v>0</v>
      </c>
      <c r="T91" s="35">
        <f>SUMIFS(考核调整事项表!$C:$C,考核调整事项表!$G:$G,累计考核费用!$B91,考核调整事项表!$D:$D,累计考核费用!T$3)+SUMIFS(考核调整事项表!$E:$E,考核调整事项表!$G:$G,累计考核费用!$B91,考核调整事项表!$F:$F,累计考核费用!T$3)</f>
        <v>0</v>
      </c>
      <c r="U91" s="35">
        <f>SUMIFS(考核调整事项表!$C:$C,考核调整事项表!$G:$G,累计考核费用!$B91,考核调整事项表!$D:$D,累计考核费用!U$3)+SUMIFS(考核调整事项表!$E:$E,考核调整事项表!$G:$G,累计考核费用!$B91,考核调整事项表!$F:$F,累计考核费用!U$3)</f>
        <v>0</v>
      </c>
      <c r="V91" s="35">
        <f>SUMIFS(考核调整事项表!$C:$C,考核调整事项表!$G:$G,累计考核费用!$B91,考核调整事项表!$D:$D,累计考核费用!V$3)+SUMIFS(考核调整事项表!$E:$E,考核调整事项表!$G:$G,累计考核费用!$B91,考核调整事项表!$F:$F,累计考核费用!V$3)</f>
        <v>0</v>
      </c>
      <c r="W91" s="35">
        <f t="shared" si="8"/>
        <v>0</v>
      </c>
      <c r="X91" s="35">
        <f>SUMIFS(考核调整事项表!$C:$C,考核调整事项表!$G:$G,累计考核费用!$B91,考核调整事项表!$D:$D,累计考核费用!X$3)+SUMIFS(考核调整事项表!$E:$E,考核调整事项表!$G:$G,累计考核费用!$B91,考核调整事项表!$F:$F,累计考核费用!X$3)</f>
        <v>0</v>
      </c>
      <c r="Y91" s="35">
        <f>SUMIFS(考核调整事项表!$C:$C,考核调整事项表!$G:$G,累计考核费用!$B91,考核调整事项表!$D:$D,累计考核费用!Y$3)+SUMIFS(考核调整事项表!$E:$E,考核调整事项表!$G:$G,累计考核费用!$B91,考核调整事项表!$F:$F,累计考核费用!Y$3)</f>
        <v>0</v>
      </c>
      <c r="Z91" s="35">
        <f>SUMIFS(考核调整事项表!$C:$C,考核调整事项表!$G:$G,累计考核费用!$B91,考核调整事项表!$D:$D,累计考核费用!Z$3)+SUMIFS(考核调整事项表!$E:$E,考核调整事项表!$G:$G,累计考核费用!$B91,考核调整事项表!$F:$F,累计考核费用!Z$3)</f>
        <v>0</v>
      </c>
      <c r="AA91" s="35">
        <f>SUMIFS(考核调整事项表!$C:$C,考核调整事项表!$G:$G,累计考核费用!$B91,考核调整事项表!$D:$D,累计考核费用!AA$3)+SUMIFS(考核调整事项表!$E:$E,考核调整事项表!$G:$G,累计考核费用!$B91,考核调整事项表!$F:$F,累计考核费用!AA$3)</f>
        <v>0</v>
      </c>
    </row>
    <row r="92" spans="1:27">
      <c r="A92" s="320"/>
      <c r="B92" s="174" t="s">
        <v>92</v>
      </c>
      <c r="C92" s="35">
        <f t="shared" si="1"/>
        <v>0</v>
      </c>
      <c r="D92" s="35">
        <f>SUMIFS(考核调整事项表!$C:$C,考核调整事项表!$G:$G,累计考核费用!$B92,考核调整事项表!$D:$D,累计考核费用!D$3)+SUMIFS(考核调整事项表!$E:$E,考核调整事项表!$G:$G,累计考核费用!$B92,考核调整事项表!$F:$F,累计考核费用!D$3)</f>
        <v>0</v>
      </c>
      <c r="E92" s="35">
        <f>SUMIFS(考核调整事项表!$C:$C,考核调整事项表!$G:$G,累计考核费用!$B92,考核调整事项表!$D:$D,累计考核费用!E$3)+SUMIFS(考核调整事项表!$E:$E,考核调整事项表!$G:$G,累计考核费用!$B92,考核调整事项表!$F:$F,累计考核费用!E$3)</f>
        <v>0</v>
      </c>
      <c r="F92" s="35">
        <f>SUMIFS(考核调整事项表!$C:$C,考核调整事项表!$G:$G,累计考核费用!$B92,考核调整事项表!$D:$D,累计考核费用!F$3)+SUMIFS(考核调整事项表!$E:$E,考核调整事项表!$G:$G,累计考核费用!$B92,考核调整事项表!$F:$F,累计考核费用!F$3)</f>
        <v>0</v>
      </c>
      <c r="G92" s="35">
        <f>SUMIFS(考核调整事项表!$C:$C,考核调整事项表!$G:$G,累计考核费用!$B92,考核调整事项表!$D:$D,累计考核费用!G$3)+SUMIFS(考核调整事项表!$E:$E,考核调整事项表!$G:$G,累计考核费用!$B92,考核调整事项表!$F:$F,累计考核费用!G$3)</f>
        <v>0</v>
      </c>
      <c r="H92" s="35">
        <f t="shared" si="12"/>
        <v>-291.12</v>
      </c>
      <c r="I92" s="35">
        <f>SUMIFS(考核调整事项表!$C:$C,考核调整事项表!$G:$G,累计考核费用!$B92,考核调整事项表!$D:$D,累计考核费用!I$3)+SUMIFS(考核调整事项表!$E:$E,考核调整事项表!$G:$G,累计考核费用!$B92,考核调整事项表!$F:$F,累计考核费用!I$3)</f>
        <v>0</v>
      </c>
      <c r="J92" s="35">
        <f>SUMIFS(考核调整事项表!$C:$C,考核调整事项表!$G:$G,累计考核费用!$B92,考核调整事项表!$D:$D,累计考核费用!J$3)+SUMIFS(考核调整事项表!$E:$E,考核调整事项表!$G:$G,累计考核费用!$B92,考核调整事项表!$F:$F,累计考核费用!J$3)</f>
        <v>0</v>
      </c>
      <c r="K92" s="35">
        <f>SUMIFS(考核调整事项表!$C:$C,考核调整事项表!$G:$G,累计考核费用!$B92,考核调整事项表!$D:$D,累计考核费用!K$3)+SUMIFS(考核调整事项表!$E:$E,考核调整事项表!$G:$G,累计考核费用!$B92,考核调整事项表!$F:$F,累计考核费用!K$3)</f>
        <v>0</v>
      </c>
      <c r="L92" s="35">
        <f>SUMIFS(考核调整事项表!$C:$C,考核调整事项表!$G:$G,累计考核费用!$B92,考核调整事项表!$D:$D,累计考核费用!L$3)+SUMIFS(考核调整事项表!$E:$E,考核调整事项表!$G:$G,累计考核费用!$B92,考核调整事项表!$F:$F,累计考核费用!L$3)</f>
        <v>0</v>
      </c>
      <c r="M92" s="35">
        <f>SUMIFS(考核调整事项表!$C:$C,考核调整事项表!$G:$G,累计考核费用!$B92,考核调整事项表!$D:$D,累计考核费用!M$3)+SUMIFS(考核调整事项表!$E:$E,考核调整事项表!$G:$G,累计考核费用!$B92,考核调整事项表!$F:$F,累计考核费用!M$3)</f>
        <v>0</v>
      </c>
      <c r="N92" s="35">
        <f>SUMIFS(考核调整事项表!$C:$C,考核调整事项表!$G:$G,累计考核费用!$B92,考核调整事项表!$D:$D,累计考核费用!N$3)+SUMIFS(考核调整事项表!$E:$E,考核调整事项表!$G:$G,累计考核费用!$B92,考核调整事项表!$F:$F,累计考核费用!N$3)</f>
        <v>0</v>
      </c>
      <c r="O92" s="35">
        <f>SUMIFS(考核调整事项表!$C:$C,考核调整事项表!$G:$G,累计考核费用!$B92,考核调整事项表!$D:$D,累计考核费用!O$3)+SUMIFS(考核调整事项表!$E:$E,考核调整事项表!$G:$G,累计考核费用!$B92,考核调整事项表!$F:$F,累计考核费用!O$3)</f>
        <v>-291.12</v>
      </c>
      <c r="P92" s="35">
        <f>SUMIFS(考核调整事项表!$C:$C,考核调整事项表!$G:$G,累计考核费用!$B92,考核调整事项表!$D:$D,累计考核费用!P$3)+SUMIFS(考核调整事项表!$E:$E,考核调整事项表!$G:$G,累计考核费用!$B92,考核调整事项表!$F:$F,累计考核费用!P$3)</f>
        <v>0</v>
      </c>
      <c r="Q92" s="35">
        <f>SUMIFS(考核调整事项表!$C:$C,考核调整事项表!$G:$G,累计考核费用!$B92,考核调整事项表!$D:$D,累计考核费用!Q$3)+SUMIFS(考核调整事项表!$E:$E,考核调整事项表!$G:$G,累计考核费用!$B92,考核调整事项表!$F:$F,累计考核费用!Q$3)</f>
        <v>0</v>
      </c>
      <c r="R92" s="41">
        <f t="shared" si="13"/>
        <v>0</v>
      </c>
      <c r="S92" s="35">
        <f>SUMIFS(考核调整事项表!$C:$C,考核调整事项表!$G:$G,累计考核费用!$B92,考核调整事项表!$D:$D,累计考核费用!S$3)+SUMIFS(考核调整事项表!$E:$E,考核调整事项表!$G:$G,累计考核费用!$B92,考核调整事项表!$F:$F,累计考核费用!S$3)</f>
        <v>0</v>
      </c>
      <c r="T92" s="35">
        <f>SUMIFS(考核调整事项表!$C:$C,考核调整事项表!$G:$G,累计考核费用!$B92,考核调整事项表!$D:$D,累计考核费用!T$3)+SUMIFS(考核调整事项表!$E:$E,考核调整事项表!$G:$G,累计考核费用!$B92,考核调整事项表!$F:$F,累计考核费用!T$3)</f>
        <v>0</v>
      </c>
      <c r="U92" s="35">
        <f>SUMIFS(考核调整事项表!$C:$C,考核调整事项表!$G:$G,累计考核费用!$B92,考核调整事项表!$D:$D,累计考核费用!U$3)+SUMIFS(考核调整事项表!$E:$E,考核调整事项表!$G:$G,累计考核费用!$B92,考核调整事项表!$F:$F,累计考核费用!U$3)</f>
        <v>0</v>
      </c>
      <c r="V92" s="35">
        <f>SUMIFS(考核调整事项表!$C:$C,考核调整事项表!$G:$G,累计考核费用!$B92,考核调整事项表!$D:$D,累计考核费用!V$3)+SUMIFS(考核调整事项表!$E:$E,考核调整事项表!$G:$G,累计考核费用!$B92,考核调整事项表!$F:$F,累计考核费用!V$3)</f>
        <v>0</v>
      </c>
      <c r="W92" s="35">
        <f t="shared" si="8"/>
        <v>0</v>
      </c>
      <c r="X92" s="35">
        <f>SUMIFS(考核调整事项表!$C:$C,考核调整事项表!$G:$G,累计考核费用!$B92,考核调整事项表!$D:$D,累计考核费用!X$3)+SUMIFS(考核调整事项表!$E:$E,考核调整事项表!$G:$G,累计考核费用!$B92,考核调整事项表!$F:$F,累计考核费用!X$3)</f>
        <v>0</v>
      </c>
      <c r="Y92" s="35">
        <f>SUMIFS(考核调整事项表!$C:$C,考核调整事项表!$G:$G,累计考核费用!$B92,考核调整事项表!$D:$D,累计考核费用!Y$3)+SUMIFS(考核调整事项表!$E:$E,考核调整事项表!$G:$G,累计考核费用!$B92,考核调整事项表!$F:$F,累计考核费用!Y$3)</f>
        <v>0</v>
      </c>
      <c r="Z92" s="35">
        <f>SUMIFS(考核调整事项表!$C:$C,考核调整事项表!$G:$G,累计考核费用!$B92,考核调整事项表!$D:$D,累计考核费用!Z$3)+SUMIFS(考核调整事项表!$E:$E,考核调整事项表!$G:$G,累计考核费用!$B92,考核调整事项表!$F:$F,累计考核费用!Z$3)</f>
        <v>0</v>
      </c>
      <c r="AA92" s="35">
        <f>SUMIFS(考核调整事项表!$C:$C,考核调整事项表!$G:$G,累计考核费用!$B92,考核调整事项表!$D:$D,累计考核费用!AA$3)+SUMIFS(考核调整事项表!$E:$E,考核调整事项表!$G:$G,累计考核费用!$B92,考核调整事项表!$F:$F,累计考核费用!AA$3)</f>
        <v>291.12</v>
      </c>
    </row>
    <row r="93" spans="1:27">
      <c r="A93" s="320"/>
      <c r="B93" s="174" t="s">
        <v>95</v>
      </c>
      <c r="C93" s="35">
        <f t="shared" si="1"/>
        <v>0</v>
      </c>
      <c r="D93" s="35">
        <f>SUMIFS(考核调整事项表!$C:$C,考核调整事项表!$G:$G,累计考核费用!$B93,考核调整事项表!$D:$D,累计考核费用!D$3)+SUMIFS(考核调整事项表!$E:$E,考核调整事项表!$G:$G,累计考核费用!$B93,考核调整事项表!$F:$F,累计考核费用!D$3)</f>
        <v>0</v>
      </c>
      <c r="E93" s="35">
        <f>SUMIFS(考核调整事项表!$C:$C,考核调整事项表!$G:$G,累计考核费用!$B93,考核调整事项表!$D:$D,累计考核费用!E$3)+SUMIFS(考核调整事项表!$E:$E,考核调整事项表!$G:$G,累计考核费用!$B93,考核调整事项表!$F:$F,累计考核费用!E$3)</f>
        <v>0</v>
      </c>
      <c r="F93" s="35">
        <f>SUMIFS(考核调整事项表!$C:$C,考核调整事项表!$G:$G,累计考核费用!$B93,考核调整事项表!$D:$D,累计考核费用!F$3)+SUMIFS(考核调整事项表!$E:$E,考核调整事项表!$G:$G,累计考核费用!$B93,考核调整事项表!$F:$F,累计考核费用!F$3)</f>
        <v>0</v>
      </c>
      <c r="G93" s="35">
        <f>SUMIFS(考核调整事项表!$C:$C,考核调整事项表!$G:$G,累计考核费用!$B93,考核调整事项表!$D:$D,累计考核费用!G$3)+SUMIFS(考核调整事项表!$E:$E,考核调整事项表!$G:$G,累计考核费用!$B93,考核调整事项表!$F:$F,累计考核费用!G$3)</f>
        <v>0</v>
      </c>
      <c r="H93" s="35">
        <f t="shared" si="12"/>
        <v>0</v>
      </c>
      <c r="I93" s="35">
        <f>SUMIFS(考核调整事项表!$C:$C,考核调整事项表!$G:$G,累计考核费用!$B93,考核调整事项表!$D:$D,累计考核费用!I$3)+SUMIFS(考核调整事项表!$E:$E,考核调整事项表!$G:$G,累计考核费用!$B93,考核调整事项表!$F:$F,累计考核费用!I$3)</f>
        <v>0</v>
      </c>
      <c r="J93" s="35">
        <f>SUMIFS(考核调整事项表!$C:$C,考核调整事项表!$G:$G,累计考核费用!$B93,考核调整事项表!$D:$D,累计考核费用!J$3)+SUMIFS(考核调整事项表!$E:$E,考核调整事项表!$G:$G,累计考核费用!$B93,考核调整事项表!$F:$F,累计考核费用!J$3)</f>
        <v>0</v>
      </c>
      <c r="K93" s="35">
        <f>SUMIFS(考核调整事项表!$C:$C,考核调整事项表!$G:$G,累计考核费用!$B93,考核调整事项表!$D:$D,累计考核费用!K$3)+SUMIFS(考核调整事项表!$E:$E,考核调整事项表!$G:$G,累计考核费用!$B93,考核调整事项表!$F:$F,累计考核费用!K$3)</f>
        <v>0</v>
      </c>
      <c r="L93" s="35">
        <f>SUMIFS(考核调整事项表!$C:$C,考核调整事项表!$G:$G,累计考核费用!$B93,考核调整事项表!$D:$D,累计考核费用!L$3)+SUMIFS(考核调整事项表!$E:$E,考核调整事项表!$G:$G,累计考核费用!$B93,考核调整事项表!$F:$F,累计考核费用!L$3)</f>
        <v>0</v>
      </c>
      <c r="M93" s="35">
        <f>SUMIFS(考核调整事项表!$C:$C,考核调整事项表!$G:$G,累计考核费用!$B93,考核调整事项表!$D:$D,累计考核费用!M$3)+SUMIFS(考核调整事项表!$E:$E,考核调整事项表!$G:$G,累计考核费用!$B93,考核调整事项表!$F:$F,累计考核费用!M$3)</f>
        <v>0</v>
      </c>
      <c r="N93" s="35">
        <f>SUMIFS(考核调整事项表!$C:$C,考核调整事项表!$G:$G,累计考核费用!$B93,考核调整事项表!$D:$D,累计考核费用!N$3)+SUMIFS(考核调整事项表!$E:$E,考核调整事项表!$G:$G,累计考核费用!$B93,考核调整事项表!$F:$F,累计考核费用!N$3)</f>
        <v>0</v>
      </c>
      <c r="O93" s="35">
        <f>SUMIFS(考核调整事项表!$C:$C,考核调整事项表!$G:$G,累计考核费用!$B93,考核调整事项表!$D:$D,累计考核费用!O$3)+SUMIFS(考核调整事项表!$E:$E,考核调整事项表!$G:$G,累计考核费用!$B93,考核调整事项表!$F:$F,累计考核费用!O$3)</f>
        <v>0</v>
      </c>
      <c r="P93" s="35">
        <f>SUMIFS(考核调整事项表!$C:$C,考核调整事项表!$G:$G,累计考核费用!$B93,考核调整事项表!$D:$D,累计考核费用!P$3)+SUMIFS(考核调整事项表!$E:$E,考核调整事项表!$G:$G,累计考核费用!$B93,考核调整事项表!$F:$F,累计考核费用!P$3)</f>
        <v>0</v>
      </c>
      <c r="Q93" s="35">
        <f>SUMIFS(考核调整事项表!$C:$C,考核调整事项表!$G:$G,累计考核费用!$B93,考核调整事项表!$D:$D,累计考核费用!Q$3)+SUMIFS(考核调整事项表!$E:$E,考核调整事项表!$G:$G,累计考核费用!$B93,考核调整事项表!$F:$F,累计考核费用!Q$3)</f>
        <v>0</v>
      </c>
      <c r="R93" s="41">
        <f t="shared" si="13"/>
        <v>0</v>
      </c>
      <c r="S93" s="35">
        <f>SUMIFS(考核调整事项表!$C:$C,考核调整事项表!$G:$G,累计考核费用!$B93,考核调整事项表!$D:$D,累计考核费用!S$3)+SUMIFS(考核调整事项表!$E:$E,考核调整事项表!$G:$G,累计考核费用!$B93,考核调整事项表!$F:$F,累计考核费用!S$3)</f>
        <v>0</v>
      </c>
      <c r="T93" s="35">
        <f>SUMIFS(考核调整事项表!$C:$C,考核调整事项表!$G:$G,累计考核费用!$B93,考核调整事项表!$D:$D,累计考核费用!T$3)+SUMIFS(考核调整事项表!$E:$E,考核调整事项表!$G:$G,累计考核费用!$B93,考核调整事项表!$F:$F,累计考核费用!T$3)</f>
        <v>0</v>
      </c>
      <c r="U93" s="35">
        <f>SUMIFS(考核调整事项表!$C:$C,考核调整事项表!$G:$G,累计考核费用!$B93,考核调整事项表!$D:$D,累计考核费用!U$3)+SUMIFS(考核调整事项表!$E:$E,考核调整事项表!$G:$G,累计考核费用!$B93,考核调整事项表!$F:$F,累计考核费用!U$3)</f>
        <v>0</v>
      </c>
      <c r="V93" s="35">
        <f>SUMIFS(考核调整事项表!$C:$C,考核调整事项表!$G:$G,累计考核费用!$B93,考核调整事项表!$D:$D,累计考核费用!V$3)+SUMIFS(考核调整事项表!$E:$E,考核调整事项表!$G:$G,累计考核费用!$B93,考核调整事项表!$F:$F,累计考核费用!V$3)</f>
        <v>0</v>
      </c>
      <c r="W93" s="35">
        <f t="shared" si="8"/>
        <v>0</v>
      </c>
      <c r="X93" s="35">
        <f>SUMIFS(考核调整事项表!$C:$C,考核调整事项表!$G:$G,累计考核费用!$B93,考核调整事项表!$D:$D,累计考核费用!X$3)+SUMIFS(考核调整事项表!$E:$E,考核调整事项表!$G:$G,累计考核费用!$B93,考核调整事项表!$F:$F,累计考核费用!X$3)</f>
        <v>0</v>
      </c>
      <c r="Y93" s="35">
        <f>SUMIFS(考核调整事项表!$C:$C,考核调整事项表!$G:$G,累计考核费用!$B93,考核调整事项表!$D:$D,累计考核费用!Y$3)+SUMIFS(考核调整事项表!$E:$E,考核调整事项表!$G:$G,累计考核费用!$B93,考核调整事项表!$F:$F,累计考核费用!Y$3)</f>
        <v>0</v>
      </c>
      <c r="Z93" s="35">
        <f>SUMIFS(考核调整事项表!$C:$C,考核调整事项表!$G:$G,累计考核费用!$B93,考核调整事项表!$D:$D,累计考核费用!Z$3)+SUMIFS(考核调整事项表!$E:$E,考核调整事项表!$G:$G,累计考核费用!$B93,考核调整事项表!$F:$F,累计考核费用!Z$3)</f>
        <v>0</v>
      </c>
      <c r="AA93" s="35">
        <f>SUMIFS(考核调整事项表!$C:$C,考核调整事项表!$G:$G,累计考核费用!$B93,考核调整事项表!$D:$D,累计考核费用!AA$3)+SUMIFS(考核调整事项表!$E:$E,考核调整事项表!$G:$G,累计考核费用!$B93,考核调整事项表!$F:$F,累计考核费用!AA$3)</f>
        <v>0</v>
      </c>
    </row>
    <row r="94" spans="1:27">
      <c r="A94" s="320"/>
      <c r="B94" s="174" t="s">
        <v>97</v>
      </c>
      <c r="C94" s="35">
        <f t="shared" si="1"/>
        <v>0</v>
      </c>
      <c r="D94" s="35">
        <f>SUMIFS(考核调整事项表!$C:$C,考核调整事项表!$G:$G,累计考核费用!$B94,考核调整事项表!$D:$D,累计考核费用!D$3)+SUMIFS(考核调整事项表!$E:$E,考核调整事项表!$G:$G,累计考核费用!$B94,考核调整事项表!$F:$F,累计考核费用!D$3)</f>
        <v>0</v>
      </c>
      <c r="E94" s="35">
        <f>SUMIFS(考核调整事项表!$C:$C,考核调整事项表!$G:$G,累计考核费用!$B94,考核调整事项表!$D:$D,累计考核费用!E$3)+SUMIFS(考核调整事项表!$E:$E,考核调整事项表!$G:$G,累计考核费用!$B94,考核调整事项表!$F:$F,累计考核费用!E$3)</f>
        <v>0</v>
      </c>
      <c r="F94" s="35">
        <f>SUMIFS(考核调整事项表!$C:$C,考核调整事项表!$G:$G,累计考核费用!$B94,考核调整事项表!$D:$D,累计考核费用!F$3)+SUMIFS(考核调整事项表!$E:$E,考核调整事项表!$G:$G,累计考核费用!$B94,考核调整事项表!$F:$F,累计考核费用!F$3)</f>
        <v>0</v>
      </c>
      <c r="G94" s="35">
        <f>SUMIFS(考核调整事项表!$C:$C,考核调整事项表!$G:$G,累计考核费用!$B94,考核调整事项表!$D:$D,累计考核费用!G$3)+SUMIFS(考核调整事项表!$E:$E,考核调整事项表!$G:$G,累计考核费用!$B94,考核调整事项表!$F:$F,累计考核费用!G$3)</f>
        <v>0</v>
      </c>
      <c r="H94" s="35">
        <f t="shared" si="12"/>
        <v>0</v>
      </c>
      <c r="I94" s="35">
        <f>SUMIFS(考核调整事项表!$C:$C,考核调整事项表!$G:$G,累计考核费用!$B94,考核调整事项表!$D:$D,累计考核费用!I$3)+SUMIFS(考核调整事项表!$E:$E,考核调整事项表!$G:$G,累计考核费用!$B94,考核调整事项表!$F:$F,累计考核费用!I$3)</f>
        <v>0</v>
      </c>
      <c r="J94" s="35">
        <f>SUMIFS(考核调整事项表!$C:$C,考核调整事项表!$G:$G,累计考核费用!$B94,考核调整事项表!$D:$D,累计考核费用!J$3)+SUMIFS(考核调整事项表!$E:$E,考核调整事项表!$G:$G,累计考核费用!$B94,考核调整事项表!$F:$F,累计考核费用!J$3)</f>
        <v>0</v>
      </c>
      <c r="K94" s="35">
        <f>SUMIFS(考核调整事项表!$C:$C,考核调整事项表!$G:$G,累计考核费用!$B94,考核调整事项表!$D:$D,累计考核费用!K$3)+SUMIFS(考核调整事项表!$E:$E,考核调整事项表!$G:$G,累计考核费用!$B94,考核调整事项表!$F:$F,累计考核费用!K$3)</f>
        <v>0</v>
      </c>
      <c r="L94" s="35">
        <f>SUMIFS(考核调整事项表!$C:$C,考核调整事项表!$G:$G,累计考核费用!$B94,考核调整事项表!$D:$D,累计考核费用!L$3)+SUMIFS(考核调整事项表!$E:$E,考核调整事项表!$G:$G,累计考核费用!$B94,考核调整事项表!$F:$F,累计考核费用!L$3)</f>
        <v>0</v>
      </c>
      <c r="M94" s="35">
        <f>SUMIFS(考核调整事项表!$C:$C,考核调整事项表!$G:$G,累计考核费用!$B94,考核调整事项表!$D:$D,累计考核费用!M$3)+SUMIFS(考核调整事项表!$E:$E,考核调整事项表!$G:$G,累计考核费用!$B94,考核调整事项表!$F:$F,累计考核费用!M$3)</f>
        <v>0</v>
      </c>
      <c r="N94" s="35">
        <f>SUMIFS(考核调整事项表!$C:$C,考核调整事项表!$G:$G,累计考核费用!$B94,考核调整事项表!$D:$D,累计考核费用!N$3)+SUMIFS(考核调整事项表!$E:$E,考核调整事项表!$G:$G,累计考核费用!$B94,考核调整事项表!$F:$F,累计考核费用!N$3)</f>
        <v>0</v>
      </c>
      <c r="O94" s="35">
        <f>SUMIFS(考核调整事项表!$C:$C,考核调整事项表!$G:$G,累计考核费用!$B94,考核调整事项表!$D:$D,累计考核费用!O$3)+SUMIFS(考核调整事项表!$E:$E,考核调整事项表!$G:$G,累计考核费用!$B94,考核调整事项表!$F:$F,累计考核费用!O$3)</f>
        <v>0</v>
      </c>
      <c r="P94" s="35">
        <f>SUMIFS(考核调整事项表!$C:$C,考核调整事项表!$G:$G,累计考核费用!$B94,考核调整事项表!$D:$D,累计考核费用!P$3)+SUMIFS(考核调整事项表!$E:$E,考核调整事项表!$G:$G,累计考核费用!$B94,考核调整事项表!$F:$F,累计考核费用!P$3)</f>
        <v>0</v>
      </c>
      <c r="Q94" s="35">
        <f>SUMIFS(考核调整事项表!$C:$C,考核调整事项表!$G:$G,累计考核费用!$B94,考核调整事项表!$D:$D,累计考核费用!Q$3)+SUMIFS(考核调整事项表!$E:$E,考核调整事项表!$G:$G,累计考核费用!$B94,考核调整事项表!$F:$F,累计考核费用!Q$3)</f>
        <v>0</v>
      </c>
      <c r="R94" s="41">
        <f t="shared" si="13"/>
        <v>0</v>
      </c>
      <c r="S94" s="35">
        <f>SUMIFS(考核调整事项表!$C:$C,考核调整事项表!$G:$G,累计考核费用!$B94,考核调整事项表!$D:$D,累计考核费用!S$3)+SUMIFS(考核调整事项表!$E:$E,考核调整事项表!$G:$G,累计考核费用!$B94,考核调整事项表!$F:$F,累计考核费用!S$3)</f>
        <v>0</v>
      </c>
      <c r="T94" s="35">
        <f>SUMIFS(考核调整事项表!$C:$C,考核调整事项表!$G:$G,累计考核费用!$B94,考核调整事项表!$D:$D,累计考核费用!T$3)+SUMIFS(考核调整事项表!$E:$E,考核调整事项表!$G:$G,累计考核费用!$B94,考核调整事项表!$F:$F,累计考核费用!T$3)</f>
        <v>0</v>
      </c>
      <c r="U94" s="35">
        <f>SUMIFS(考核调整事项表!$C:$C,考核调整事项表!$G:$G,累计考核费用!$B94,考核调整事项表!$D:$D,累计考核费用!U$3)+SUMIFS(考核调整事项表!$E:$E,考核调整事项表!$G:$G,累计考核费用!$B94,考核调整事项表!$F:$F,累计考核费用!U$3)</f>
        <v>0</v>
      </c>
      <c r="V94" s="35">
        <f>SUMIFS(考核调整事项表!$C:$C,考核调整事项表!$G:$G,累计考核费用!$B94,考核调整事项表!$D:$D,累计考核费用!V$3)+SUMIFS(考核调整事项表!$E:$E,考核调整事项表!$G:$G,累计考核费用!$B94,考核调整事项表!$F:$F,累计考核费用!V$3)</f>
        <v>0</v>
      </c>
      <c r="W94" s="35">
        <f t="shared" si="8"/>
        <v>0</v>
      </c>
      <c r="X94" s="35">
        <f>SUMIFS(考核调整事项表!$C:$C,考核调整事项表!$G:$G,累计考核费用!$B94,考核调整事项表!$D:$D,累计考核费用!X$3)+SUMIFS(考核调整事项表!$E:$E,考核调整事项表!$G:$G,累计考核费用!$B94,考核调整事项表!$F:$F,累计考核费用!X$3)</f>
        <v>0</v>
      </c>
      <c r="Y94" s="35">
        <f>SUMIFS(考核调整事项表!$C:$C,考核调整事项表!$G:$G,累计考核费用!$B94,考核调整事项表!$D:$D,累计考核费用!Y$3)+SUMIFS(考核调整事项表!$E:$E,考核调整事项表!$G:$G,累计考核费用!$B94,考核调整事项表!$F:$F,累计考核费用!Y$3)</f>
        <v>0</v>
      </c>
      <c r="Z94" s="35">
        <f>SUMIFS(考核调整事项表!$C:$C,考核调整事项表!$G:$G,累计考核费用!$B94,考核调整事项表!$D:$D,累计考核费用!Z$3)+SUMIFS(考核调整事项表!$E:$E,考核调整事项表!$G:$G,累计考核费用!$B94,考核调整事项表!$F:$F,累计考核费用!Z$3)</f>
        <v>0</v>
      </c>
      <c r="AA94" s="35">
        <f>SUMIFS(考核调整事项表!$C:$C,考核调整事项表!$G:$G,累计考核费用!$B94,考核调整事项表!$D:$D,累计考核费用!AA$3)+SUMIFS(考核调整事项表!$E:$E,考核调整事项表!$G:$G,累计考核费用!$B94,考核调整事项表!$F:$F,累计考核费用!AA$3)</f>
        <v>0</v>
      </c>
    </row>
    <row r="95" spans="1:27">
      <c r="A95" s="320"/>
      <c r="B95" s="174" t="s">
        <v>98</v>
      </c>
      <c r="C95" s="35">
        <f t="shared" si="1"/>
        <v>0</v>
      </c>
      <c r="D95" s="35">
        <f>SUMIFS(考核调整事项表!$C:$C,考核调整事项表!$G:$G,累计考核费用!$B95,考核调整事项表!$D:$D,累计考核费用!D$3)+SUMIFS(考核调整事项表!$E:$E,考核调整事项表!$G:$G,累计考核费用!$B95,考核调整事项表!$F:$F,累计考核费用!D$3)</f>
        <v>0</v>
      </c>
      <c r="E95" s="35">
        <f>SUMIFS(考核调整事项表!$C:$C,考核调整事项表!$G:$G,累计考核费用!$B95,考核调整事项表!$D:$D,累计考核费用!E$3)+SUMIFS(考核调整事项表!$E:$E,考核调整事项表!$G:$G,累计考核费用!$B95,考核调整事项表!$F:$F,累计考核费用!E$3)</f>
        <v>0</v>
      </c>
      <c r="F95" s="35">
        <f>SUMIFS(考核调整事项表!$C:$C,考核调整事项表!$G:$G,累计考核费用!$B95,考核调整事项表!$D:$D,累计考核费用!F$3)+SUMIFS(考核调整事项表!$E:$E,考核调整事项表!$G:$G,累计考核费用!$B95,考核调整事项表!$F:$F,累计考核费用!F$3)</f>
        <v>0</v>
      </c>
      <c r="G95" s="35">
        <f>SUMIFS(考核调整事项表!$C:$C,考核调整事项表!$G:$G,累计考核费用!$B95,考核调整事项表!$D:$D,累计考核费用!G$3)+SUMIFS(考核调整事项表!$E:$E,考核调整事项表!$G:$G,累计考核费用!$B95,考核调整事项表!$F:$F,累计考核费用!G$3)</f>
        <v>0</v>
      </c>
      <c r="H95" s="35">
        <f t="shared" ref="H95" si="17">SUM(I95:P95)</f>
        <v>0</v>
      </c>
      <c r="I95" s="35">
        <f>SUMIFS(考核调整事项表!$C:$C,考核调整事项表!$G:$G,累计考核费用!$B95,考核调整事项表!$D:$D,累计考核费用!I$3)+SUMIFS(考核调整事项表!$E:$E,考核调整事项表!$G:$G,累计考核费用!$B95,考核调整事项表!$F:$F,累计考核费用!I$3)</f>
        <v>0</v>
      </c>
      <c r="J95" s="35">
        <f>SUMIFS(考核调整事项表!$C:$C,考核调整事项表!$G:$G,累计考核费用!$B95,考核调整事项表!$D:$D,累计考核费用!J$3)+SUMIFS(考核调整事项表!$E:$E,考核调整事项表!$G:$G,累计考核费用!$B95,考核调整事项表!$F:$F,累计考核费用!J$3)</f>
        <v>0</v>
      </c>
      <c r="K95" s="35">
        <f>SUMIFS(考核调整事项表!$C:$C,考核调整事项表!$G:$G,累计考核费用!$B95,考核调整事项表!$D:$D,累计考核费用!K$3)+SUMIFS(考核调整事项表!$E:$E,考核调整事项表!$G:$G,累计考核费用!$B95,考核调整事项表!$F:$F,累计考核费用!K$3)</f>
        <v>0</v>
      </c>
      <c r="L95" s="35">
        <f>SUMIFS(考核调整事项表!$C:$C,考核调整事项表!$G:$G,累计考核费用!$B95,考核调整事项表!$D:$D,累计考核费用!L$3)+SUMIFS(考核调整事项表!$E:$E,考核调整事项表!$G:$G,累计考核费用!$B95,考核调整事项表!$F:$F,累计考核费用!L$3)</f>
        <v>0</v>
      </c>
      <c r="M95" s="35">
        <f>SUMIFS(考核调整事项表!$C:$C,考核调整事项表!$G:$G,累计考核费用!$B95,考核调整事项表!$D:$D,累计考核费用!M$3)+SUMIFS(考核调整事项表!$E:$E,考核调整事项表!$G:$G,累计考核费用!$B95,考核调整事项表!$F:$F,累计考核费用!M$3)</f>
        <v>0</v>
      </c>
      <c r="N95" s="35">
        <f>SUMIFS(考核调整事项表!$C:$C,考核调整事项表!$G:$G,累计考核费用!$B95,考核调整事项表!$D:$D,累计考核费用!N$3)+SUMIFS(考核调整事项表!$E:$E,考核调整事项表!$G:$G,累计考核费用!$B95,考核调整事项表!$F:$F,累计考核费用!N$3)</f>
        <v>0</v>
      </c>
      <c r="O95" s="35">
        <f>SUMIFS(考核调整事项表!$C:$C,考核调整事项表!$G:$G,累计考核费用!$B95,考核调整事项表!$D:$D,累计考核费用!O$3)+SUMIFS(考核调整事项表!$E:$E,考核调整事项表!$G:$G,累计考核费用!$B95,考核调整事项表!$F:$F,累计考核费用!O$3)</f>
        <v>0</v>
      </c>
      <c r="P95" s="35">
        <f>SUMIFS(考核调整事项表!$C:$C,考核调整事项表!$G:$G,累计考核费用!$B95,考核调整事项表!$D:$D,累计考核费用!P$3)+SUMIFS(考核调整事项表!$E:$E,考核调整事项表!$G:$G,累计考核费用!$B95,考核调整事项表!$F:$F,累计考核费用!P$3)</f>
        <v>0</v>
      </c>
      <c r="Q95" s="35">
        <f>SUMIFS(考核调整事项表!$C:$C,考核调整事项表!$G:$G,累计考核费用!$B95,考核调整事项表!$D:$D,累计考核费用!Q$3)+SUMIFS(考核调整事项表!$E:$E,考核调整事项表!$G:$G,累计考核费用!$B95,考核调整事项表!$F:$F,累计考核费用!Q$3)</f>
        <v>0</v>
      </c>
      <c r="R95" s="41">
        <f t="shared" ref="R95" si="18">SUM(S95:V95)</f>
        <v>0</v>
      </c>
      <c r="S95" s="35">
        <f>SUMIFS(考核调整事项表!$C:$C,考核调整事项表!$G:$G,累计考核费用!$B95,考核调整事项表!$D:$D,累计考核费用!S$3)+SUMIFS(考核调整事项表!$E:$E,考核调整事项表!$G:$G,累计考核费用!$B95,考核调整事项表!$F:$F,累计考核费用!S$3)</f>
        <v>0</v>
      </c>
      <c r="T95" s="35">
        <f>SUMIFS(考核调整事项表!$C:$C,考核调整事项表!$G:$G,累计考核费用!$B95,考核调整事项表!$D:$D,累计考核费用!T$3)+SUMIFS(考核调整事项表!$E:$E,考核调整事项表!$G:$G,累计考核费用!$B95,考核调整事项表!$F:$F,累计考核费用!T$3)</f>
        <v>0</v>
      </c>
      <c r="U95" s="35">
        <f>SUMIFS(考核调整事项表!$C:$C,考核调整事项表!$G:$G,累计考核费用!$B95,考核调整事项表!$D:$D,累计考核费用!U$3)+SUMIFS(考核调整事项表!$E:$E,考核调整事项表!$G:$G,累计考核费用!$B95,考核调整事项表!$F:$F,累计考核费用!U$3)</f>
        <v>0</v>
      </c>
      <c r="V95" s="35">
        <f>SUMIFS(考核调整事项表!$C:$C,考核调整事项表!$G:$G,累计考核费用!$B95,考核调整事项表!$D:$D,累计考核费用!V$3)+SUMIFS(考核调整事项表!$E:$E,考核调整事项表!$G:$G,累计考核费用!$B95,考核调整事项表!$F:$F,累计考核费用!V$3)</f>
        <v>0</v>
      </c>
      <c r="W95" s="35">
        <f t="shared" si="8"/>
        <v>0</v>
      </c>
      <c r="X95" s="35">
        <f>SUMIFS(考核调整事项表!$C:$C,考核调整事项表!$G:$G,累计考核费用!$B95,考核调整事项表!$D:$D,累计考核费用!X$3)+SUMIFS(考核调整事项表!$E:$E,考核调整事项表!$G:$G,累计考核费用!$B95,考核调整事项表!$F:$F,累计考核费用!X$3)</f>
        <v>0</v>
      </c>
      <c r="Y95" s="35">
        <f>SUMIFS(考核调整事项表!$C:$C,考核调整事项表!$G:$G,累计考核费用!$B95,考核调整事项表!$D:$D,累计考核费用!Y$3)+SUMIFS(考核调整事项表!$E:$E,考核调整事项表!$G:$G,累计考核费用!$B95,考核调整事项表!$F:$F,累计考核费用!Y$3)</f>
        <v>0</v>
      </c>
      <c r="Z95" s="35">
        <f>SUMIFS(考核调整事项表!$C:$C,考核调整事项表!$G:$G,累计考核费用!$B95,考核调整事项表!$D:$D,累计考核费用!Z$3)+SUMIFS(考核调整事项表!$E:$E,考核调整事项表!$G:$G,累计考核费用!$B95,考核调整事项表!$F:$F,累计考核费用!Z$3)</f>
        <v>0</v>
      </c>
      <c r="AA95" s="35">
        <f>SUMIFS(考核调整事项表!$C:$C,考核调整事项表!$G:$G,累计考核费用!$B95,考核调整事项表!$D:$D,累计考核费用!AA$3)+SUMIFS(考核调整事项表!$E:$E,考核调整事项表!$G:$G,累计考核费用!$B95,考核调整事项表!$F:$F,累计考核费用!AA$3)</f>
        <v>0</v>
      </c>
    </row>
    <row r="96" spans="1:27" ht="13.5" customHeight="1">
      <c r="A96" s="320"/>
      <c r="B96" s="174" t="s">
        <v>101</v>
      </c>
      <c r="C96" s="35">
        <f t="shared" si="1"/>
        <v>0</v>
      </c>
      <c r="D96" s="35">
        <f>SUMIFS(考核调整事项表!$C:$C,考核调整事项表!$G:$G,累计考核费用!$B96,考核调整事项表!$D:$D,累计考核费用!D$3)+SUMIFS(考核调整事项表!$E:$E,考核调整事项表!$G:$G,累计考核费用!$B96,考核调整事项表!$F:$F,累计考核费用!D$3)</f>
        <v>0</v>
      </c>
      <c r="E96" s="35">
        <f>SUMIFS(考核调整事项表!$C:$C,考核调整事项表!$G:$G,累计考核费用!$B96,考核调整事项表!$D:$D,累计考核费用!E$3)+SUMIFS(考核调整事项表!$E:$E,考核调整事项表!$G:$G,累计考核费用!$B96,考核调整事项表!$F:$F,累计考核费用!E$3)</f>
        <v>0</v>
      </c>
      <c r="F96" s="35">
        <f>SUMIFS(考核调整事项表!$C:$C,考核调整事项表!$G:$G,累计考核费用!$B96,考核调整事项表!$D:$D,累计考核费用!F$3)+SUMIFS(考核调整事项表!$E:$E,考核调整事项表!$G:$G,累计考核费用!$B96,考核调整事项表!$F:$F,累计考核费用!F$3)</f>
        <v>0</v>
      </c>
      <c r="G96" s="35">
        <f>SUMIFS(考核调整事项表!$C:$C,考核调整事项表!$G:$G,累计考核费用!$B96,考核调整事项表!$D:$D,累计考核费用!G$3)+SUMIFS(考核调整事项表!$E:$E,考核调整事项表!$G:$G,累计考核费用!$B96,考核调整事项表!$F:$F,累计考核费用!G$3)</f>
        <v>0</v>
      </c>
      <c r="H96" s="35">
        <f t="shared" si="12"/>
        <v>0</v>
      </c>
      <c r="I96" s="35">
        <f>SUMIFS(考核调整事项表!$C:$C,考核调整事项表!$G:$G,累计考核费用!$B96,考核调整事项表!$D:$D,累计考核费用!I$3)+SUMIFS(考核调整事项表!$E:$E,考核调整事项表!$G:$G,累计考核费用!$B96,考核调整事项表!$F:$F,累计考核费用!I$3)</f>
        <v>0</v>
      </c>
      <c r="J96" s="35">
        <f>SUMIFS(考核调整事项表!$C:$C,考核调整事项表!$G:$G,累计考核费用!$B96,考核调整事项表!$D:$D,累计考核费用!J$3)+SUMIFS(考核调整事项表!$E:$E,考核调整事项表!$G:$G,累计考核费用!$B96,考核调整事项表!$F:$F,累计考核费用!J$3)</f>
        <v>0</v>
      </c>
      <c r="K96" s="35">
        <f>SUMIFS(考核调整事项表!$C:$C,考核调整事项表!$G:$G,累计考核费用!$B96,考核调整事项表!$D:$D,累计考核费用!K$3)+SUMIFS(考核调整事项表!$E:$E,考核调整事项表!$G:$G,累计考核费用!$B96,考核调整事项表!$F:$F,累计考核费用!K$3)</f>
        <v>0</v>
      </c>
      <c r="L96" s="35">
        <f>SUMIFS(考核调整事项表!$C:$C,考核调整事项表!$G:$G,累计考核费用!$B96,考核调整事项表!$D:$D,累计考核费用!L$3)+SUMIFS(考核调整事项表!$E:$E,考核调整事项表!$G:$G,累计考核费用!$B96,考核调整事项表!$F:$F,累计考核费用!L$3)</f>
        <v>0</v>
      </c>
      <c r="M96" s="35">
        <f>SUMIFS(考核调整事项表!$C:$C,考核调整事项表!$G:$G,累计考核费用!$B96,考核调整事项表!$D:$D,累计考核费用!M$3)+SUMIFS(考核调整事项表!$E:$E,考核调整事项表!$G:$G,累计考核费用!$B96,考核调整事项表!$F:$F,累计考核费用!M$3)</f>
        <v>0</v>
      </c>
      <c r="N96" s="35">
        <f>SUMIFS(考核调整事项表!$C:$C,考核调整事项表!$G:$G,累计考核费用!$B96,考核调整事项表!$D:$D,累计考核费用!N$3)+SUMIFS(考核调整事项表!$E:$E,考核调整事项表!$G:$G,累计考核费用!$B96,考核调整事项表!$F:$F,累计考核费用!N$3)</f>
        <v>0</v>
      </c>
      <c r="O96" s="35">
        <f>SUMIFS(考核调整事项表!$C:$C,考核调整事项表!$G:$G,累计考核费用!$B96,考核调整事项表!$D:$D,累计考核费用!O$3)+SUMIFS(考核调整事项表!$E:$E,考核调整事项表!$G:$G,累计考核费用!$B96,考核调整事项表!$F:$F,累计考核费用!O$3)</f>
        <v>0</v>
      </c>
      <c r="P96" s="35">
        <f>SUMIFS(考核调整事项表!$C:$C,考核调整事项表!$G:$G,累计考核费用!$B96,考核调整事项表!$D:$D,累计考核费用!P$3)+SUMIFS(考核调整事项表!$E:$E,考核调整事项表!$G:$G,累计考核费用!$B96,考核调整事项表!$F:$F,累计考核费用!P$3)</f>
        <v>0</v>
      </c>
      <c r="Q96" s="35">
        <f>SUMIFS(考核调整事项表!$C:$C,考核调整事项表!$G:$G,累计考核费用!$B96,考核调整事项表!$D:$D,累计考核费用!Q$3)+SUMIFS(考核调整事项表!$E:$E,考核调整事项表!$G:$G,累计考核费用!$B96,考核调整事项表!$F:$F,累计考核费用!Q$3)</f>
        <v>0</v>
      </c>
      <c r="R96" s="41">
        <f t="shared" si="13"/>
        <v>0</v>
      </c>
      <c r="S96" s="35">
        <f>SUMIFS(考核调整事项表!$C:$C,考核调整事项表!$G:$G,累计考核费用!$B96,考核调整事项表!$D:$D,累计考核费用!S$3)+SUMIFS(考核调整事项表!$E:$E,考核调整事项表!$G:$G,累计考核费用!$B96,考核调整事项表!$F:$F,累计考核费用!S$3)</f>
        <v>0</v>
      </c>
      <c r="T96" s="35">
        <f>SUMIFS(考核调整事项表!$C:$C,考核调整事项表!$G:$G,累计考核费用!$B96,考核调整事项表!$D:$D,累计考核费用!T$3)+SUMIFS(考核调整事项表!$E:$E,考核调整事项表!$G:$G,累计考核费用!$B96,考核调整事项表!$F:$F,累计考核费用!T$3)</f>
        <v>0</v>
      </c>
      <c r="U96" s="35">
        <f>SUMIFS(考核调整事项表!$C:$C,考核调整事项表!$G:$G,累计考核费用!$B96,考核调整事项表!$D:$D,累计考核费用!U$3)+SUMIFS(考核调整事项表!$E:$E,考核调整事项表!$G:$G,累计考核费用!$B96,考核调整事项表!$F:$F,累计考核费用!U$3)</f>
        <v>0</v>
      </c>
      <c r="V96" s="35">
        <f>SUMIFS(考核调整事项表!$C:$C,考核调整事项表!$G:$G,累计考核费用!$B96,考核调整事项表!$D:$D,累计考核费用!V$3)+SUMIFS(考核调整事项表!$E:$E,考核调整事项表!$G:$G,累计考核费用!$B96,考核调整事项表!$F:$F,累计考核费用!V$3)</f>
        <v>0</v>
      </c>
      <c r="W96" s="35">
        <f t="shared" si="8"/>
        <v>0</v>
      </c>
      <c r="X96" s="35">
        <f>SUMIFS(考核调整事项表!$C:$C,考核调整事项表!$G:$G,累计考核费用!$B96,考核调整事项表!$D:$D,累计考核费用!X$3)+SUMIFS(考核调整事项表!$E:$E,考核调整事项表!$G:$G,累计考核费用!$B96,考核调整事项表!$F:$F,累计考核费用!X$3)</f>
        <v>0</v>
      </c>
      <c r="Y96" s="35">
        <f>SUMIFS(考核调整事项表!$C:$C,考核调整事项表!$G:$G,累计考核费用!$B96,考核调整事项表!$D:$D,累计考核费用!Y$3)+SUMIFS(考核调整事项表!$E:$E,考核调整事项表!$G:$G,累计考核费用!$B96,考核调整事项表!$F:$F,累计考核费用!Y$3)</f>
        <v>0</v>
      </c>
      <c r="Z96" s="35">
        <f>SUMIFS(考核调整事项表!$C:$C,考核调整事项表!$G:$G,累计考核费用!$B96,考核调整事项表!$D:$D,累计考核费用!Z$3)+SUMIFS(考核调整事项表!$E:$E,考核调整事项表!$G:$G,累计考核费用!$B96,考核调整事项表!$F:$F,累计考核费用!Z$3)</f>
        <v>0</v>
      </c>
      <c r="AA96" s="35">
        <f>SUMIFS(考核调整事项表!$C:$C,考核调整事项表!$G:$G,累计考核费用!$B96,考核调整事项表!$D:$D,累计考核费用!AA$3)+SUMIFS(考核调整事项表!$E:$E,考核调整事项表!$G:$G,累计考核费用!$B96,考核调整事项表!$F:$F,累计考核费用!AA$3)</f>
        <v>0</v>
      </c>
    </row>
    <row r="97" spans="1:27">
      <c r="A97" s="320"/>
      <c r="B97" s="174" t="s">
        <v>102</v>
      </c>
      <c r="C97" s="35">
        <f t="shared" si="1"/>
        <v>0</v>
      </c>
      <c r="D97" s="35">
        <f>SUMIFS(考核调整事项表!$C:$C,考核调整事项表!$G:$G,累计考核费用!$B97,考核调整事项表!$D:$D,累计考核费用!D$3)+SUMIFS(考核调整事项表!$E:$E,考核调整事项表!$G:$G,累计考核费用!$B97,考核调整事项表!$F:$F,累计考核费用!D$3)</f>
        <v>0</v>
      </c>
      <c r="E97" s="35">
        <f>SUMIFS(考核调整事项表!$C:$C,考核调整事项表!$G:$G,累计考核费用!$B97,考核调整事项表!$D:$D,累计考核费用!E$3)+SUMIFS(考核调整事项表!$E:$E,考核调整事项表!$G:$G,累计考核费用!$B97,考核调整事项表!$F:$F,累计考核费用!E$3)</f>
        <v>0</v>
      </c>
      <c r="F97" s="35">
        <f>SUMIFS(考核调整事项表!$C:$C,考核调整事项表!$G:$G,累计考核费用!$B97,考核调整事项表!$D:$D,累计考核费用!F$3)+SUMIFS(考核调整事项表!$E:$E,考核调整事项表!$G:$G,累计考核费用!$B97,考核调整事项表!$F:$F,累计考核费用!F$3)</f>
        <v>0</v>
      </c>
      <c r="G97" s="35">
        <f>SUMIFS(考核调整事项表!$C:$C,考核调整事项表!$G:$G,累计考核费用!$B97,考核调整事项表!$D:$D,累计考核费用!G$3)+SUMIFS(考核调整事项表!$E:$E,考核调整事项表!$G:$G,累计考核费用!$B97,考核调整事项表!$F:$F,累计考核费用!G$3)</f>
        <v>0</v>
      </c>
      <c r="H97" s="35">
        <f t="shared" si="12"/>
        <v>0</v>
      </c>
      <c r="I97" s="35">
        <f>SUMIFS(考核调整事项表!$C:$C,考核调整事项表!$G:$G,累计考核费用!$B97,考核调整事项表!$D:$D,累计考核费用!I$3)+SUMIFS(考核调整事项表!$E:$E,考核调整事项表!$G:$G,累计考核费用!$B97,考核调整事项表!$F:$F,累计考核费用!I$3)</f>
        <v>0</v>
      </c>
      <c r="J97" s="35">
        <f>SUMIFS(考核调整事项表!$C:$C,考核调整事项表!$G:$G,累计考核费用!$B97,考核调整事项表!$D:$D,累计考核费用!J$3)+SUMIFS(考核调整事项表!$E:$E,考核调整事项表!$G:$G,累计考核费用!$B97,考核调整事项表!$F:$F,累计考核费用!J$3)</f>
        <v>0</v>
      </c>
      <c r="K97" s="35">
        <f>SUMIFS(考核调整事项表!$C:$C,考核调整事项表!$G:$G,累计考核费用!$B97,考核调整事项表!$D:$D,累计考核费用!K$3)+SUMIFS(考核调整事项表!$E:$E,考核调整事项表!$G:$G,累计考核费用!$B97,考核调整事项表!$F:$F,累计考核费用!K$3)</f>
        <v>0</v>
      </c>
      <c r="L97" s="35">
        <f>SUMIFS(考核调整事项表!$C:$C,考核调整事项表!$G:$G,累计考核费用!$B97,考核调整事项表!$D:$D,累计考核费用!L$3)+SUMIFS(考核调整事项表!$E:$E,考核调整事项表!$G:$G,累计考核费用!$B97,考核调整事项表!$F:$F,累计考核费用!L$3)</f>
        <v>0</v>
      </c>
      <c r="M97" s="35">
        <f>SUMIFS(考核调整事项表!$C:$C,考核调整事项表!$G:$G,累计考核费用!$B97,考核调整事项表!$D:$D,累计考核费用!M$3)+SUMIFS(考核调整事项表!$E:$E,考核调整事项表!$G:$G,累计考核费用!$B97,考核调整事项表!$F:$F,累计考核费用!M$3)</f>
        <v>0</v>
      </c>
      <c r="N97" s="35">
        <f>SUMIFS(考核调整事项表!$C:$C,考核调整事项表!$G:$G,累计考核费用!$B97,考核调整事项表!$D:$D,累计考核费用!N$3)+SUMIFS(考核调整事项表!$E:$E,考核调整事项表!$G:$G,累计考核费用!$B97,考核调整事项表!$F:$F,累计考核费用!N$3)</f>
        <v>0</v>
      </c>
      <c r="O97" s="35">
        <f>SUMIFS(考核调整事项表!$C:$C,考核调整事项表!$G:$G,累计考核费用!$B97,考核调整事项表!$D:$D,累计考核费用!O$3)+SUMIFS(考核调整事项表!$E:$E,考核调整事项表!$G:$G,累计考核费用!$B97,考核调整事项表!$F:$F,累计考核费用!O$3)</f>
        <v>0</v>
      </c>
      <c r="P97" s="35">
        <f>SUMIFS(考核调整事项表!$C:$C,考核调整事项表!$G:$G,累计考核费用!$B97,考核调整事项表!$D:$D,累计考核费用!P$3)+SUMIFS(考核调整事项表!$E:$E,考核调整事项表!$G:$G,累计考核费用!$B97,考核调整事项表!$F:$F,累计考核费用!P$3)</f>
        <v>0</v>
      </c>
      <c r="Q97" s="35">
        <f>SUMIFS(考核调整事项表!$C:$C,考核调整事项表!$G:$G,累计考核费用!$B97,考核调整事项表!$D:$D,累计考核费用!Q$3)+SUMIFS(考核调整事项表!$E:$E,考核调整事项表!$G:$G,累计考核费用!$B97,考核调整事项表!$F:$F,累计考核费用!Q$3)</f>
        <v>0</v>
      </c>
      <c r="R97" s="41">
        <f t="shared" si="13"/>
        <v>0</v>
      </c>
      <c r="S97" s="35">
        <f>SUMIFS(考核调整事项表!$C:$C,考核调整事项表!$G:$G,累计考核费用!$B97,考核调整事项表!$D:$D,累计考核费用!S$3)+SUMIFS(考核调整事项表!$E:$E,考核调整事项表!$G:$G,累计考核费用!$B97,考核调整事项表!$F:$F,累计考核费用!S$3)</f>
        <v>0</v>
      </c>
      <c r="T97" s="35">
        <f>SUMIFS(考核调整事项表!$C:$C,考核调整事项表!$G:$G,累计考核费用!$B97,考核调整事项表!$D:$D,累计考核费用!T$3)+SUMIFS(考核调整事项表!$E:$E,考核调整事项表!$G:$G,累计考核费用!$B97,考核调整事项表!$F:$F,累计考核费用!T$3)</f>
        <v>0</v>
      </c>
      <c r="U97" s="35">
        <f>SUMIFS(考核调整事项表!$C:$C,考核调整事项表!$G:$G,累计考核费用!$B97,考核调整事项表!$D:$D,累计考核费用!U$3)+SUMIFS(考核调整事项表!$E:$E,考核调整事项表!$G:$G,累计考核费用!$B97,考核调整事项表!$F:$F,累计考核费用!U$3)</f>
        <v>0</v>
      </c>
      <c r="V97" s="35">
        <f>SUMIFS(考核调整事项表!$C:$C,考核调整事项表!$G:$G,累计考核费用!$B97,考核调整事项表!$D:$D,累计考核费用!V$3)+SUMIFS(考核调整事项表!$E:$E,考核调整事项表!$G:$G,累计考核费用!$B97,考核调整事项表!$F:$F,累计考核费用!V$3)</f>
        <v>0</v>
      </c>
      <c r="W97" s="35">
        <f t="shared" si="8"/>
        <v>0</v>
      </c>
      <c r="X97" s="35">
        <f>SUMIFS(考核调整事项表!$C:$C,考核调整事项表!$G:$G,累计考核费用!$B97,考核调整事项表!$D:$D,累计考核费用!X$3)+SUMIFS(考核调整事项表!$E:$E,考核调整事项表!$G:$G,累计考核费用!$B97,考核调整事项表!$F:$F,累计考核费用!X$3)</f>
        <v>0</v>
      </c>
      <c r="Y97" s="35">
        <f>SUMIFS(考核调整事项表!$C:$C,考核调整事项表!$G:$G,累计考核费用!$B97,考核调整事项表!$D:$D,累计考核费用!Y$3)+SUMIFS(考核调整事项表!$E:$E,考核调整事项表!$G:$G,累计考核费用!$B97,考核调整事项表!$F:$F,累计考核费用!Y$3)</f>
        <v>0</v>
      </c>
      <c r="Z97" s="35">
        <f>SUMIFS(考核调整事项表!$C:$C,考核调整事项表!$G:$G,累计考核费用!$B97,考核调整事项表!$D:$D,累计考核费用!Z$3)+SUMIFS(考核调整事项表!$E:$E,考核调整事项表!$G:$G,累计考核费用!$B97,考核调整事项表!$F:$F,累计考核费用!Z$3)</f>
        <v>0</v>
      </c>
      <c r="AA97" s="35">
        <f>SUMIFS(考核调整事项表!$C:$C,考核调整事项表!$G:$G,累计考核费用!$B97,考核调整事项表!$D:$D,累计考核费用!AA$3)+SUMIFS(考核调整事项表!$E:$E,考核调整事项表!$G:$G,累计考核费用!$B97,考核调整事项表!$F:$F,累计考核费用!AA$3)</f>
        <v>0</v>
      </c>
    </row>
    <row r="98" spans="1:27">
      <c r="A98" s="320"/>
      <c r="B98" s="174" t="s">
        <v>103</v>
      </c>
      <c r="C98" s="35">
        <f t="shared" si="1"/>
        <v>0</v>
      </c>
      <c r="D98" s="35">
        <f>SUMIFS(考核调整事项表!$C:$C,考核调整事项表!$G:$G,累计考核费用!$B98,考核调整事项表!$D:$D,累计考核费用!D$3)+SUMIFS(考核调整事项表!$E:$E,考核调整事项表!$G:$G,累计考核费用!$B98,考核调整事项表!$F:$F,累计考核费用!D$3)</f>
        <v>346910.24</v>
      </c>
      <c r="E98" s="35">
        <f>SUMIFS(考核调整事项表!$C:$C,考核调整事项表!$G:$G,累计考核费用!$B98,考核调整事项表!$D:$D,累计考核费用!E$3)+SUMIFS(考核调整事项表!$E:$E,考核调整事项表!$G:$G,累计考核费用!$B98,考核调整事项表!$F:$F,累计考核费用!E$3)</f>
        <v>0</v>
      </c>
      <c r="F98" s="35">
        <f>SUMIFS(考核调整事项表!$C:$C,考核调整事项表!$G:$G,累计考核费用!$B98,考核调整事项表!$D:$D,累计考核费用!F$3)+SUMIFS(考核调整事项表!$E:$E,考核调整事项表!$G:$G,累计考核费用!$B98,考核调整事项表!$F:$F,累计考核费用!F$3)</f>
        <v>576011.85</v>
      </c>
      <c r="G98" s="35">
        <f>SUMIFS(考核调整事项表!$C:$C,考核调整事项表!$G:$G,累计考核费用!$B98,考核调整事项表!$D:$D,累计考核费用!G$3)+SUMIFS(考核调整事项表!$E:$E,考核调整事项表!$G:$G,累计考核费用!$B98,考核调整事项表!$F:$F,累计考核费用!G$3)</f>
        <v>0</v>
      </c>
      <c r="H98" s="35">
        <f t="shared" si="12"/>
        <v>-1175100.01</v>
      </c>
      <c r="I98" s="35">
        <f>SUMIFS(考核调整事项表!$C:$C,考核调整事项表!$G:$G,累计考核费用!$B98,考核调整事项表!$D:$D,累计考核费用!I$3)+SUMIFS(考核调整事项表!$E:$E,考核调整事项表!$G:$G,累计考核费用!$B98,考核调整事项表!$F:$F,累计考核费用!I$3)</f>
        <v>0</v>
      </c>
      <c r="J98" s="35">
        <f>SUMIFS(考核调整事项表!$C:$C,考核调整事项表!$G:$G,累计考核费用!$B98,考核调整事项表!$D:$D,累计考核费用!J$3)+SUMIFS(考核调整事项表!$E:$E,考核调整事项表!$G:$G,累计考核费用!$B98,考核调整事项表!$F:$F,累计考核费用!J$3)</f>
        <v>0</v>
      </c>
      <c r="K98" s="35">
        <f>SUMIFS(考核调整事项表!$C:$C,考核调整事项表!$G:$G,累计考核费用!$B98,考核调整事项表!$D:$D,累计考核费用!K$3)+SUMIFS(考核调整事项表!$E:$E,考核调整事项表!$G:$G,累计考核费用!$B98,考核调整事项表!$F:$F,累计考核费用!K$3)</f>
        <v>0</v>
      </c>
      <c r="L98" s="35">
        <f>SUMIFS(考核调整事项表!$C:$C,考核调整事项表!$G:$G,累计考核费用!$B98,考核调整事项表!$D:$D,累计考核费用!L$3)+SUMIFS(考核调整事项表!$E:$E,考核调整事项表!$G:$G,累计考核费用!$B98,考核调整事项表!$F:$F,累计考核费用!L$3)</f>
        <v>0</v>
      </c>
      <c r="M98" s="35">
        <f>SUMIFS(考核调整事项表!$C:$C,考核调整事项表!$G:$G,累计考核费用!$B98,考核调整事项表!$D:$D,累计考核费用!M$3)+SUMIFS(考核调整事项表!$E:$E,考核调整事项表!$G:$G,累计考核费用!$B98,考核调整事项表!$F:$F,累计考核费用!M$3)</f>
        <v>0</v>
      </c>
      <c r="N98" s="35">
        <f>SUMIFS(考核调整事项表!$C:$C,考核调整事项表!$G:$G,累计考核费用!$B98,考核调整事项表!$D:$D,累计考核费用!N$3)+SUMIFS(考核调整事项表!$E:$E,考核调整事项表!$G:$G,累计考核费用!$B98,考核调整事项表!$F:$F,累计考核费用!N$3)</f>
        <v>0</v>
      </c>
      <c r="O98" s="35">
        <f>SUMIFS(考核调整事项表!$C:$C,考核调整事项表!$G:$G,累计考核费用!$B98,考核调整事项表!$D:$D,累计考核费用!O$3)+SUMIFS(考核调整事项表!$E:$E,考核调整事项表!$G:$G,累计考核费用!$B98,考核调整事项表!$F:$F,累计考核费用!O$3)</f>
        <v>-1175100.01</v>
      </c>
      <c r="P98" s="35">
        <f>SUMIFS(考核调整事项表!$C:$C,考核调整事项表!$G:$G,累计考核费用!$B98,考核调整事项表!$D:$D,累计考核费用!P$3)+SUMIFS(考核调整事项表!$E:$E,考核调整事项表!$G:$G,累计考核费用!$B98,考核调整事项表!$F:$F,累计考核费用!P$3)</f>
        <v>0</v>
      </c>
      <c r="Q98" s="35">
        <f>SUMIFS(考核调整事项表!$C:$C,考核调整事项表!$G:$G,累计考核费用!$B98,考核调整事项表!$D:$D,累计考核费用!Q$3)+SUMIFS(考核调整事项表!$E:$E,考核调整事项表!$G:$G,累计考核费用!$B98,考核调整事项表!$F:$F,累计考核费用!Q$3)</f>
        <v>0</v>
      </c>
      <c r="R98" s="41">
        <f t="shared" si="13"/>
        <v>0</v>
      </c>
      <c r="S98" s="35">
        <f>SUMIFS(考核调整事项表!$C:$C,考核调整事项表!$G:$G,累计考核费用!$B98,考核调整事项表!$D:$D,累计考核费用!S$3)+SUMIFS(考核调整事项表!$E:$E,考核调整事项表!$G:$G,累计考核费用!$B98,考核调整事项表!$F:$F,累计考核费用!S$3)</f>
        <v>0</v>
      </c>
      <c r="T98" s="35">
        <f>SUMIFS(考核调整事项表!$C:$C,考核调整事项表!$G:$G,累计考核费用!$B98,考核调整事项表!$D:$D,累计考核费用!T$3)+SUMIFS(考核调整事项表!$E:$E,考核调整事项表!$G:$G,累计考核费用!$B98,考核调整事项表!$F:$F,累计考核费用!T$3)</f>
        <v>0</v>
      </c>
      <c r="U98" s="35">
        <f>SUMIFS(考核调整事项表!$C:$C,考核调整事项表!$G:$G,累计考核费用!$B98,考核调整事项表!$D:$D,累计考核费用!U$3)+SUMIFS(考核调整事项表!$E:$E,考核调整事项表!$G:$G,累计考核费用!$B98,考核调整事项表!$F:$F,累计考核费用!U$3)</f>
        <v>0</v>
      </c>
      <c r="V98" s="35">
        <f>SUMIFS(考核调整事项表!$C:$C,考核调整事项表!$G:$G,累计考核费用!$B98,考核调整事项表!$D:$D,累计考核费用!V$3)+SUMIFS(考核调整事项表!$E:$E,考核调整事项表!$G:$G,累计考核费用!$B98,考核调整事项表!$F:$F,累计考核费用!V$3)</f>
        <v>0</v>
      </c>
      <c r="W98" s="35">
        <f t="shared" si="8"/>
        <v>0</v>
      </c>
      <c r="X98" s="35">
        <f>SUMIFS(考核调整事项表!$C:$C,考核调整事项表!$G:$G,累计考核费用!$B98,考核调整事项表!$D:$D,累计考核费用!X$3)+SUMIFS(考核调整事项表!$E:$E,考核调整事项表!$G:$G,累计考核费用!$B98,考核调整事项表!$F:$F,累计考核费用!X$3)</f>
        <v>0</v>
      </c>
      <c r="Y98" s="35">
        <f>SUMIFS(考核调整事项表!$C:$C,考核调整事项表!$G:$G,累计考核费用!$B98,考核调整事项表!$D:$D,累计考核费用!Y$3)+SUMIFS(考核调整事项表!$E:$E,考核调整事项表!$G:$G,累计考核费用!$B98,考核调整事项表!$F:$F,累计考核费用!Y$3)</f>
        <v>0</v>
      </c>
      <c r="Z98" s="35">
        <f>SUMIFS(考核调整事项表!$C:$C,考核调整事项表!$G:$G,累计考核费用!$B98,考核调整事项表!$D:$D,累计考核费用!Z$3)+SUMIFS(考核调整事项表!$E:$E,考核调整事项表!$G:$G,累计考核费用!$B98,考核调整事项表!$F:$F,累计考核费用!Z$3)</f>
        <v>100000</v>
      </c>
      <c r="AA98" s="35">
        <f>SUMIFS(考核调整事项表!$C:$C,考核调整事项表!$G:$G,累计考核费用!$B98,考核调整事项表!$D:$D,累计考核费用!AA$3)+SUMIFS(考核调整事项表!$E:$E,考核调整事项表!$G:$G,累计考核费用!$B98,考核调整事项表!$F:$F,累计考核费用!AA$3)</f>
        <v>152177.92000000001</v>
      </c>
    </row>
    <row r="99" spans="1:27">
      <c r="A99" s="320"/>
      <c r="B99" s="174" t="s">
        <v>104</v>
      </c>
      <c r="C99" s="35">
        <f t="shared" si="1"/>
        <v>6.5483618527650833E-11</v>
      </c>
      <c r="D99" s="35">
        <f>SUMIFS(考核调整事项表!$C:$C,考核调整事项表!$G:$G,累计考核费用!$B99,考核调整事项表!$D:$D,累计考核费用!D$3)+SUMIFS(考核调整事项表!$E:$E,考核调整事项表!$G:$G,累计考核费用!$B99,考核调整事项表!$F:$F,累计考核费用!D$3)</f>
        <v>-10802541</v>
      </c>
      <c r="E99" s="35">
        <f>SUMIFS(考核调整事项表!$C:$C,考核调整事项表!$G:$G,累计考核费用!$B99,考核调整事项表!$D:$D,累计考核费用!E$3)+SUMIFS(考核调整事项表!$E:$E,考核调整事项表!$G:$G,累计考核费用!$B99,考核调整事项表!$F:$F,累计考核费用!E$3)</f>
        <v>0</v>
      </c>
      <c r="F99" s="35">
        <f>SUMIFS(考核调整事项表!$C:$C,考核调整事项表!$G:$G,累计考核费用!$B99,考核调整事项表!$D:$D,累计考核费用!F$3)+SUMIFS(考核调整事项表!$E:$E,考核调整事项表!$G:$G,累计考核费用!$B99,考核调整事项表!$F:$F,累计考核费用!F$3)</f>
        <v>10000000</v>
      </c>
      <c r="G99" s="35">
        <f>SUMIFS(考核调整事项表!$C:$C,考核调整事项表!$G:$G,累计考核费用!$B99,考核调整事项表!$D:$D,累计考核费用!G$3)+SUMIFS(考核调整事项表!$E:$E,考核调整事项表!$G:$G,累计考核费用!$B99,考核调整事项表!$F:$F,累计考核费用!G$3)</f>
        <v>807822.17</v>
      </c>
      <c r="H99" s="35">
        <f t="shared" ref="H99" si="19">SUM(I99:P99)</f>
        <v>-5281.1699999999764</v>
      </c>
      <c r="I99" s="35">
        <f>SUMIFS(考核调整事项表!$C:$C,考核调整事项表!$G:$G,累计考核费用!$B99,考核调整事项表!$D:$D,累计考核费用!I$3)+SUMIFS(考核调整事项表!$E:$E,考核调整事项表!$G:$G,累计考核费用!$B99,考核调整事项表!$F:$F,累计考核费用!I$3)</f>
        <v>93968.53</v>
      </c>
      <c r="J99" s="35">
        <f>SUMIFS(考核调整事项表!$C:$C,考核调整事项表!$G:$G,累计考核费用!$B99,考核调整事项表!$D:$D,累计考核费用!J$3)+SUMIFS(考核调整事项表!$E:$E,考核调整事项表!$G:$G,累计考核费用!$B99,考核调整事项表!$F:$F,累计考核费用!J$3)</f>
        <v>0</v>
      </c>
      <c r="K99" s="35">
        <f>SUMIFS(考核调整事项表!$C:$C,考核调整事项表!$G:$G,累计考核费用!$B99,考核调整事项表!$D:$D,累计考核费用!K$3)+SUMIFS(考核调整事项表!$E:$E,考核调整事项表!$G:$G,累计考核费用!$B99,考核调整事项表!$F:$F,累计考核费用!K$3)</f>
        <v>72937.55</v>
      </c>
      <c r="L99" s="35">
        <f>SUMIFS(考核调整事项表!$C:$C,考核调整事项表!$G:$G,累计考核费用!$B99,考核调整事项表!$D:$D,累计考核费用!L$3)+SUMIFS(考核调整事项表!$E:$E,考核调整事项表!$G:$G,累计考核费用!$B99,考核调整事项表!$F:$F,累计考核费用!L$3)</f>
        <v>0</v>
      </c>
      <c r="M99" s="35">
        <f>SUMIFS(考核调整事项表!$C:$C,考核调整事项表!$G:$G,累计考核费用!$B99,考核调整事项表!$D:$D,累计考核费用!M$3)+SUMIFS(考核调整事项表!$E:$E,考核调整事项表!$G:$G,累计考核费用!$B99,考核调整事项表!$F:$F,累计考核费用!M$3)</f>
        <v>27082.9</v>
      </c>
      <c r="N99" s="35">
        <f>SUMIFS(考核调整事项表!$C:$C,考核调整事项表!$G:$G,累计考核费用!$B99,考核调整事项表!$D:$D,累计考核费用!N$3)+SUMIFS(考核调整事项表!$E:$E,考核调整事项表!$G:$G,累计考核费用!$B99,考核调整事项表!$F:$F,累计考核费用!N$3)</f>
        <v>0</v>
      </c>
      <c r="O99" s="35">
        <f>SUMIFS(考核调整事项表!$C:$C,考核调整事项表!$G:$G,累计考核费用!$B99,考核调整事项表!$D:$D,累计考核费用!O$3)+SUMIFS(考核调整事项表!$E:$E,考核调整事项表!$G:$G,累计考核费用!$B99,考核调整事项表!$F:$F,累计考核费用!O$3)</f>
        <v>-249088.63999999998</v>
      </c>
      <c r="P99" s="35">
        <f>SUMIFS(考核调整事项表!$C:$C,考核调整事项表!$G:$G,累计考核费用!$B99,考核调整事项表!$D:$D,累计考核费用!P$3)+SUMIFS(考核调整事项表!$E:$E,考核调整事项表!$G:$G,累计考核费用!$B99,考核调整事项表!$F:$F,累计考核费用!P$3)</f>
        <v>49818.49</v>
      </c>
      <c r="Q99" s="35">
        <f>SUMIFS(考核调整事项表!$C:$C,考核调整事项表!$G:$G,累计考核费用!$B99,考核调整事项表!$D:$D,累计考核费用!Q$3)+SUMIFS(考核调整事项表!$E:$E,考核调整事项表!$G:$G,累计考核费用!$B99,考核调整事项表!$F:$F,累计考核费用!Q$3)</f>
        <v>0</v>
      </c>
      <c r="R99" s="41">
        <f t="shared" ref="R99" si="20">SUM(S99:V99)</f>
        <v>0</v>
      </c>
      <c r="S99" s="35">
        <f>SUMIFS(考核调整事项表!$C:$C,考核调整事项表!$G:$G,累计考核费用!$B99,考核调整事项表!$D:$D,累计考核费用!S$3)+SUMIFS(考核调整事项表!$E:$E,考核调整事项表!$G:$G,累计考核费用!$B99,考核调整事项表!$F:$F,累计考核费用!S$3)</f>
        <v>0</v>
      </c>
      <c r="T99" s="35">
        <f>SUMIFS(考核调整事项表!$C:$C,考核调整事项表!$G:$G,累计考核费用!$B99,考核调整事项表!$D:$D,累计考核费用!T$3)+SUMIFS(考核调整事项表!$E:$E,考核调整事项表!$G:$G,累计考核费用!$B99,考核调整事项表!$F:$F,累计考核费用!T$3)</f>
        <v>0</v>
      </c>
      <c r="U99" s="35">
        <f>SUMIFS(考核调整事项表!$C:$C,考核调整事项表!$G:$G,累计考核费用!$B99,考核调整事项表!$D:$D,累计考核费用!U$3)+SUMIFS(考核调整事项表!$E:$E,考核调整事项表!$G:$G,累计考核费用!$B99,考核调整事项表!$F:$F,累计考核费用!U$3)</f>
        <v>0</v>
      </c>
      <c r="V99" s="35">
        <f>SUMIFS(考核调整事项表!$C:$C,考核调整事项表!$G:$G,累计考核费用!$B99,考核调整事项表!$D:$D,累计考核费用!V$3)+SUMIFS(考核调整事项表!$E:$E,考核调整事项表!$G:$G,累计考核费用!$B99,考核调整事项表!$F:$F,累计考核费用!V$3)</f>
        <v>0</v>
      </c>
      <c r="W99" s="35">
        <f t="shared" si="8"/>
        <v>0</v>
      </c>
      <c r="X99" s="35">
        <f>SUMIFS(考核调整事项表!$C:$C,考核调整事项表!$G:$G,累计考核费用!$B99,考核调整事项表!$D:$D,累计考核费用!X$3)+SUMIFS(考核调整事项表!$E:$E,考核调整事项表!$G:$G,累计考核费用!$B99,考核调整事项表!$F:$F,累计考核费用!X$3)</f>
        <v>0</v>
      </c>
      <c r="Y99" s="35">
        <f>SUMIFS(考核调整事项表!$C:$C,考核调整事项表!$G:$G,累计考核费用!$B99,考核调整事项表!$D:$D,累计考核费用!Y$3)+SUMIFS(考核调整事项表!$E:$E,考核调整事项表!$G:$G,累计考核费用!$B99,考核调整事项表!$F:$F,累计考核费用!Y$3)</f>
        <v>0</v>
      </c>
      <c r="Z99" s="35">
        <f>SUMIFS(考核调整事项表!$C:$C,考核调整事项表!$G:$G,累计考核费用!$B99,考核调整事项表!$D:$D,累计考核费用!Z$3)+SUMIFS(考核调整事项表!$E:$E,考核调整事项表!$G:$G,累计考核费用!$B99,考核调整事项表!$F:$F,累计考核费用!Z$3)</f>
        <v>0</v>
      </c>
      <c r="AA99" s="35">
        <f>SUMIFS(考核调整事项表!$C:$C,考核调整事项表!$G:$G,累计考核费用!$B99,考核调整事项表!$D:$D,累计考核费用!AA$3)+SUMIFS(考核调整事项表!$E:$E,考核调整事项表!$G:$G,累计考核费用!$B99,考核调整事项表!$F:$F,累计考核费用!AA$3)</f>
        <v>0</v>
      </c>
    </row>
    <row r="100" spans="1:27">
      <c r="A100" s="320"/>
      <c r="B100" s="174" t="s">
        <v>105</v>
      </c>
      <c r="C100" s="35">
        <f t="shared" si="1"/>
        <v>0</v>
      </c>
      <c r="D100" s="35">
        <f>SUMIFS(考核调整事项表!$C:$C,考核调整事项表!$G:$G,累计考核费用!$B100,考核调整事项表!$D:$D,累计考核费用!D$3)+SUMIFS(考核调整事项表!$E:$E,考核调整事项表!$G:$G,累计考核费用!$B100,考核调整事项表!$F:$F,累计考核费用!D$3)</f>
        <v>-1770346</v>
      </c>
      <c r="E100" s="35">
        <f>SUMIFS(考核调整事项表!$C:$C,考核调整事项表!$G:$G,累计考核费用!$B100,考核调整事项表!$D:$D,累计考核费用!E$3)+SUMIFS(考核调整事项表!$E:$E,考核调整事项表!$G:$G,累计考核费用!$B100,考核调整事项表!$F:$F,累计考核费用!E$3)</f>
        <v>0</v>
      </c>
      <c r="F100" s="35">
        <f>SUMIFS(考核调整事项表!$C:$C,考核调整事项表!$G:$G,累计考核费用!$B100,考核调整事项表!$D:$D,累计考核费用!F$3)+SUMIFS(考核调整事项表!$E:$E,考核调整事项表!$G:$G,累计考核费用!$B100,考核调整事项表!$F:$F,累计考核费用!F$3)</f>
        <v>0</v>
      </c>
      <c r="G100" s="35">
        <f>SUMIFS(考核调整事项表!$C:$C,考核调整事项表!$G:$G,累计考核费用!$B100,考核调整事项表!$D:$D,累计考核费用!G$3)+SUMIFS(考核调整事项表!$E:$E,考核调整事项表!$G:$G,累计考核费用!$B100,考核调整事项表!$F:$F,累计考核费用!G$3)</f>
        <v>0</v>
      </c>
      <c r="H100" s="35">
        <f t="shared" si="12"/>
        <v>1770346</v>
      </c>
      <c r="I100" s="35">
        <f>SUMIFS(考核调整事项表!$C:$C,考核调整事项表!$G:$G,累计考核费用!$B100,考核调整事项表!$D:$D,累计考核费用!I$3)+SUMIFS(考核调整事项表!$E:$E,考核调整事项表!$G:$G,累计考核费用!$B100,考核调整事项表!$F:$F,累计考核费用!I$3)</f>
        <v>406674</v>
      </c>
      <c r="J100" s="35">
        <f>SUMIFS(考核调整事项表!$C:$C,考核调整事项表!$G:$G,累计考核费用!$B100,考核调整事项表!$D:$D,累计考核费用!J$3)+SUMIFS(考核调整事项表!$E:$E,考核调整事项表!$G:$G,累计考核费用!$B100,考核调整事项表!$F:$F,累计考核费用!J$3)</f>
        <v>254613</v>
      </c>
      <c r="K100" s="35">
        <f>SUMIFS(考核调整事项表!$C:$C,考核调整事项表!$G:$G,累计考核费用!$B100,考核调整事项表!$D:$D,累计考核费用!K$3)+SUMIFS(考核调整事项表!$E:$E,考核调整事项表!$G:$G,累计考核费用!$B100,考核调整事项表!$F:$F,累计考核费用!K$3)</f>
        <v>378069</v>
      </c>
      <c r="L100" s="35">
        <f>SUMIFS(考核调整事项表!$C:$C,考核调整事项表!$G:$G,累计考核费用!$B100,考核调整事项表!$D:$D,累计考核费用!L$3)+SUMIFS(考核调整事项表!$E:$E,考核调整事项表!$G:$G,累计考核费用!$B100,考核调整事项表!$F:$F,累计考核费用!L$3)</f>
        <v>0</v>
      </c>
      <c r="M100" s="35">
        <f>SUMIFS(考核调整事项表!$C:$C,考核调整事项表!$G:$G,累计考核费用!$B100,考核调整事项表!$D:$D,累计考核费用!M$3)+SUMIFS(考核调整事项表!$E:$E,考核调整事项表!$G:$G,累计考核费用!$B100,考核调整事项表!$F:$F,累计考核费用!M$3)</f>
        <v>346777</v>
      </c>
      <c r="N100" s="35">
        <f>SUMIFS(考核调整事项表!$C:$C,考核调整事项表!$G:$G,累计考核费用!$B100,考核调整事项表!$D:$D,累计考核费用!N$3)+SUMIFS(考核调整事项表!$E:$E,考核调整事项表!$G:$G,累计考核费用!$B100,考核调整事项表!$F:$F,累计考核费用!N$3)</f>
        <v>0</v>
      </c>
      <c r="O100" s="35">
        <f>SUMIFS(考核调整事项表!$C:$C,考核调整事项表!$G:$G,累计考核费用!$B100,考核调整事项表!$D:$D,累计考核费用!O$3)+SUMIFS(考核调整事项表!$E:$E,考核调整事项表!$G:$G,累计考核费用!$B100,考核调整事项表!$F:$F,累计考核费用!O$3)</f>
        <v>0</v>
      </c>
      <c r="P100" s="35">
        <f>SUMIFS(考核调整事项表!$C:$C,考核调整事项表!$G:$G,累计考核费用!$B100,考核调整事项表!$D:$D,累计考核费用!P$3)+SUMIFS(考核调整事项表!$E:$E,考核调整事项表!$G:$G,累计考核费用!$B100,考核调整事项表!$F:$F,累计考核费用!P$3)</f>
        <v>384213</v>
      </c>
      <c r="Q100" s="35">
        <f>SUMIFS(考核调整事项表!$C:$C,考核调整事项表!$G:$G,累计考核费用!$B100,考核调整事项表!$D:$D,累计考核费用!Q$3)+SUMIFS(考核调整事项表!$E:$E,考核调整事项表!$G:$G,累计考核费用!$B100,考核调整事项表!$F:$F,累计考核费用!Q$3)</f>
        <v>0</v>
      </c>
      <c r="R100" s="41">
        <f t="shared" si="13"/>
        <v>0</v>
      </c>
      <c r="S100" s="35">
        <f>SUMIFS(考核调整事项表!$C:$C,考核调整事项表!$G:$G,累计考核费用!$B100,考核调整事项表!$D:$D,累计考核费用!S$3)+SUMIFS(考核调整事项表!$E:$E,考核调整事项表!$G:$G,累计考核费用!$B100,考核调整事项表!$F:$F,累计考核费用!S$3)</f>
        <v>0</v>
      </c>
      <c r="T100" s="35">
        <f>SUMIFS(考核调整事项表!$C:$C,考核调整事项表!$G:$G,累计考核费用!$B100,考核调整事项表!$D:$D,累计考核费用!T$3)+SUMIFS(考核调整事项表!$E:$E,考核调整事项表!$G:$G,累计考核费用!$B100,考核调整事项表!$F:$F,累计考核费用!T$3)</f>
        <v>0</v>
      </c>
      <c r="U100" s="35">
        <f>SUMIFS(考核调整事项表!$C:$C,考核调整事项表!$G:$G,累计考核费用!$B100,考核调整事项表!$D:$D,累计考核费用!U$3)+SUMIFS(考核调整事项表!$E:$E,考核调整事项表!$G:$G,累计考核费用!$B100,考核调整事项表!$F:$F,累计考核费用!U$3)</f>
        <v>0</v>
      </c>
      <c r="V100" s="35">
        <f>SUMIFS(考核调整事项表!$C:$C,考核调整事项表!$G:$G,累计考核费用!$B100,考核调整事项表!$D:$D,累计考核费用!V$3)+SUMIFS(考核调整事项表!$E:$E,考核调整事项表!$G:$G,累计考核费用!$B100,考核调整事项表!$F:$F,累计考核费用!V$3)</f>
        <v>0</v>
      </c>
      <c r="W100" s="35">
        <f t="shared" si="8"/>
        <v>0</v>
      </c>
      <c r="X100" s="35">
        <f>SUMIFS(考核调整事项表!$C:$C,考核调整事项表!$G:$G,累计考核费用!$B100,考核调整事项表!$D:$D,累计考核费用!X$3)+SUMIFS(考核调整事项表!$E:$E,考核调整事项表!$G:$G,累计考核费用!$B100,考核调整事项表!$F:$F,累计考核费用!X$3)</f>
        <v>0</v>
      </c>
      <c r="Y100" s="35">
        <f>SUMIFS(考核调整事项表!$C:$C,考核调整事项表!$G:$G,累计考核费用!$B100,考核调整事项表!$D:$D,累计考核费用!Y$3)+SUMIFS(考核调整事项表!$E:$E,考核调整事项表!$G:$G,累计考核费用!$B100,考核调整事项表!$F:$F,累计考核费用!Y$3)</f>
        <v>0</v>
      </c>
      <c r="Z100" s="35">
        <f>SUMIFS(考核调整事项表!$C:$C,考核调整事项表!$G:$G,累计考核费用!$B100,考核调整事项表!$D:$D,累计考核费用!Z$3)+SUMIFS(考核调整事项表!$E:$E,考核调整事项表!$G:$G,累计考核费用!$B100,考核调整事项表!$F:$F,累计考核费用!Z$3)</f>
        <v>0</v>
      </c>
      <c r="AA100" s="35">
        <f>SUMIFS(考核调整事项表!$C:$C,考核调整事项表!$G:$G,累计考核费用!$B100,考核调整事项表!$D:$D,累计考核费用!AA$3)+SUMIFS(考核调整事项表!$E:$E,考核调整事项表!$G:$G,累计考核费用!$B100,考核调整事项表!$F:$F,累计考核费用!AA$3)</f>
        <v>0</v>
      </c>
    </row>
    <row r="101" spans="1:27">
      <c r="A101" s="320"/>
      <c r="B101" s="174" t="s">
        <v>106</v>
      </c>
      <c r="C101" s="35">
        <f t="shared" si="1"/>
        <v>0</v>
      </c>
      <c r="D101" s="35">
        <f>SUMIFS(考核调整事项表!$C:$C,考核调整事项表!$G:$G,累计考核费用!$B101,考核调整事项表!$D:$D,累计考核费用!D$3)+SUMIFS(考核调整事项表!$E:$E,考核调整事项表!$G:$G,累计考核费用!$B101,考核调整事项表!$F:$F,累计考核费用!D$3)</f>
        <v>-1708046</v>
      </c>
      <c r="E101" s="35">
        <f>SUMIFS(考核调整事项表!$C:$C,考核调整事项表!$G:$G,累计考核费用!$B101,考核调整事项表!$D:$D,累计考核费用!E$3)+SUMIFS(考核调整事项表!$E:$E,考核调整事项表!$G:$G,累计考核费用!$B101,考核调整事项表!$F:$F,累计考核费用!E$3)</f>
        <v>0</v>
      </c>
      <c r="F101" s="35">
        <f>SUMIFS(考核调整事项表!$C:$C,考核调整事项表!$G:$G,累计考核费用!$B101,考核调整事项表!$D:$D,累计考核费用!F$3)+SUMIFS(考核调整事项表!$E:$E,考核调整事项表!$G:$G,累计考核费用!$B101,考核调整事项表!$F:$F,累计考核费用!F$3)</f>
        <v>403149</v>
      </c>
      <c r="G101" s="35">
        <f>SUMIFS(考核调整事项表!$C:$C,考核调整事项表!$G:$G,累计考核费用!$B101,考核调整事项表!$D:$D,累计考核费用!G$3)+SUMIFS(考核调整事项表!$E:$E,考核调整事项表!$G:$G,累计考核费用!$B101,考核调整事项表!$F:$F,累计考核费用!G$3)</f>
        <v>0</v>
      </c>
      <c r="H101" s="35">
        <f t="shared" si="12"/>
        <v>0</v>
      </c>
      <c r="I101" s="35">
        <f>SUMIFS(考核调整事项表!$C:$C,考核调整事项表!$G:$G,累计考核费用!$B101,考核调整事项表!$D:$D,累计考核费用!I$3)+SUMIFS(考核调整事项表!$E:$E,考核调整事项表!$G:$G,累计考核费用!$B101,考核调整事项表!$F:$F,累计考核费用!I$3)</f>
        <v>0</v>
      </c>
      <c r="J101" s="35">
        <f>SUMIFS(考核调整事项表!$C:$C,考核调整事项表!$G:$G,累计考核费用!$B101,考核调整事项表!$D:$D,累计考核费用!J$3)+SUMIFS(考核调整事项表!$E:$E,考核调整事项表!$G:$G,累计考核费用!$B101,考核调整事项表!$F:$F,累计考核费用!J$3)</f>
        <v>0</v>
      </c>
      <c r="K101" s="35">
        <f>SUMIFS(考核调整事项表!$C:$C,考核调整事项表!$G:$G,累计考核费用!$B101,考核调整事项表!$D:$D,累计考核费用!K$3)+SUMIFS(考核调整事项表!$E:$E,考核调整事项表!$G:$G,累计考核费用!$B101,考核调整事项表!$F:$F,累计考核费用!K$3)</f>
        <v>0</v>
      </c>
      <c r="L101" s="35">
        <f>SUMIFS(考核调整事项表!$C:$C,考核调整事项表!$G:$G,累计考核费用!$B101,考核调整事项表!$D:$D,累计考核费用!L$3)+SUMIFS(考核调整事项表!$E:$E,考核调整事项表!$G:$G,累计考核费用!$B101,考核调整事项表!$F:$F,累计考核费用!L$3)</f>
        <v>0</v>
      </c>
      <c r="M101" s="35">
        <f>SUMIFS(考核调整事项表!$C:$C,考核调整事项表!$G:$G,累计考核费用!$B101,考核调整事项表!$D:$D,累计考核费用!M$3)+SUMIFS(考核调整事项表!$E:$E,考核调整事项表!$G:$G,累计考核费用!$B101,考核调整事项表!$F:$F,累计考核费用!M$3)</f>
        <v>0</v>
      </c>
      <c r="N101" s="35">
        <f>SUMIFS(考核调整事项表!$C:$C,考核调整事项表!$G:$G,累计考核费用!$B101,考核调整事项表!$D:$D,累计考核费用!N$3)+SUMIFS(考核调整事项表!$E:$E,考核调整事项表!$G:$G,累计考核费用!$B101,考核调整事项表!$F:$F,累计考核费用!N$3)</f>
        <v>0</v>
      </c>
      <c r="O101" s="35">
        <f>SUMIFS(考核调整事项表!$C:$C,考核调整事项表!$G:$G,累计考核费用!$B101,考核调整事项表!$D:$D,累计考核费用!O$3)+SUMIFS(考核调整事项表!$E:$E,考核调整事项表!$G:$G,累计考核费用!$B101,考核调整事项表!$F:$F,累计考核费用!O$3)</f>
        <v>0</v>
      </c>
      <c r="P101" s="35">
        <f>SUMIFS(考核调整事项表!$C:$C,考核调整事项表!$G:$G,累计考核费用!$B101,考核调整事项表!$D:$D,累计考核费用!P$3)+SUMIFS(考核调整事项表!$E:$E,考核调整事项表!$G:$G,累计考核费用!$B101,考核调整事项表!$F:$F,累计考核费用!P$3)</f>
        <v>0</v>
      </c>
      <c r="Q101" s="35">
        <f>SUMIFS(考核调整事项表!$C:$C,考核调整事项表!$G:$G,累计考核费用!$B101,考核调整事项表!$D:$D,累计考核费用!Q$3)+SUMIFS(考核调整事项表!$E:$E,考核调整事项表!$G:$G,累计考核费用!$B101,考核调整事项表!$F:$F,累计考核费用!Q$3)</f>
        <v>486760</v>
      </c>
      <c r="R101" s="41">
        <f t="shared" si="13"/>
        <v>818137</v>
      </c>
      <c r="S101" s="35">
        <f>SUMIFS(考核调整事项表!$C:$C,考核调整事项表!$G:$G,累计考核费用!$B101,考核调整事项表!$D:$D,累计考核费用!S$3)+SUMIFS(考核调整事项表!$E:$E,考核调整事项表!$G:$G,累计考核费用!$B101,考核调整事项表!$F:$F,累计考核费用!S$3)</f>
        <v>0</v>
      </c>
      <c r="T101" s="35">
        <f>SUMIFS(考核调整事项表!$C:$C,考核调整事项表!$G:$G,累计考核费用!$B101,考核调整事项表!$D:$D,累计考核费用!T$3)+SUMIFS(考核调整事项表!$E:$E,考核调整事项表!$G:$G,累计考核费用!$B101,考核调整事项表!$F:$F,累计考核费用!T$3)</f>
        <v>482467</v>
      </c>
      <c r="U101" s="35">
        <f>SUMIFS(考核调整事项表!$C:$C,考核调整事项表!$G:$G,累计考核费用!$B101,考核调整事项表!$D:$D,累计考核费用!U$3)+SUMIFS(考核调整事项表!$E:$E,考核调整事项表!$G:$G,累计考核费用!$B101,考核调整事项表!$F:$F,累计考核费用!U$3)</f>
        <v>157675</v>
      </c>
      <c r="V101" s="35">
        <f>SUMIFS(考核调整事项表!$C:$C,考核调整事项表!$G:$G,累计考核费用!$B101,考核调整事项表!$D:$D,累计考核费用!V$3)+SUMIFS(考核调整事项表!$E:$E,考核调整事项表!$G:$G,累计考核费用!$B101,考核调整事项表!$F:$F,累计考核费用!V$3)</f>
        <v>177995</v>
      </c>
      <c r="W101" s="35">
        <f t="shared" si="8"/>
        <v>0</v>
      </c>
      <c r="X101" s="35">
        <f>SUMIFS(考核调整事项表!$C:$C,考核调整事项表!$G:$G,累计考核费用!$B101,考核调整事项表!$D:$D,累计考核费用!X$3)+SUMIFS(考核调整事项表!$E:$E,考核调整事项表!$G:$G,累计考核费用!$B101,考核调整事项表!$F:$F,累计考核费用!X$3)</f>
        <v>0</v>
      </c>
      <c r="Y101" s="35">
        <f>SUMIFS(考核调整事项表!$C:$C,考核调整事项表!$G:$G,累计考核费用!$B101,考核调整事项表!$D:$D,累计考核费用!Y$3)+SUMIFS(考核调整事项表!$E:$E,考核调整事项表!$G:$G,累计考核费用!$B101,考核调整事项表!$F:$F,累计考核费用!Y$3)</f>
        <v>0</v>
      </c>
      <c r="Z101" s="35">
        <f>SUMIFS(考核调整事项表!$C:$C,考核调整事项表!$G:$G,累计考核费用!$B101,考核调整事项表!$D:$D,累计考核费用!Z$3)+SUMIFS(考核调整事项表!$E:$E,考核调整事项表!$G:$G,累计考核费用!$B101,考核调整事项表!$F:$F,累计考核费用!Z$3)</f>
        <v>0</v>
      </c>
      <c r="AA101" s="35">
        <f>SUMIFS(考核调整事项表!$C:$C,考核调整事项表!$G:$G,累计考核费用!$B101,考核调整事项表!$D:$D,累计考核费用!AA$3)+SUMIFS(考核调整事项表!$E:$E,考核调整事项表!$G:$G,累计考核费用!$B101,考核调整事项表!$F:$F,累计考核费用!AA$3)</f>
        <v>0</v>
      </c>
    </row>
    <row r="102" spans="1:27">
      <c r="A102" s="320"/>
      <c r="B102" s="174" t="s">
        <v>244</v>
      </c>
      <c r="C102" s="35">
        <f t="shared" si="1"/>
        <v>0</v>
      </c>
      <c r="D102" s="35">
        <f>SUMIFS(考核调整事项表!$C:$C,考核调整事项表!$G:$G,累计考核费用!$B102,考核调整事项表!$D:$D,累计考核费用!D$3)+SUMIFS(考核调整事项表!$E:$E,考核调整事项表!$G:$G,累计考核费用!$B102,考核调整事项表!$F:$F,累计考核费用!D$3)</f>
        <v>0</v>
      </c>
      <c r="E102" s="35">
        <f>SUMIFS(考核调整事项表!$C:$C,考核调整事项表!$G:$G,累计考核费用!$B102,考核调整事项表!$D:$D,累计考核费用!E$3)+SUMIFS(考核调整事项表!$E:$E,考核调整事项表!$G:$G,累计考核费用!$B102,考核调整事项表!$F:$F,累计考核费用!E$3)</f>
        <v>0</v>
      </c>
      <c r="F102" s="35">
        <f>SUMIFS(考核调整事项表!$C:$C,考核调整事项表!$G:$G,累计考核费用!$B102,考核调整事项表!$D:$D,累计考核费用!F$3)+SUMIFS(考核调整事项表!$E:$E,考核调整事项表!$G:$G,累计考核费用!$B102,考核调整事项表!$F:$F,累计考核费用!F$3)</f>
        <v>0</v>
      </c>
      <c r="G102" s="35">
        <f>SUMIFS(考核调整事项表!$C:$C,考核调整事项表!$G:$G,累计考核费用!$B102,考核调整事项表!$D:$D,累计考核费用!G$3)+SUMIFS(考核调整事项表!$E:$E,考核调整事项表!$G:$G,累计考核费用!$B102,考核调整事项表!$F:$F,累计考核费用!G$3)</f>
        <v>0</v>
      </c>
      <c r="H102" s="35">
        <f t="shared" si="12"/>
        <v>0</v>
      </c>
      <c r="I102" s="35">
        <f>SUMIFS(考核调整事项表!$C:$C,考核调整事项表!$G:$G,累计考核费用!$B102,考核调整事项表!$D:$D,累计考核费用!I$3)+SUMIFS(考核调整事项表!$E:$E,考核调整事项表!$G:$G,累计考核费用!$B102,考核调整事项表!$F:$F,累计考核费用!I$3)</f>
        <v>0</v>
      </c>
      <c r="J102" s="35">
        <f>SUMIFS(考核调整事项表!$C:$C,考核调整事项表!$G:$G,累计考核费用!$B102,考核调整事项表!$D:$D,累计考核费用!J$3)+SUMIFS(考核调整事项表!$E:$E,考核调整事项表!$G:$G,累计考核费用!$B102,考核调整事项表!$F:$F,累计考核费用!J$3)</f>
        <v>0</v>
      </c>
      <c r="K102" s="35">
        <f>SUMIFS(考核调整事项表!$C:$C,考核调整事项表!$G:$G,累计考核费用!$B102,考核调整事项表!$D:$D,累计考核费用!K$3)+SUMIFS(考核调整事项表!$E:$E,考核调整事项表!$G:$G,累计考核费用!$B102,考核调整事项表!$F:$F,累计考核费用!K$3)</f>
        <v>0</v>
      </c>
      <c r="L102" s="35">
        <f>SUMIFS(考核调整事项表!$C:$C,考核调整事项表!$G:$G,累计考核费用!$B102,考核调整事项表!$D:$D,累计考核费用!L$3)+SUMIFS(考核调整事项表!$E:$E,考核调整事项表!$G:$G,累计考核费用!$B102,考核调整事项表!$F:$F,累计考核费用!L$3)</f>
        <v>0</v>
      </c>
      <c r="M102" s="35">
        <f>SUMIFS(考核调整事项表!$C:$C,考核调整事项表!$G:$G,累计考核费用!$B102,考核调整事项表!$D:$D,累计考核费用!M$3)+SUMIFS(考核调整事项表!$E:$E,考核调整事项表!$G:$G,累计考核费用!$B102,考核调整事项表!$F:$F,累计考核费用!M$3)</f>
        <v>0</v>
      </c>
      <c r="N102" s="35">
        <f>SUMIFS(考核调整事项表!$C:$C,考核调整事项表!$G:$G,累计考核费用!$B102,考核调整事项表!$D:$D,累计考核费用!N$3)+SUMIFS(考核调整事项表!$E:$E,考核调整事项表!$G:$G,累计考核费用!$B102,考核调整事项表!$F:$F,累计考核费用!N$3)</f>
        <v>0</v>
      </c>
      <c r="O102" s="35">
        <f>SUMIFS(考核调整事项表!$C:$C,考核调整事项表!$G:$G,累计考核费用!$B102,考核调整事项表!$D:$D,累计考核费用!O$3)+SUMIFS(考核调整事项表!$E:$E,考核调整事项表!$G:$G,累计考核费用!$B102,考核调整事项表!$F:$F,累计考核费用!O$3)</f>
        <v>0</v>
      </c>
      <c r="P102" s="35">
        <f>SUMIFS(考核调整事项表!$C:$C,考核调整事项表!$G:$G,累计考核费用!$B102,考核调整事项表!$D:$D,累计考核费用!P$3)+SUMIFS(考核调整事项表!$E:$E,考核调整事项表!$G:$G,累计考核费用!$B102,考核调整事项表!$F:$F,累计考核费用!P$3)</f>
        <v>0</v>
      </c>
      <c r="Q102" s="35">
        <f>SUMIFS(考核调整事项表!$C:$C,考核调整事项表!$G:$G,累计考核费用!$B102,考核调整事项表!$D:$D,累计考核费用!Q$3)+SUMIFS(考核调整事项表!$E:$E,考核调整事项表!$G:$G,累计考核费用!$B102,考核调整事项表!$F:$F,累计考核费用!Q$3)</f>
        <v>0</v>
      </c>
      <c r="R102" s="41">
        <f t="shared" si="13"/>
        <v>0</v>
      </c>
      <c r="S102" s="35">
        <f>SUMIFS(考核调整事项表!$C:$C,考核调整事项表!$G:$G,累计考核费用!$B102,考核调整事项表!$D:$D,累计考核费用!S$3)+SUMIFS(考核调整事项表!$E:$E,考核调整事项表!$G:$G,累计考核费用!$B102,考核调整事项表!$F:$F,累计考核费用!S$3)</f>
        <v>0</v>
      </c>
      <c r="T102" s="35">
        <f>SUMIFS(考核调整事项表!$C:$C,考核调整事项表!$G:$G,累计考核费用!$B102,考核调整事项表!$D:$D,累计考核费用!T$3)+SUMIFS(考核调整事项表!$E:$E,考核调整事项表!$G:$G,累计考核费用!$B102,考核调整事项表!$F:$F,累计考核费用!T$3)</f>
        <v>0</v>
      </c>
      <c r="U102" s="35">
        <f>SUMIFS(考核调整事项表!$C:$C,考核调整事项表!$G:$G,累计考核费用!$B102,考核调整事项表!$D:$D,累计考核费用!U$3)+SUMIFS(考核调整事项表!$E:$E,考核调整事项表!$G:$G,累计考核费用!$B102,考核调整事项表!$F:$F,累计考核费用!U$3)</f>
        <v>0</v>
      </c>
      <c r="V102" s="35">
        <f>SUMIFS(考核调整事项表!$C:$C,考核调整事项表!$G:$G,累计考核费用!$B102,考核调整事项表!$D:$D,累计考核费用!V$3)+SUMIFS(考核调整事项表!$E:$E,考核调整事项表!$G:$G,累计考核费用!$B102,考核调整事项表!$F:$F,累计考核费用!V$3)</f>
        <v>0</v>
      </c>
      <c r="W102" s="35">
        <f t="shared" si="8"/>
        <v>0</v>
      </c>
      <c r="X102" s="35">
        <f>SUMIFS(考核调整事项表!$C:$C,考核调整事项表!$G:$G,累计考核费用!$B102,考核调整事项表!$D:$D,累计考核费用!X$3)+SUMIFS(考核调整事项表!$E:$E,考核调整事项表!$G:$G,累计考核费用!$B102,考核调整事项表!$F:$F,累计考核费用!X$3)</f>
        <v>0</v>
      </c>
      <c r="Y102" s="35">
        <f>SUMIFS(考核调整事项表!$C:$C,考核调整事项表!$G:$G,累计考核费用!$B102,考核调整事项表!$D:$D,累计考核费用!Y$3)+SUMIFS(考核调整事项表!$E:$E,考核调整事项表!$G:$G,累计考核费用!$B102,考核调整事项表!$F:$F,累计考核费用!Y$3)</f>
        <v>0</v>
      </c>
      <c r="Z102" s="35">
        <f>SUMIFS(考核调整事项表!$C:$C,考核调整事项表!$G:$G,累计考核费用!$B102,考核调整事项表!$D:$D,累计考核费用!Z$3)+SUMIFS(考核调整事项表!$E:$E,考核调整事项表!$G:$G,累计考核费用!$B102,考核调整事项表!$F:$F,累计考核费用!Z$3)</f>
        <v>0</v>
      </c>
      <c r="AA102" s="35">
        <f>SUMIFS(考核调整事项表!$C:$C,考核调整事项表!$G:$G,累计考核费用!$B102,考核调整事项表!$D:$D,累计考核费用!AA$3)+SUMIFS(考核调整事项表!$E:$E,考核调整事项表!$G:$G,累计考核费用!$B102,考核调整事项表!$F:$F,累计考核费用!AA$3)</f>
        <v>0</v>
      </c>
    </row>
    <row r="103" spans="1:27">
      <c r="A103" s="321"/>
      <c r="B103" s="175" t="s">
        <v>69</v>
      </c>
      <c r="C103" s="36">
        <f>SUM(C87:C102)</f>
        <v>6.5483618527650833E-11</v>
      </c>
      <c r="D103" s="36">
        <f>SUM(D87:D102)</f>
        <v>-13940140.76</v>
      </c>
      <c r="E103" s="36">
        <f t="shared" ref="E103:AA103" si="21">SUM(E87:E102)</f>
        <v>0</v>
      </c>
      <c r="F103" s="36">
        <f t="shared" si="21"/>
        <v>10981636.310000001</v>
      </c>
      <c r="G103" s="36">
        <f t="shared" si="21"/>
        <v>807822.17</v>
      </c>
      <c r="H103" s="36">
        <f t="shared" si="21"/>
        <v>592868.79</v>
      </c>
      <c r="I103" s="36">
        <f t="shared" si="21"/>
        <v>501019.53</v>
      </c>
      <c r="J103" s="36">
        <f t="shared" si="21"/>
        <v>254613</v>
      </c>
      <c r="K103" s="36">
        <f t="shared" si="21"/>
        <v>451006.55</v>
      </c>
      <c r="L103" s="36">
        <f t="shared" si="21"/>
        <v>0</v>
      </c>
      <c r="M103" s="36">
        <f t="shared" si="21"/>
        <v>379977.9</v>
      </c>
      <c r="N103" s="36">
        <f t="shared" si="21"/>
        <v>0</v>
      </c>
      <c r="O103" s="36">
        <f t="shared" si="21"/>
        <v>-1427779.68</v>
      </c>
      <c r="P103" s="36">
        <f t="shared" si="21"/>
        <v>434031.49</v>
      </c>
      <c r="Q103" s="36">
        <f t="shared" si="21"/>
        <v>486760</v>
      </c>
      <c r="R103" s="36">
        <f t="shared" si="21"/>
        <v>818137</v>
      </c>
      <c r="S103" s="36">
        <f t="shared" si="21"/>
        <v>0</v>
      </c>
      <c r="T103" s="36">
        <f t="shared" si="21"/>
        <v>482467</v>
      </c>
      <c r="U103" s="36">
        <f t="shared" si="21"/>
        <v>157675</v>
      </c>
      <c r="V103" s="36">
        <f t="shared" si="21"/>
        <v>177995</v>
      </c>
      <c r="W103" s="36">
        <f t="shared" si="21"/>
        <v>0</v>
      </c>
      <c r="X103" s="36">
        <f t="shared" si="21"/>
        <v>0</v>
      </c>
      <c r="Y103" s="36">
        <f t="shared" si="21"/>
        <v>0</v>
      </c>
      <c r="Z103" s="36">
        <f t="shared" si="21"/>
        <v>100000</v>
      </c>
      <c r="AA103" s="36">
        <f t="shared" si="21"/>
        <v>152916.49000000002</v>
      </c>
    </row>
    <row r="104" spans="1:27" ht="14.25" thickBot="1">
      <c r="A104" s="37"/>
      <c r="B104" s="176" t="s">
        <v>248</v>
      </c>
      <c r="C104" s="37">
        <f>C103+C86+C72+C66</f>
        <v>-1.4915713109076023E-9</v>
      </c>
      <c r="D104" s="37">
        <f t="shared" ref="D104:Z104" si="22">D103+D86+D72+D66</f>
        <v>-43947475.229999997</v>
      </c>
      <c r="E104" s="37">
        <f t="shared" si="22"/>
        <v>293057.39999999997</v>
      </c>
      <c r="F104" s="37">
        <f t="shared" si="22"/>
        <v>40013572.07</v>
      </c>
      <c r="G104" s="37">
        <f t="shared" si="22"/>
        <v>936846.71000000008</v>
      </c>
      <c r="H104" s="37">
        <f>H103+H86+H72+H66</f>
        <v>978074.25</v>
      </c>
      <c r="I104" s="37">
        <f t="shared" si="22"/>
        <v>1024900.13</v>
      </c>
      <c r="J104" s="37">
        <f t="shared" ref="J104:L104" si="23">J103+J86+J72+J66</f>
        <v>275177</v>
      </c>
      <c r="K104" s="37">
        <f t="shared" si="23"/>
        <v>230517.97999999998</v>
      </c>
      <c r="L104" s="37">
        <f t="shared" si="23"/>
        <v>0</v>
      </c>
      <c r="M104" s="37">
        <f t="shared" si="22"/>
        <v>397438.48000000004</v>
      </c>
      <c r="N104" s="37">
        <f t="shared" si="22"/>
        <v>0</v>
      </c>
      <c r="O104" s="37">
        <f t="shared" si="22"/>
        <v>-1459109.68</v>
      </c>
      <c r="P104" s="37">
        <f t="shared" si="22"/>
        <v>509150.33999999997</v>
      </c>
      <c r="Q104" s="37">
        <f t="shared" si="22"/>
        <v>273527.18</v>
      </c>
      <c r="R104" s="37">
        <f t="shared" si="22"/>
        <v>2221991.94</v>
      </c>
      <c r="S104" s="37">
        <f t="shared" si="22"/>
        <v>0</v>
      </c>
      <c r="T104" s="37">
        <f t="shared" si="22"/>
        <v>1745984.08</v>
      </c>
      <c r="U104" s="37">
        <f t="shared" si="22"/>
        <v>223263.19</v>
      </c>
      <c r="V104" s="37">
        <f t="shared" si="22"/>
        <v>252744.66999999998</v>
      </c>
      <c r="W104" s="37">
        <f>W103+W86+W72+W66</f>
        <v>-268215.64</v>
      </c>
      <c r="X104" s="37">
        <f t="shared" si="22"/>
        <v>-498324</v>
      </c>
      <c r="Y104" s="37">
        <f t="shared" si="22"/>
        <v>230108.36</v>
      </c>
      <c r="Z104" s="37">
        <f t="shared" si="22"/>
        <v>-654295.17000000004</v>
      </c>
      <c r="AA104" s="37">
        <f t="shared" ref="AA104" si="24">AA103+AA86+AA72+AA66</f>
        <v>152916.49000000002</v>
      </c>
    </row>
    <row r="106" spans="1:27" ht="14.25" thickBot="1">
      <c r="B106" s="30" t="s">
        <v>109</v>
      </c>
    </row>
    <row r="107" spans="1:27">
      <c r="A107" s="32" t="s">
        <v>57</v>
      </c>
      <c r="B107" s="33" t="s">
        <v>58</v>
      </c>
      <c r="C107" s="34" t="str">
        <f>累计利润调整表!B3</f>
        <v>合计</v>
      </c>
      <c r="D107" s="34" t="str">
        <f>累计利润调整表!C3</f>
        <v>其他</v>
      </c>
      <c r="E107" s="34" t="str">
        <f>累计利润调整表!D3</f>
        <v>总部中后台</v>
      </c>
      <c r="F107" s="34" t="str">
        <f>累计利润调整表!E3</f>
        <v>经纪业务部</v>
      </c>
      <c r="G107" s="34" t="str">
        <f>累计利润调整表!F3</f>
        <v>资产管理部</v>
      </c>
      <c r="H107" s="34" t="str">
        <f>累计利润调整表!G3</f>
        <v>深分公司合计</v>
      </c>
      <c r="I107" s="40" t="str">
        <f>累计利润调整表!H3</f>
        <v>固定收益部</v>
      </c>
      <c r="J107" s="40" t="str">
        <f>J3</f>
        <v>做市业务部</v>
      </c>
      <c r="K107" s="40" t="str">
        <f>累计利润调整表!J3</f>
        <v>证券投资部</v>
      </c>
      <c r="L107" s="40" t="str">
        <f>L3</f>
        <v>投顾业务部</v>
      </c>
      <c r="M107" s="40" t="str">
        <f>累计利润调整表!L3</f>
        <v>金融衍生品投资部</v>
      </c>
      <c r="N107" s="40" t="str">
        <f>累计利润调整表!M3</f>
        <v>风险管理部</v>
      </c>
      <c r="O107" s="40" t="str">
        <f>累计利润调整表!N3</f>
        <v>深圳管理部</v>
      </c>
      <c r="P107" s="40" t="str">
        <f>累计利润调整表!O3</f>
        <v>金融工程部</v>
      </c>
      <c r="Q107" s="34" t="str">
        <f>累计利润调整表!P3</f>
        <v>中小企业融资部</v>
      </c>
      <c r="R107" s="34" t="str">
        <f>累计利润调整表!Q3</f>
        <v>投资银行合计</v>
      </c>
      <c r="S107" s="40" t="str">
        <f>累计利润调整表!R3</f>
        <v>财务顾问部</v>
      </c>
      <c r="T107" s="40" t="str">
        <f>累计利润调整表!S3</f>
        <v>债券融资部</v>
      </c>
      <c r="U107" s="40" t="str">
        <f>累计利润调整表!T3</f>
        <v>股权融资部</v>
      </c>
      <c r="V107" s="40" t="str">
        <f>累计利润调整表!U3</f>
        <v>投资银行总部</v>
      </c>
      <c r="W107" s="34" t="str">
        <f>累计利润调整表!V3</f>
        <v>浙江分公司小计</v>
      </c>
      <c r="X107" s="40" t="str">
        <f>累计利润调整表!W3</f>
        <v>浙分总部</v>
      </c>
      <c r="Y107" s="40" t="str">
        <f>累计利润调整表!X3</f>
        <v>综合业务部</v>
      </c>
      <c r="Z107" s="34" t="str">
        <f>累计利润调整表!Y3</f>
        <v>网络金融部</v>
      </c>
      <c r="AA107" s="34" t="str">
        <f t="shared" ref="AA107" si="25">AA3</f>
        <v>广东分公司</v>
      </c>
    </row>
    <row r="108" spans="1:27" ht="13.5" customHeight="1">
      <c r="A108" s="322" t="s">
        <v>59</v>
      </c>
      <c r="B108" s="174" t="s">
        <v>60</v>
      </c>
      <c r="C108" s="42">
        <f>SUM(D108:H108)+Q108+R108+W108+AA108+Z108</f>
        <v>167987020.58000001</v>
      </c>
      <c r="D108" s="42">
        <f>D4+D56</f>
        <v>-505822</v>
      </c>
      <c r="E108" s="42">
        <f>E4+E56</f>
        <v>41720778.090000004</v>
      </c>
      <c r="F108" s="42">
        <f t="shared" ref="F108:U108" si="26">F4+F56</f>
        <v>79739456.840000004</v>
      </c>
      <c r="G108" s="42">
        <f t="shared" si="26"/>
        <v>5047022.1399999997</v>
      </c>
      <c r="H108" s="42">
        <f>H4+H56</f>
        <v>13510216.120000001</v>
      </c>
      <c r="I108" s="42">
        <f t="shared" si="26"/>
        <v>3896871.1799999997</v>
      </c>
      <c r="J108" s="42">
        <f t="shared" si="26"/>
        <v>606428.30000000005</v>
      </c>
      <c r="K108" s="42">
        <f t="shared" si="26"/>
        <v>2828186.8899999997</v>
      </c>
      <c r="L108" s="42">
        <f t="shared" si="26"/>
        <v>0</v>
      </c>
      <c r="M108" s="42">
        <f t="shared" si="26"/>
        <v>1709302.23</v>
      </c>
      <c r="N108" s="42">
        <f t="shared" si="26"/>
        <v>0</v>
      </c>
      <c r="O108" s="42">
        <f t="shared" si="26"/>
        <v>1618734.27</v>
      </c>
      <c r="P108" s="42">
        <f t="shared" si="26"/>
        <v>2850693.25</v>
      </c>
      <c r="Q108" s="42">
        <f t="shared" si="26"/>
        <v>5251444.5</v>
      </c>
      <c r="R108" s="42">
        <f>SUM(S108:V108)</f>
        <v>16155467.620000001</v>
      </c>
      <c r="S108" s="42">
        <f t="shared" si="26"/>
        <v>0</v>
      </c>
      <c r="T108" s="42">
        <f t="shared" si="26"/>
        <v>5080045.57</v>
      </c>
      <c r="U108" s="42">
        <f t="shared" si="26"/>
        <v>9013416.3300000001</v>
      </c>
      <c r="V108" s="42">
        <f t="shared" ref="V108:AA108" si="27">V4+V56</f>
        <v>2062005.7200000002</v>
      </c>
      <c r="W108" s="42">
        <f>W4+W56</f>
        <v>1992286.6499999994</v>
      </c>
      <c r="X108" s="42">
        <f t="shared" si="27"/>
        <v>1424527.7299999997</v>
      </c>
      <c r="Y108" s="42">
        <f t="shared" si="27"/>
        <v>567758.91999999993</v>
      </c>
      <c r="Z108" s="42">
        <f t="shared" si="27"/>
        <v>4995966.24</v>
      </c>
      <c r="AA108" s="42">
        <f t="shared" si="27"/>
        <v>80204.38</v>
      </c>
    </row>
    <row r="109" spans="1:27">
      <c r="A109" s="323"/>
      <c r="B109" s="174" t="s">
        <v>61</v>
      </c>
      <c r="C109" s="42">
        <f t="shared" ref="C109:C154" si="28">SUM(D109:H109)+Q109+R109+W109+AA109+Z109</f>
        <v>2325662.2400000007</v>
      </c>
      <c r="D109" s="42">
        <f t="shared" ref="D109:S119" si="29">D5+D57</f>
        <v>0</v>
      </c>
      <c r="E109" s="42">
        <f t="shared" si="29"/>
        <v>674142.52999999991</v>
      </c>
      <c r="F109" s="42">
        <f t="shared" si="29"/>
        <v>1147020.4200000002</v>
      </c>
      <c r="G109" s="42">
        <f t="shared" si="29"/>
        <v>90783.91</v>
      </c>
      <c r="H109" s="42">
        <f t="shared" si="29"/>
        <v>75808.22</v>
      </c>
      <c r="I109" s="42">
        <f t="shared" si="29"/>
        <v>9552.99</v>
      </c>
      <c r="J109" s="42">
        <f t="shared" si="29"/>
        <v>2555</v>
      </c>
      <c r="K109" s="42">
        <f t="shared" si="29"/>
        <v>15075.23</v>
      </c>
      <c r="L109" s="42">
        <f t="shared" si="29"/>
        <v>0</v>
      </c>
      <c r="M109" s="42">
        <f t="shared" si="29"/>
        <v>1600</v>
      </c>
      <c r="N109" s="42">
        <f t="shared" si="29"/>
        <v>0</v>
      </c>
      <c r="O109" s="42">
        <f t="shared" si="29"/>
        <v>42050</v>
      </c>
      <c r="P109" s="42">
        <f t="shared" si="29"/>
        <v>4975</v>
      </c>
      <c r="Q109" s="42">
        <f t="shared" si="29"/>
        <v>92257.91</v>
      </c>
      <c r="R109" s="42">
        <f t="shared" ref="R109:R119" si="30">SUM(S109:V109)</f>
        <v>210967.75</v>
      </c>
      <c r="S109" s="42">
        <f t="shared" si="29"/>
        <v>0</v>
      </c>
      <c r="T109" s="42">
        <f t="shared" ref="T109:AA109" si="31">T5+T57</f>
        <v>103033.77</v>
      </c>
      <c r="U109" s="42">
        <f t="shared" si="31"/>
        <v>43028</v>
      </c>
      <c r="V109" s="42">
        <f t="shared" si="31"/>
        <v>64905.979999999996</v>
      </c>
      <c r="W109" s="42">
        <f t="shared" si="31"/>
        <v>9257.43</v>
      </c>
      <c r="X109" s="42">
        <f t="shared" si="31"/>
        <v>8301.73</v>
      </c>
      <c r="Y109" s="42">
        <f t="shared" si="31"/>
        <v>955.7</v>
      </c>
      <c r="Z109" s="42">
        <f t="shared" si="31"/>
        <v>25324.870000000003</v>
      </c>
      <c r="AA109" s="42">
        <f t="shared" si="31"/>
        <v>99.2</v>
      </c>
    </row>
    <row r="110" spans="1:27">
      <c r="A110" s="323"/>
      <c r="B110" s="174" t="s">
        <v>62</v>
      </c>
      <c r="C110" s="42">
        <f t="shared" si="28"/>
        <v>8967621.4999999981</v>
      </c>
      <c r="D110" s="42">
        <f t="shared" si="29"/>
        <v>0</v>
      </c>
      <c r="E110" s="42">
        <f t="shared" si="29"/>
        <v>3788463.1100000003</v>
      </c>
      <c r="F110" s="42">
        <f t="shared" si="29"/>
        <v>2386188.0300000003</v>
      </c>
      <c r="G110" s="42">
        <f t="shared" si="29"/>
        <v>123166.54999999999</v>
      </c>
      <c r="H110" s="42">
        <f t="shared" si="29"/>
        <v>275099.18</v>
      </c>
      <c r="I110" s="42">
        <f t="shared" si="29"/>
        <v>77590.27</v>
      </c>
      <c r="J110" s="42">
        <f t="shared" si="29"/>
        <v>12128.550000000001</v>
      </c>
      <c r="K110" s="42">
        <f t="shared" si="29"/>
        <v>56182.96</v>
      </c>
      <c r="L110" s="42">
        <f t="shared" si="29"/>
        <v>0</v>
      </c>
      <c r="M110" s="42">
        <f t="shared" si="29"/>
        <v>42198.29</v>
      </c>
      <c r="N110" s="42">
        <f t="shared" si="29"/>
        <v>0</v>
      </c>
      <c r="O110" s="42">
        <f t="shared" si="29"/>
        <v>27607.079999999998</v>
      </c>
      <c r="P110" s="42">
        <f t="shared" si="29"/>
        <v>59392.030000000006</v>
      </c>
      <c r="Q110" s="42">
        <f t="shared" si="29"/>
        <v>146384.88999999998</v>
      </c>
      <c r="R110" s="42">
        <f t="shared" si="30"/>
        <v>2086883.0599999998</v>
      </c>
      <c r="S110" s="42">
        <f t="shared" si="29"/>
        <v>0</v>
      </c>
      <c r="T110" s="42">
        <f t="shared" ref="T110:AA110" si="32">T6+T58</f>
        <v>1630548.6599999997</v>
      </c>
      <c r="U110" s="42">
        <f t="shared" si="32"/>
        <v>417539.10000000009</v>
      </c>
      <c r="V110" s="42">
        <f t="shared" si="32"/>
        <v>38795.299999999996</v>
      </c>
      <c r="W110" s="42">
        <f t="shared" si="32"/>
        <v>57780.539999999994</v>
      </c>
      <c r="X110" s="42">
        <f t="shared" si="32"/>
        <v>38017.75</v>
      </c>
      <c r="Y110" s="42">
        <f t="shared" si="32"/>
        <v>19762.789999999997</v>
      </c>
      <c r="Z110" s="42">
        <f t="shared" si="32"/>
        <v>101998.85</v>
      </c>
      <c r="AA110" s="42">
        <f t="shared" si="32"/>
        <v>1657.29</v>
      </c>
    </row>
    <row r="111" spans="1:27">
      <c r="A111" s="323"/>
      <c r="B111" s="174" t="s">
        <v>82</v>
      </c>
      <c r="C111" s="42">
        <f t="shared" si="28"/>
        <v>5463611.0099999998</v>
      </c>
      <c r="D111" s="42">
        <f t="shared" si="29"/>
        <v>0</v>
      </c>
      <c r="E111" s="42">
        <f t="shared" si="29"/>
        <v>2221572.3199999998</v>
      </c>
      <c r="F111" s="42">
        <f t="shared" si="29"/>
        <v>2403795.21</v>
      </c>
      <c r="G111" s="42">
        <f t="shared" si="29"/>
        <v>73152.23</v>
      </c>
      <c r="H111" s="42">
        <f t="shared" si="29"/>
        <v>207229.85</v>
      </c>
      <c r="I111" s="42">
        <f t="shared" si="29"/>
        <v>59273.55</v>
      </c>
      <c r="J111" s="42">
        <f t="shared" si="29"/>
        <v>9096.42</v>
      </c>
      <c r="K111" s="42">
        <f t="shared" si="29"/>
        <v>42137.22</v>
      </c>
      <c r="L111" s="42">
        <f t="shared" si="29"/>
        <v>0</v>
      </c>
      <c r="M111" s="42">
        <f t="shared" si="29"/>
        <v>31648.720000000001</v>
      </c>
      <c r="N111" s="42">
        <f t="shared" si="29"/>
        <v>0</v>
      </c>
      <c r="O111" s="42">
        <f t="shared" si="29"/>
        <v>20705.310000000001</v>
      </c>
      <c r="P111" s="42">
        <f t="shared" si="29"/>
        <v>44368.63</v>
      </c>
      <c r="Q111" s="42">
        <f t="shared" si="29"/>
        <v>88957.81</v>
      </c>
      <c r="R111" s="42">
        <f t="shared" si="30"/>
        <v>323121.15000000002</v>
      </c>
      <c r="S111" s="42">
        <f t="shared" si="29"/>
        <v>0</v>
      </c>
      <c r="T111" s="42">
        <f t="shared" ref="T111:AA111" si="33">T7+T59</f>
        <v>4420</v>
      </c>
      <c r="U111" s="42">
        <f t="shared" si="33"/>
        <v>293183.83</v>
      </c>
      <c r="V111" s="42">
        <f t="shared" si="33"/>
        <v>25517.32</v>
      </c>
      <c r="W111" s="42">
        <f t="shared" si="33"/>
        <v>62403.78</v>
      </c>
      <c r="X111" s="42">
        <f t="shared" si="33"/>
        <v>28588.32</v>
      </c>
      <c r="Y111" s="42">
        <f t="shared" si="33"/>
        <v>33815.46</v>
      </c>
      <c r="Z111" s="42">
        <f t="shared" si="33"/>
        <v>82135.69</v>
      </c>
      <c r="AA111" s="42">
        <f t="shared" si="33"/>
        <v>1242.97</v>
      </c>
    </row>
    <row r="112" spans="1:27">
      <c r="A112" s="323"/>
      <c r="B112" s="174" t="s">
        <v>63</v>
      </c>
      <c r="C112" s="42">
        <f t="shared" si="28"/>
        <v>41548509.079999991</v>
      </c>
      <c r="D112" s="42">
        <f t="shared" si="29"/>
        <v>0</v>
      </c>
      <c r="E112" s="42">
        <f t="shared" si="29"/>
        <v>7898176.5699999994</v>
      </c>
      <c r="F112" s="42">
        <f t="shared" si="29"/>
        <v>23208910.249999993</v>
      </c>
      <c r="G112" s="42">
        <f t="shared" si="29"/>
        <v>1283847.21</v>
      </c>
      <c r="H112" s="42">
        <f t="shared" si="29"/>
        <v>2932818.76</v>
      </c>
      <c r="I112" s="42">
        <f t="shared" si="29"/>
        <v>866974.01</v>
      </c>
      <c r="J112" s="42">
        <f t="shared" si="29"/>
        <v>485.40999999999997</v>
      </c>
      <c r="K112" s="42">
        <f t="shared" si="29"/>
        <v>743327.61</v>
      </c>
      <c r="L112" s="42">
        <f t="shared" si="29"/>
        <v>0</v>
      </c>
      <c r="M112" s="42">
        <f t="shared" si="29"/>
        <v>416728.35000000009</v>
      </c>
      <c r="N112" s="42">
        <f t="shared" si="29"/>
        <v>0</v>
      </c>
      <c r="O112" s="42">
        <f t="shared" si="29"/>
        <v>238622.07999999999</v>
      </c>
      <c r="P112" s="42">
        <f t="shared" si="29"/>
        <v>666681.30000000005</v>
      </c>
      <c r="Q112" s="42">
        <f t="shared" si="29"/>
        <v>1467159.88</v>
      </c>
      <c r="R112" s="42">
        <f t="shared" si="30"/>
        <v>2614538.9799999995</v>
      </c>
      <c r="S112" s="42">
        <f t="shared" si="29"/>
        <v>0</v>
      </c>
      <c r="T112" s="42">
        <f t="shared" ref="T112:AA112" si="34">T8+T60</f>
        <v>1244764.9199999997</v>
      </c>
      <c r="U112" s="42">
        <f t="shared" si="34"/>
        <v>965931.34999999986</v>
      </c>
      <c r="V112" s="42">
        <f t="shared" si="34"/>
        <v>403842.70999999996</v>
      </c>
      <c r="W112" s="42">
        <f t="shared" si="34"/>
        <v>507175.33999999997</v>
      </c>
      <c r="X112" s="42">
        <f t="shared" si="34"/>
        <v>333445.64999999997</v>
      </c>
      <c r="Y112" s="42">
        <f t="shared" si="34"/>
        <v>173729.68999999997</v>
      </c>
      <c r="Z112" s="42">
        <f t="shared" si="34"/>
        <v>1618321.83</v>
      </c>
      <c r="AA112" s="42">
        <f t="shared" si="34"/>
        <v>17560.259999999998</v>
      </c>
    </row>
    <row r="113" spans="1:27">
      <c r="A113" s="323"/>
      <c r="B113" s="174" t="s">
        <v>64</v>
      </c>
      <c r="C113" s="42">
        <f t="shared" si="28"/>
        <v>108385</v>
      </c>
      <c r="D113" s="42">
        <f t="shared" si="29"/>
        <v>0</v>
      </c>
      <c r="E113" s="42">
        <f t="shared" si="29"/>
        <v>0</v>
      </c>
      <c r="F113" s="42">
        <f t="shared" si="29"/>
        <v>98385</v>
      </c>
      <c r="G113" s="42">
        <f t="shared" si="29"/>
        <v>0</v>
      </c>
      <c r="H113" s="42">
        <f t="shared" si="29"/>
        <v>0</v>
      </c>
      <c r="I113" s="42">
        <f t="shared" si="29"/>
        <v>0</v>
      </c>
      <c r="J113" s="42">
        <f t="shared" si="29"/>
        <v>0</v>
      </c>
      <c r="K113" s="42">
        <f t="shared" si="29"/>
        <v>0</v>
      </c>
      <c r="L113" s="42">
        <f t="shared" si="29"/>
        <v>0</v>
      </c>
      <c r="M113" s="42">
        <f t="shared" si="29"/>
        <v>0</v>
      </c>
      <c r="N113" s="42">
        <f t="shared" si="29"/>
        <v>0</v>
      </c>
      <c r="O113" s="42">
        <f t="shared" si="29"/>
        <v>0</v>
      </c>
      <c r="P113" s="42">
        <f t="shared" si="29"/>
        <v>0</v>
      </c>
      <c r="Q113" s="42">
        <f t="shared" si="29"/>
        <v>0</v>
      </c>
      <c r="R113" s="42">
        <f t="shared" si="30"/>
        <v>10000</v>
      </c>
      <c r="S113" s="42">
        <f t="shared" si="29"/>
        <v>0</v>
      </c>
      <c r="T113" s="42">
        <f t="shared" ref="T113:AA113" si="35">T9+T61</f>
        <v>0</v>
      </c>
      <c r="U113" s="42">
        <f t="shared" si="35"/>
        <v>0</v>
      </c>
      <c r="V113" s="42">
        <f t="shared" si="35"/>
        <v>10000</v>
      </c>
      <c r="W113" s="42">
        <f t="shared" si="35"/>
        <v>0</v>
      </c>
      <c r="X113" s="42">
        <f t="shared" si="35"/>
        <v>0</v>
      </c>
      <c r="Y113" s="42">
        <f t="shared" si="35"/>
        <v>0</v>
      </c>
      <c r="Z113" s="42">
        <f t="shared" si="35"/>
        <v>0</v>
      </c>
      <c r="AA113" s="42">
        <f t="shared" si="35"/>
        <v>0</v>
      </c>
    </row>
    <row r="114" spans="1:27">
      <c r="A114" s="323"/>
      <c r="B114" s="174" t="s">
        <v>65</v>
      </c>
      <c r="C114" s="42">
        <f t="shared" si="28"/>
        <v>229304.17</v>
      </c>
      <c r="D114" s="42">
        <f t="shared" si="29"/>
        <v>0</v>
      </c>
      <c r="E114" s="42">
        <f t="shared" si="29"/>
        <v>18825.799999999996</v>
      </c>
      <c r="F114" s="42">
        <f t="shared" si="29"/>
        <v>180164.48000000001</v>
      </c>
      <c r="G114" s="42">
        <f t="shared" si="29"/>
        <v>-1211.4000000000001</v>
      </c>
      <c r="H114" s="42">
        <f t="shared" si="29"/>
        <v>1610.09</v>
      </c>
      <c r="I114" s="42">
        <f t="shared" si="29"/>
        <v>-1211.4100000000001</v>
      </c>
      <c r="J114" s="42">
        <f t="shared" si="29"/>
        <v>0</v>
      </c>
      <c r="K114" s="42">
        <f t="shared" si="29"/>
        <v>0</v>
      </c>
      <c r="L114" s="42">
        <f t="shared" si="29"/>
        <v>0</v>
      </c>
      <c r="M114" s="42">
        <f t="shared" si="29"/>
        <v>2821.5</v>
      </c>
      <c r="N114" s="42">
        <f t="shared" si="29"/>
        <v>0</v>
      </c>
      <c r="O114" s="42">
        <f t="shared" si="29"/>
        <v>0</v>
      </c>
      <c r="P114" s="42">
        <f t="shared" si="29"/>
        <v>0</v>
      </c>
      <c r="Q114" s="42">
        <f t="shared" si="29"/>
        <v>0</v>
      </c>
      <c r="R114" s="42">
        <f t="shared" si="30"/>
        <v>-1211.4000000000001</v>
      </c>
      <c r="S114" s="42">
        <f t="shared" si="29"/>
        <v>0</v>
      </c>
      <c r="T114" s="42">
        <f t="shared" ref="T114:AA114" si="36">T10+T62</f>
        <v>0</v>
      </c>
      <c r="U114" s="42">
        <f t="shared" si="36"/>
        <v>0</v>
      </c>
      <c r="V114" s="42">
        <f t="shared" si="36"/>
        <v>-1211.4000000000001</v>
      </c>
      <c r="W114" s="42">
        <f t="shared" si="36"/>
        <v>0</v>
      </c>
      <c r="X114" s="42">
        <f t="shared" si="36"/>
        <v>0</v>
      </c>
      <c r="Y114" s="42">
        <f t="shared" si="36"/>
        <v>0</v>
      </c>
      <c r="Z114" s="42">
        <f t="shared" si="36"/>
        <v>31126.6</v>
      </c>
      <c r="AA114" s="42">
        <f t="shared" si="36"/>
        <v>0</v>
      </c>
    </row>
    <row r="115" spans="1:27">
      <c r="A115" s="323"/>
      <c r="B115" s="174" t="s">
        <v>66</v>
      </c>
      <c r="C115" s="42">
        <f t="shared" si="28"/>
        <v>2704483.96</v>
      </c>
      <c r="D115" s="42">
        <f t="shared" si="29"/>
        <v>0</v>
      </c>
      <c r="E115" s="42">
        <f t="shared" si="29"/>
        <v>654260</v>
      </c>
      <c r="F115" s="42">
        <f t="shared" si="29"/>
        <v>1267803.96</v>
      </c>
      <c r="G115" s="42">
        <f t="shared" si="29"/>
        <v>89860</v>
      </c>
      <c r="H115" s="42">
        <f t="shared" si="29"/>
        <v>176280</v>
      </c>
      <c r="I115" s="42">
        <f t="shared" si="29"/>
        <v>56140</v>
      </c>
      <c r="J115" s="42">
        <f t="shared" si="29"/>
        <v>0</v>
      </c>
      <c r="K115" s="42">
        <f t="shared" si="29"/>
        <v>44940</v>
      </c>
      <c r="L115" s="42">
        <f t="shared" si="29"/>
        <v>0</v>
      </c>
      <c r="M115" s="42">
        <f t="shared" si="29"/>
        <v>23520</v>
      </c>
      <c r="N115" s="42">
        <f t="shared" si="29"/>
        <v>0</v>
      </c>
      <c r="O115" s="42">
        <f t="shared" si="29"/>
        <v>15180</v>
      </c>
      <c r="P115" s="42">
        <f t="shared" si="29"/>
        <v>36500</v>
      </c>
      <c r="Q115" s="42">
        <f t="shared" si="29"/>
        <v>108180</v>
      </c>
      <c r="R115" s="42">
        <f t="shared" si="30"/>
        <v>184580</v>
      </c>
      <c r="S115" s="42">
        <f t="shared" si="29"/>
        <v>0</v>
      </c>
      <c r="T115" s="42">
        <f t="shared" ref="T115:AA115" si="37">T11+T63</f>
        <v>83640</v>
      </c>
      <c r="U115" s="42">
        <f t="shared" si="37"/>
        <v>74560</v>
      </c>
      <c r="V115" s="42">
        <f t="shared" si="37"/>
        <v>26380</v>
      </c>
      <c r="W115" s="42">
        <f t="shared" si="37"/>
        <v>53840</v>
      </c>
      <c r="X115" s="42">
        <f t="shared" si="37"/>
        <v>33460</v>
      </c>
      <c r="Y115" s="42">
        <f t="shared" si="37"/>
        <v>20380</v>
      </c>
      <c r="Z115" s="42">
        <f t="shared" si="37"/>
        <v>167020</v>
      </c>
      <c r="AA115" s="42">
        <f t="shared" si="37"/>
        <v>2660</v>
      </c>
    </row>
    <row r="116" spans="1:27">
      <c r="A116" s="323"/>
      <c r="B116" s="174" t="s">
        <v>241</v>
      </c>
      <c r="C116" s="42">
        <f t="shared" si="28"/>
        <v>1208168.5999999999</v>
      </c>
      <c r="D116" s="42">
        <f t="shared" si="29"/>
        <v>0</v>
      </c>
      <c r="E116" s="42">
        <f t="shared" si="29"/>
        <v>156726.57999999999</v>
      </c>
      <c r="F116" s="42">
        <f t="shared" si="29"/>
        <v>766711.74</v>
      </c>
      <c r="G116" s="42">
        <f t="shared" si="29"/>
        <v>0</v>
      </c>
      <c r="H116" s="42">
        <f t="shared" si="29"/>
        <v>182776.58</v>
      </c>
      <c r="I116" s="42">
        <f t="shared" si="29"/>
        <v>0</v>
      </c>
      <c r="J116" s="42">
        <f t="shared" si="29"/>
        <v>0</v>
      </c>
      <c r="K116" s="42">
        <f t="shared" si="29"/>
        <v>0</v>
      </c>
      <c r="L116" s="42">
        <f t="shared" si="29"/>
        <v>0</v>
      </c>
      <c r="M116" s="42">
        <f t="shared" si="29"/>
        <v>0</v>
      </c>
      <c r="N116" s="42">
        <f t="shared" si="29"/>
        <v>0</v>
      </c>
      <c r="O116" s="42">
        <f t="shared" si="29"/>
        <v>182776.58</v>
      </c>
      <c r="P116" s="42">
        <f t="shared" si="29"/>
        <v>0</v>
      </c>
      <c r="Q116" s="42">
        <f t="shared" si="29"/>
        <v>0</v>
      </c>
      <c r="R116" s="42">
        <f t="shared" si="30"/>
        <v>53953.7</v>
      </c>
      <c r="S116" s="42">
        <f t="shared" si="29"/>
        <v>0</v>
      </c>
      <c r="T116" s="42">
        <f t="shared" ref="T116:AA116" si="38">T12+T64</f>
        <v>0</v>
      </c>
      <c r="U116" s="42">
        <f t="shared" si="38"/>
        <v>0</v>
      </c>
      <c r="V116" s="42">
        <f t="shared" si="38"/>
        <v>53953.7</v>
      </c>
      <c r="W116" s="42">
        <f t="shared" si="38"/>
        <v>48000</v>
      </c>
      <c r="X116" s="42">
        <f t="shared" si="38"/>
        <v>48000</v>
      </c>
      <c r="Y116" s="42">
        <f t="shared" si="38"/>
        <v>0</v>
      </c>
      <c r="Z116" s="42">
        <f t="shared" si="38"/>
        <v>0</v>
      </c>
      <c r="AA116" s="42">
        <f t="shared" si="38"/>
        <v>0</v>
      </c>
    </row>
    <row r="117" spans="1:27">
      <c r="A117" s="323"/>
      <c r="B117" s="174" t="s">
        <v>68</v>
      </c>
      <c r="C117" s="42">
        <f t="shared" si="28"/>
        <v>148290947.33000001</v>
      </c>
      <c r="D117" s="42">
        <f t="shared" si="29"/>
        <v>0</v>
      </c>
      <c r="E117" s="42">
        <f t="shared" si="29"/>
        <v>147269500</v>
      </c>
      <c r="F117" s="42">
        <f t="shared" si="29"/>
        <v>0</v>
      </c>
      <c r="G117" s="42">
        <f t="shared" si="29"/>
        <v>1021447.33</v>
      </c>
      <c r="H117" s="42">
        <f t="shared" si="29"/>
        <v>0</v>
      </c>
      <c r="I117" s="42">
        <f t="shared" si="29"/>
        <v>0</v>
      </c>
      <c r="J117" s="42">
        <f t="shared" si="29"/>
        <v>0</v>
      </c>
      <c r="K117" s="42">
        <f t="shared" si="29"/>
        <v>0</v>
      </c>
      <c r="L117" s="42">
        <f t="shared" si="29"/>
        <v>0</v>
      </c>
      <c r="M117" s="42">
        <f t="shared" si="29"/>
        <v>0</v>
      </c>
      <c r="N117" s="42">
        <f t="shared" si="29"/>
        <v>0</v>
      </c>
      <c r="O117" s="42">
        <f t="shared" si="29"/>
        <v>0</v>
      </c>
      <c r="P117" s="42">
        <f t="shared" si="29"/>
        <v>0</v>
      </c>
      <c r="Q117" s="42">
        <f t="shared" si="29"/>
        <v>0</v>
      </c>
      <c r="R117" s="42">
        <f t="shared" si="30"/>
        <v>0</v>
      </c>
      <c r="S117" s="42">
        <f t="shared" si="29"/>
        <v>0</v>
      </c>
      <c r="T117" s="42">
        <f t="shared" ref="T117:AA119" si="39">T13+T65</f>
        <v>0</v>
      </c>
      <c r="U117" s="42">
        <f t="shared" si="39"/>
        <v>0</v>
      </c>
      <c r="V117" s="42">
        <f t="shared" si="39"/>
        <v>0</v>
      </c>
      <c r="W117" s="42">
        <f t="shared" si="39"/>
        <v>0</v>
      </c>
      <c r="X117" s="42">
        <f t="shared" si="39"/>
        <v>0</v>
      </c>
      <c r="Y117" s="42">
        <f t="shared" si="39"/>
        <v>0</v>
      </c>
      <c r="Z117" s="42">
        <f t="shared" si="39"/>
        <v>0</v>
      </c>
      <c r="AA117" s="42">
        <f t="shared" si="39"/>
        <v>0</v>
      </c>
    </row>
    <row r="118" spans="1:27" ht="13.5" customHeight="1">
      <c r="A118" s="324"/>
      <c r="B118" s="175" t="s">
        <v>247</v>
      </c>
      <c r="C118" s="43">
        <f>SUM(C108:C117)</f>
        <v>378833713.47000003</v>
      </c>
      <c r="D118" s="43">
        <f t="shared" ref="D118:Z118" si="40">SUM(D108:D117)</f>
        <v>-505822</v>
      </c>
      <c r="E118" s="43">
        <f t="shared" si="40"/>
        <v>204402445</v>
      </c>
      <c r="F118" s="43">
        <f t="shared" si="40"/>
        <v>111198435.92999999</v>
      </c>
      <c r="G118" s="43">
        <f t="shared" si="40"/>
        <v>7728067.9699999997</v>
      </c>
      <c r="H118" s="43">
        <f>SUM(H108:H117)</f>
        <v>17361838.800000001</v>
      </c>
      <c r="I118" s="43">
        <f t="shared" si="40"/>
        <v>4965190.59</v>
      </c>
      <c r="J118" s="43">
        <f t="shared" si="40"/>
        <v>630693.68000000017</v>
      </c>
      <c r="K118" s="43">
        <f t="shared" si="40"/>
        <v>3729849.9099999997</v>
      </c>
      <c r="L118" s="43">
        <f t="shared" si="40"/>
        <v>0</v>
      </c>
      <c r="M118" s="43">
        <f t="shared" si="40"/>
        <v>2227819.09</v>
      </c>
      <c r="N118" s="43">
        <f t="shared" si="40"/>
        <v>0</v>
      </c>
      <c r="O118" s="43">
        <f t="shared" si="40"/>
        <v>2145675.3200000003</v>
      </c>
      <c r="P118" s="43">
        <f t="shared" si="40"/>
        <v>3662610.21</v>
      </c>
      <c r="Q118" s="43">
        <f t="shared" si="40"/>
        <v>7154384.9899999993</v>
      </c>
      <c r="R118" s="43">
        <f>SUM(R108:R117)</f>
        <v>21638300.859999999</v>
      </c>
      <c r="S118" s="43">
        <f t="shared" si="40"/>
        <v>0</v>
      </c>
      <c r="T118" s="43">
        <f t="shared" si="40"/>
        <v>8146452.9199999999</v>
      </c>
      <c r="U118" s="43">
        <f t="shared" si="40"/>
        <v>10807658.609999999</v>
      </c>
      <c r="V118" s="43">
        <f t="shared" si="40"/>
        <v>2684189.33</v>
      </c>
      <c r="W118" s="43">
        <f t="shared" si="40"/>
        <v>2730743.7399999993</v>
      </c>
      <c r="X118" s="43">
        <f t="shared" si="40"/>
        <v>1914341.1799999997</v>
      </c>
      <c r="Y118" s="43">
        <f t="shared" si="40"/>
        <v>816402.55999999982</v>
      </c>
      <c r="Z118" s="43">
        <f t="shared" si="40"/>
        <v>7021894.0800000001</v>
      </c>
      <c r="AA118" s="43">
        <f>SUM(AA108:AA117)</f>
        <v>103424.09999999999</v>
      </c>
    </row>
    <row r="119" spans="1:27" ht="13.5" customHeight="1">
      <c r="A119" s="325" t="s">
        <v>70</v>
      </c>
      <c r="B119" s="174" t="s">
        <v>71</v>
      </c>
      <c r="C119" s="42">
        <f t="shared" si="28"/>
        <v>82578070.280000016</v>
      </c>
      <c r="D119" s="42">
        <f t="shared" si="29"/>
        <v>0</v>
      </c>
      <c r="E119" s="42">
        <f t="shared" si="29"/>
        <v>0</v>
      </c>
      <c r="F119" s="42">
        <f t="shared" si="29"/>
        <v>37237939.580000013</v>
      </c>
      <c r="G119" s="42">
        <f t="shared" si="29"/>
        <v>0</v>
      </c>
      <c r="H119" s="42">
        <f t="shared" si="29"/>
        <v>336713.03</v>
      </c>
      <c r="I119" s="42">
        <f t="shared" si="29"/>
        <v>0</v>
      </c>
      <c r="J119" s="42">
        <f t="shared" si="29"/>
        <v>0</v>
      </c>
      <c r="K119" s="42">
        <f t="shared" si="29"/>
        <v>0</v>
      </c>
      <c r="L119" s="42">
        <f t="shared" si="29"/>
        <v>0</v>
      </c>
      <c r="M119" s="42">
        <f t="shared" si="29"/>
        <v>239970.86</v>
      </c>
      <c r="N119" s="42">
        <f t="shared" si="29"/>
        <v>0</v>
      </c>
      <c r="O119" s="42">
        <f t="shared" si="29"/>
        <v>0</v>
      </c>
      <c r="P119" s="42">
        <f t="shared" si="29"/>
        <v>96742.170000000013</v>
      </c>
      <c r="Q119" s="42">
        <f t="shared" si="29"/>
        <v>2015502</v>
      </c>
      <c r="R119" s="42">
        <f t="shared" si="30"/>
        <v>42587915.670000002</v>
      </c>
      <c r="S119" s="42">
        <f t="shared" si="29"/>
        <v>0</v>
      </c>
      <c r="T119" s="42">
        <f t="shared" si="39"/>
        <v>34832437</v>
      </c>
      <c r="U119" s="42">
        <f t="shared" si="39"/>
        <v>7755478.6699999999</v>
      </c>
      <c r="V119" s="42">
        <f t="shared" si="39"/>
        <v>0</v>
      </c>
      <c r="W119" s="42">
        <f t="shared" si="39"/>
        <v>400000</v>
      </c>
      <c r="X119" s="42">
        <f t="shared" si="39"/>
        <v>400000</v>
      </c>
      <c r="Y119" s="42">
        <f t="shared" si="39"/>
        <v>0</v>
      </c>
      <c r="Z119" s="42">
        <f t="shared" si="39"/>
        <v>0</v>
      </c>
      <c r="AA119" s="42">
        <f t="shared" si="39"/>
        <v>0</v>
      </c>
    </row>
    <row r="120" spans="1:27">
      <c r="A120" s="326"/>
      <c r="B120" s="174" t="s">
        <v>242</v>
      </c>
      <c r="C120" s="42">
        <f t="shared" si="28"/>
        <v>82456267.919999987</v>
      </c>
      <c r="D120" s="42">
        <f t="shared" ref="D120:AA120" si="41">D16+D68</f>
        <v>-78000</v>
      </c>
      <c r="E120" s="42">
        <f t="shared" si="41"/>
        <v>0</v>
      </c>
      <c r="F120" s="42">
        <f t="shared" si="41"/>
        <v>32616953.899999987</v>
      </c>
      <c r="G120" s="42">
        <f t="shared" si="41"/>
        <v>0</v>
      </c>
      <c r="H120" s="42">
        <f t="shared" si="41"/>
        <v>78000</v>
      </c>
      <c r="I120" s="42">
        <f t="shared" si="41"/>
        <v>0</v>
      </c>
      <c r="J120" s="42">
        <f t="shared" si="41"/>
        <v>0</v>
      </c>
      <c r="K120" s="42">
        <f t="shared" si="41"/>
        <v>356</v>
      </c>
      <c r="L120" s="42">
        <f t="shared" si="41"/>
        <v>0</v>
      </c>
      <c r="M120" s="42">
        <f t="shared" si="41"/>
        <v>0</v>
      </c>
      <c r="N120" s="42">
        <f t="shared" si="41"/>
        <v>0</v>
      </c>
      <c r="O120" s="42">
        <f t="shared" si="41"/>
        <v>0</v>
      </c>
      <c r="P120" s="42">
        <f t="shared" si="41"/>
        <v>78000</v>
      </c>
      <c r="Q120" s="42">
        <f t="shared" si="41"/>
        <v>2320079</v>
      </c>
      <c r="R120" s="42">
        <f t="shared" si="41"/>
        <v>47314489.020000003</v>
      </c>
      <c r="S120" s="42">
        <f t="shared" si="41"/>
        <v>0</v>
      </c>
      <c r="T120" s="42">
        <f t="shared" si="41"/>
        <v>42071989.020000003</v>
      </c>
      <c r="U120" s="42">
        <f t="shared" si="41"/>
        <v>5242500</v>
      </c>
      <c r="V120" s="42">
        <f t="shared" si="41"/>
        <v>0</v>
      </c>
      <c r="W120" s="42">
        <f t="shared" si="41"/>
        <v>204746</v>
      </c>
      <c r="X120" s="42">
        <f t="shared" si="41"/>
        <v>0</v>
      </c>
      <c r="Y120" s="42">
        <f t="shared" si="41"/>
        <v>204746</v>
      </c>
      <c r="Z120" s="42">
        <f t="shared" si="41"/>
        <v>0</v>
      </c>
      <c r="AA120" s="42">
        <f t="shared" si="41"/>
        <v>0</v>
      </c>
    </row>
    <row r="121" spans="1:27">
      <c r="A121" s="326"/>
      <c r="B121" s="174" t="s">
        <v>73</v>
      </c>
      <c r="C121" s="42">
        <f t="shared" si="28"/>
        <v>17855023.090000007</v>
      </c>
      <c r="D121" s="42">
        <f t="shared" ref="D121:AA121" si="42">D17+D69</f>
        <v>-590100.35000000009</v>
      </c>
      <c r="E121" s="42">
        <f t="shared" si="42"/>
        <v>-3392770.24</v>
      </c>
      <c r="F121" s="42">
        <f t="shared" si="42"/>
        <v>16037728.830000006</v>
      </c>
      <c r="G121" s="42">
        <f t="shared" si="42"/>
        <v>-1668526.1299999997</v>
      </c>
      <c r="H121" s="42">
        <f t="shared" si="42"/>
        <v>833230.48999999964</v>
      </c>
      <c r="I121" s="42">
        <f t="shared" si="42"/>
        <v>2761419.61</v>
      </c>
      <c r="J121" s="42">
        <f t="shared" si="42"/>
        <v>0</v>
      </c>
      <c r="K121" s="42">
        <f t="shared" si="42"/>
        <v>-1751322.76</v>
      </c>
      <c r="L121" s="42">
        <f t="shared" si="42"/>
        <v>0</v>
      </c>
      <c r="M121" s="42">
        <f t="shared" si="42"/>
        <v>83577.27</v>
      </c>
      <c r="N121" s="42">
        <f t="shared" si="42"/>
        <v>0</v>
      </c>
      <c r="O121" s="42">
        <f t="shared" si="42"/>
        <v>43.45</v>
      </c>
      <c r="P121" s="42">
        <f t="shared" si="42"/>
        <v>-260487.08000000002</v>
      </c>
      <c r="Q121" s="42">
        <f t="shared" si="42"/>
        <v>516437.17</v>
      </c>
      <c r="R121" s="42">
        <f>R17+R69</f>
        <v>6101639.4899999993</v>
      </c>
      <c r="S121" s="42">
        <f t="shared" si="42"/>
        <v>0</v>
      </c>
      <c r="T121" s="42">
        <f t="shared" si="42"/>
        <v>5039784.9899999993</v>
      </c>
      <c r="U121" s="42">
        <f t="shared" si="42"/>
        <v>987104.82999999984</v>
      </c>
      <c r="V121" s="42">
        <f t="shared" si="42"/>
        <v>74749.67</v>
      </c>
      <c r="W121" s="42">
        <f t="shared" si="42"/>
        <v>17386.54</v>
      </c>
      <c r="X121" s="42">
        <f t="shared" si="42"/>
        <v>24.18</v>
      </c>
      <c r="Y121" s="42">
        <f t="shared" si="42"/>
        <v>17362.36</v>
      </c>
      <c r="Z121" s="42">
        <f t="shared" si="42"/>
        <v>-2.83</v>
      </c>
      <c r="AA121" s="42">
        <f t="shared" si="42"/>
        <v>0.12</v>
      </c>
    </row>
    <row r="122" spans="1:27">
      <c r="A122" s="326"/>
      <c r="B122" s="174" t="s">
        <v>96</v>
      </c>
      <c r="C122" s="42">
        <f t="shared" si="28"/>
        <v>633944.46</v>
      </c>
      <c r="D122" s="42">
        <f t="shared" ref="D122:AA122" si="43">D18+D70</f>
        <v>0</v>
      </c>
      <c r="E122" s="42">
        <f t="shared" si="43"/>
        <v>0</v>
      </c>
      <c r="F122" s="42">
        <f t="shared" si="43"/>
        <v>610444.35</v>
      </c>
      <c r="G122" s="42">
        <f t="shared" si="43"/>
        <v>0</v>
      </c>
      <c r="H122" s="42">
        <f t="shared" si="43"/>
        <v>23500.11</v>
      </c>
      <c r="I122" s="42">
        <f t="shared" si="43"/>
        <v>0</v>
      </c>
      <c r="J122" s="42">
        <f t="shared" si="43"/>
        <v>0</v>
      </c>
      <c r="K122" s="42">
        <f t="shared" si="43"/>
        <v>0</v>
      </c>
      <c r="L122" s="42">
        <f t="shared" si="43"/>
        <v>0</v>
      </c>
      <c r="M122" s="42">
        <f t="shared" si="43"/>
        <v>0</v>
      </c>
      <c r="N122" s="42">
        <f t="shared" si="43"/>
        <v>0</v>
      </c>
      <c r="O122" s="42">
        <f t="shared" si="43"/>
        <v>23500.11</v>
      </c>
      <c r="P122" s="42">
        <f t="shared" si="43"/>
        <v>0</v>
      </c>
      <c r="Q122" s="42">
        <f t="shared" si="43"/>
        <v>0</v>
      </c>
      <c r="R122" s="42">
        <f t="shared" si="43"/>
        <v>0</v>
      </c>
      <c r="S122" s="42">
        <f t="shared" si="43"/>
        <v>0</v>
      </c>
      <c r="T122" s="42">
        <f t="shared" si="43"/>
        <v>0</v>
      </c>
      <c r="U122" s="42">
        <f t="shared" si="43"/>
        <v>0</v>
      </c>
      <c r="V122" s="42">
        <f t="shared" si="43"/>
        <v>0</v>
      </c>
      <c r="W122" s="42">
        <f t="shared" si="43"/>
        <v>0</v>
      </c>
      <c r="X122" s="42">
        <f t="shared" si="43"/>
        <v>0</v>
      </c>
      <c r="Y122" s="42">
        <f t="shared" si="43"/>
        <v>0</v>
      </c>
      <c r="Z122" s="42">
        <f t="shared" si="43"/>
        <v>0</v>
      </c>
      <c r="AA122" s="42">
        <f t="shared" si="43"/>
        <v>0</v>
      </c>
    </row>
    <row r="123" spans="1:27" ht="13.5" customHeight="1">
      <c r="A123" s="326"/>
      <c r="B123" s="174" t="s">
        <v>74</v>
      </c>
      <c r="C123" s="42">
        <f t="shared" si="28"/>
        <v>13502433.289999999</v>
      </c>
      <c r="D123" s="42">
        <f t="shared" ref="D123:AA125" si="44">D19+D71</f>
        <v>0</v>
      </c>
      <c r="E123" s="42">
        <f t="shared" si="44"/>
        <v>0</v>
      </c>
      <c r="F123" s="42">
        <f t="shared" si="44"/>
        <v>12890169.689999999</v>
      </c>
      <c r="G123" s="42">
        <f t="shared" si="44"/>
        <v>492659.83</v>
      </c>
      <c r="H123" s="42">
        <f t="shared" si="44"/>
        <v>119603.77000000002</v>
      </c>
      <c r="I123" s="42">
        <f t="shared" si="44"/>
        <v>111603.77000000002</v>
      </c>
      <c r="J123" s="42">
        <f t="shared" si="44"/>
        <v>0</v>
      </c>
      <c r="K123" s="42">
        <f t="shared" si="44"/>
        <v>0</v>
      </c>
      <c r="L123" s="42">
        <f t="shared" si="44"/>
        <v>0</v>
      </c>
      <c r="M123" s="42">
        <f t="shared" si="44"/>
        <v>0</v>
      </c>
      <c r="N123" s="42">
        <f t="shared" si="44"/>
        <v>0</v>
      </c>
      <c r="O123" s="42">
        <f t="shared" si="44"/>
        <v>8000</v>
      </c>
      <c r="P123" s="42">
        <f t="shared" si="44"/>
        <v>0</v>
      </c>
      <c r="Q123" s="42">
        <f t="shared" si="44"/>
        <v>0</v>
      </c>
      <c r="R123" s="42">
        <f t="shared" si="44"/>
        <v>0</v>
      </c>
      <c r="S123" s="42">
        <f t="shared" si="44"/>
        <v>0</v>
      </c>
      <c r="T123" s="42">
        <f t="shared" si="44"/>
        <v>0</v>
      </c>
      <c r="U123" s="42">
        <f t="shared" si="44"/>
        <v>0</v>
      </c>
      <c r="V123" s="42">
        <f t="shared" si="44"/>
        <v>0</v>
      </c>
      <c r="W123" s="42">
        <f t="shared" si="44"/>
        <v>0</v>
      </c>
      <c r="X123" s="42">
        <f t="shared" si="44"/>
        <v>0</v>
      </c>
      <c r="Y123" s="42">
        <f t="shared" si="44"/>
        <v>0</v>
      </c>
      <c r="Z123" s="42">
        <f t="shared" si="44"/>
        <v>0</v>
      </c>
      <c r="AA123" s="42">
        <f t="shared" si="44"/>
        <v>0</v>
      </c>
    </row>
    <row r="124" spans="1:27">
      <c r="A124" s="327"/>
      <c r="B124" s="175" t="s">
        <v>69</v>
      </c>
      <c r="C124" s="43">
        <f>SUM(C119:C123)</f>
        <v>197025739.03999999</v>
      </c>
      <c r="D124" s="43">
        <f>SUM(D119:D123)</f>
        <v>-668100.35000000009</v>
      </c>
      <c r="E124" s="43">
        <f t="shared" ref="E124:Z124" si="45">SUM(E119:E123)</f>
        <v>-3392770.24</v>
      </c>
      <c r="F124" s="43">
        <f t="shared" si="45"/>
        <v>99393236.349999994</v>
      </c>
      <c r="G124" s="43">
        <f t="shared" si="45"/>
        <v>-1175866.2999999996</v>
      </c>
      <c r="H124" s="43">
        <f t="shared" si="45"/>
        <v>1391047.3999999997</v>
      </c>
      <c r="I124" s="43">
        <f t="shared" si="45"/>
        <v>2873023.38</v>
      </c>
      <c r="J124" s="43">
        <f t="shared" si="45"/>
        <v>0</v>
      </c>
      <c r="K124" s="43">
        <f t="shared" si="45"/>
        <v>-1750966.76</v>
      </c>
      <c r="L124" s="43">
        <f t="shared" si="45"/>
        <v>0</v>
      </c>
      <c r="M124" s="43">
        <f t="shared" si="45"/>
        <v>323548.13</v>
      </c>
      <c r="N124" s="43">
        <f t="shared" si="45"/>
        <v>0</v>
      </c>
      <c r="O124" s="43">
        <f t="shared" si="45"/>
        <v>31543.56</v>
      </c>
      <c r="P124" s="43">
        <f t="shared" si="45"/>
        <v>-85744.91</v>
      </c>
      <c r="Q124" s="43">
        <f t="shared" si="45"/>
        <v>4852018.17</v>
      </c>
      <c r="R124" s="43">
        <f t="shared" si="45"/>
        <v>96004044.179999992</v>
      </c>
      <c r="S124" s="43">
        <f t="shared" si="45"/>
        <v>0</v>
      </c>
      <c r="T124" s="43">
        <f t="shared" si="45"/>
        <v>81944211.010000005</v>
      </c>
      <c r="U124" s="43">
        <f t="shared" si="45"/>
        <v>13985083.5</v>
      </c>
      <c r="V124" s="43">
        <f t="shared" si="45"/>
        <v>74749.67</v>
      </c>
      <c r="W124" s="43">
        <f t="shared" si="45"/>
        <v>622132.54</v>
      </c>
      <c r="X124" s="43">
        <f t="shared" si="45"/>
        <v>400024.18</v>
      </c>
      <c r="Y124" s="43">
        <f t="shared" si="45"/>
        <v>222108.36</v>
      </c>
      <c r="Z124" s="43">
        <f t="shared" si="45"/>
        <v>-2.83</v>
      </c>
      <c r="AA124" s="43">
        <f t="shared" ref="AA124" si="46">SUM(AA119:AA123)</f>
        <v>0.12</v>
      </c>
    </row>
    <row r="125" spans="1:27" ht="13.5" customHeight="1">
      <c r="A125" s="319" t="s">
        <v>75</v>
      </c>
      <c r="B125" s="174" t="s">
        <v>76</v>
      </c>
      <c r="C125" s="42">
        <f t="shared" si="28"/>
        <v>34105856.309999995</v>
      </c>
      <c r="D125" s="42">
        <f t="shared" ref="D125:AA125" si="47">D21+D73</f>
        <v>0</v>
      </c>
      <c r="E125" s="42">
        <f t="shared" si="47"/>
        <v>4782259.3199999994</v>
      </c>
      <c r="F125" s="42">
        <f t="shared" si="47"/>
        <v>12902933.649999999</v>
      </c>
      <c r="G125" s="42">
        <f t="shared" si="47"/>
        <v>1497743.63</v>
      </c>
      <c r="H125" s="42">
        <f t="shared" si="44"/>
        <v>2353761.56</v>
      </c>
      <c r="I125" s="42">
        <f t="shared" si="47"/>
        <v>725735.79</v>
      </c>
      <c r="J125" s="42">
        <f t="shared" si="47"/>
        <v>114767.88</v>
      </c>
      <c r="K125" s="42">
        <f t="shared" si="47"/>
        <v>461870</v>
      </c>
      <c r="L125" s="42">
        <f t="shared" si="47"/>
        <v>0</v>
      </c>
      <c r="M125" s="42">
        <f t="shared" si="47"/>
        <v>327538.15000000002</v>
      </c>
      <c r="N125" s="42">
        <f t="shared" si="47"/>
        <v>0</v>
      </c>
      <c r="O125" s="42">
        <f t="shared" si="47"/>
        <v>249517.12</v>
      </c>
      <c r="P125" s="42">
        <f t="shared" si="47"/>
        <v>474332.62</v>
      </c>
      <c r="Q125" s="42">
        <f t="shared" si="47"/>
        <v>831611.04</v>
      </c>
      <c r="R125" s="42">
        <f>R21+R73</f>
        <v>10720148.33</v>
      </c>
      <c r="S125" s="42">
        <f t="shared" si="47"/>
        <v>0</v>
      </c>
      <c r="T125" s="42">
        <f t="shared" si="47"/>
        <v>8239948.7800000003</v>
      </c>
      <c r="U125" s="42">
        <f t="shared" si="47"/>
        <v>2329803.35</v>
      </c>
      <c r="V125" s="42">
        <f t="shared" si="47"/>
        <v>150396.19999999998</v>
      </c>
      <c r="W125" s="42">
        <f t="shared" si="47"/>
        <v>456989.29999999993</v>
      </c>
      <c r="X125" s="42">
        <f t="shared" si="47"/>
        <v>429402.85</v>
      </c>
      <c r="Y125" s="42">
        <f t="shared" si="47"/>
        <v>27586.45</v>
      </c>
      <c r="Z125" s="42">
        <f t="shared" si="47"/>
        <v>547132.19999999995</v>
      </c>
      <c r="AA125" s="42">
        <f t="shared" si="47"/>
        <v>13277.28</v>
      </c>
    </row>
    <row r="126" spans="1:27">
      <c r="A126" s="320"/>
      <c r="B126" s="174" t="s">
        <v>77</v>
      </c>
      <c r="C126" s="42">
        <f t="shared" si="28"/>
        <v>12965993.99</v>
      </c>
      <c r="D126" s="42">
        <f t="shared" ref="D126:AA126" si="48">D22+D74</f>
        <v>0</v>
      </c>
      <c r="E126" s="42">
        <f t="shared" si="48"/>
        <v>2131573.21</v>
      </c>
      <c r="F126" s="42">
        <f t="shared" si="48"/>
        <v>2854990.7399999998</v>
      </c>
      <c r="G126" s="42">
        <f t="shared" si="48"/>
        <v>332099.14999999997</v>
      </c>
      <c r="H126" s="42">
        <f t="shared" si="48"/>
        <v>1622454.91</v>
      </c>
      <c r="I126" s="42">
        <f t="shared" si="48"/>
        <v>590709.62</v>
      </c>
      <c r="J126" s="42">
        <f t="shared" si="48"/>
        <v>114585.03</v>
      </c>
      <c r="K126" s="42">
        <f t="shared" si="48"/>
        <v>346264.07999999996</v>
      </c>
      <c r="L126" s="42">
        <f t="shared" si="48"/>
        <v>0</v>
      </c>
      <c r="M126" s="42">
        <f t="shared" si="48"/>
        <v>232011.6</v>
      </c>
      <c r="N126" s="42">
        <f t="shared" si="48"/>
        <v>0</v>
      </c>
      <c r="O126" s="42">
        <f t="shared" si="48"/>
        <v>83212.100000000006</v>
      </c>
      <c r="P126" s="42">
        <f t="shared" si="48"/>
        <v>255672.47999999998</v>
      </c>
      <c r="Q126" s="42">
        <f t="shared" si="48"/>
        <v>985614.43</v>
      </c>
      <c r="R126" s="42">
        <f t="shared" si="48"/>
        <v>4633356.9399999995</v>
      </c>
      <c r="S126" s="42">
        <f t="shared" si="48"/>
        <v>0</v>
      </c>
      <c r="T126" s="42">
        <f t="shared" si="48"/>
        <v>3195454.46</v>
      </c>
      <c r="U126" s="42">
        <f t="shared" si="48"/>
        <v>1229047.5</v>
      </c>
      <c r="V126" s="42">
        <f t="shared" si="48"/>
        <v>208854.97999999998</v>
      </c>
      <c r="W126" s="42">
        <f t="shared" si="48"/>
        <v>161313.97</v>
      </c>
      <c r="X126" s="42">
        <f t="shared" si="48"/>
        <v>87370.2</v>
      </c>
      <c r="Y126" s="42">
        <f t="shared" si="48"/>
        <v>73943.77</v>
      </c>
      <c r="Z126" s="42">
        <f t="shared" si="48"/>
        <v>236783.24</v>
      </c>
      <c r="AA126" s="42">
        <f t="shared" si="48"/>
        <v>7807.4</v>
      </c>
    </row>
    <row r="127" spans="1:27">
      <c r="A127" s="320"/>
      <c r="B127" s="174" t="s">
        <v>80</v>
      </c>
      <c r="C127" s="42">
        <f t="shared" si="28"/>
        <v>5212826.1500000004</v>
      </c>
      <c r="D127" s="42">
        <f t="shared" ref="D127:AA127" si="49">D23+D75</f>
        <v>0</v>
      </c>
      <c r="E127" s="42">
        <f t="shared" si="49"/>
        <v>1072504.7</v>
      </c>
      <c r="F127" s="42">
        <f t="shared" si="49"/>
        <v>1994237.1200000006</v>
      </c>
      <c r="G127" s="42">
        <f t="shared" si="49"/>
        <v>85495.680000000008</v>
      </c>
      <c r="H127" s="42">
        <f t="shared" si="49"/>
        <v>176815.5</v>
      </c>
      <c r="I127" s="42">
        <f t="shared" si="49"/>
        <v>26762.929999999997</v>
      </c>
      <c r="J127" s="42">
        <f t="shared" si="49"/>
        <v>6696.53</v>
      </c>
      <c r="K127" s="42">
        <f t="shared" si="49"/>
        <v>29882.359999999997</v>
      </c>
      <c r="L127" s="42">
        <f t="shared" si="49"/>
        <v>0</v>
      </c>
      <c r="M127" s="42">
        <f t="shared" si="49"/>
        <v>36562.01</v>
      </c>
      <c r="N127" s="42">
        <f t="shared" si="49"/>
        <v>0</v>
      </c>
      <c r="O127" s="42">
        <f t="shared" si="49"/>
        <v>62231.69</v>
      </c>
      <c r="P127" s="42">
        <f t="shared" si="49"/>
        <v>14679.98</v>
      </c>
      <c r="Q127" s="42">
        <f t="shared" si="49"/>
        <v>134720.95000000001</v>
      </c>
      <c r="R127" s="42">
        <f t="shared" si="49"/>
        <v>1667730.4799999997</v>
      </c>
      <c r="S127" s="42">
        <f t="shared" si="49"/>
        <v>0</v>
      </c>
      <c r="T127" s="42">
        <f t="shared" si="49"/>
        <v>1433374.2599999998</v>
      </c>
      <c r="U127" s="42">
        <f t="shared" si="49"/>
        <v>209836.52999999997</v>
      </c>
      <c r="V127" s="42">
        <f t="shared" si="49"/>
        <v>24519.690000000002</v>
      </c>
      <c r="W127" s="42">
        <f t="shared" si="49"/>
        <v>33482.119999999995</v>
      </c>
      <c r="X127" s="42">
        <f t="shared" si="49"/>
        <v>31858.379999999997</v>
      </c>
      <c r="Y127" s="42">
        <f t="shared" si="49"/>
        <v>1623.7400000000002</v>
      </c>
      <c r="Z127" s="42">
        <f t="shared" si="49"/>
        <v>40321.090000000004</v>
      </c>
      <c r="AA127" s="42">
        <f t="shared" si="49"/>
        <v>7518.51</v>
      </c>
    </row>
    <row r="128" spans="1:27">
      <c r="A128" s="320"/>
      <c r="B128" s="174" t="s">
        <v>81</v>
      </c>
      <c r="C128" s="42">
        <f t="shared" si="28"/>
        <v>2104487.08</v>
      </c>
      <c r="D128" s="42">
        <f t="shared" ref="D128:AA128" si="50">D24+D76</f>
        <v>0</v>
      </c>
      <c r="E128" s="42">
        <f t="shared" si="50"/>
        <v>271131.46999999997</v>
      </c>
      <c r="F128" s="42">
        <f t="shared" si="50"/>
        <v>1117774.1599999999</v>
      </c>
      <c r="G128" s="42">
        <f t="shared" si="50"/>
        <v>41606.730000000003</v>
      </c>
      <c r="H128" s="42">
        <f t="shared" si="50"/>
        <v>29740.119999999995</v>
      </c>
      <c r="I128" s="42">
        <f t="shared" si="50"/>
        <v>27964.91</v>
      </c>
      <c r="J128" s="42">
        <f t="shared" si="50"/>
        <v>461.17</v>
      </c>
      <c r="K128" s="42">
        <f t="shared" si="50"/>
        <v>3785.66</v>
      </c>
      <c r="L128" s="42">
        <f t="shared" si="50"/>
        <v>0</v>
      </c>
      <c r="M128" s="42">
        <f t="shared" si="50"/>
        <v>234.14</v>
      </c>
      <c r="N128" s="42">
        <f t="shared" si="50"/>
        <v>0</v>
      </c>
      <c r="O128" s="42">
        <f t="shared" si="50"/>
        <v>-6465.6000000000013</v>
      </c>
      <c r="P128" s="42">
        <f t="shared" si="50"/>
        <v>3759.8399999999997</v>
      </c>
      <c r="Q128" s="42">
        <f t="shared" si="50"/>
        <v>19716.32</v>
      </c>
      <c r="R128" s="42">
        <f t="shared" si="50"/>
        <v>601382.99</v>
      </c>
      <c r="S128" s="42">
        <f t="shared" si="50"/>
        <v>0</v>
      </c>
      <c r="T128" s="42">
        <f t="shared" si="50"/>
        <v>526170.24</v>
      </c>
      <c r="U128" s="42">
        <f t="shared" si="50"/>
        <v>61920.08</v>
      </c>
      <c r="V128" s="42">
        <f t="shared" si="50"/>
        <v>13292.67</v>
      </c>
      <c r="W128" s="42">
        <f t="shared" si="50"/>
        <v>15695.76</v>
      </c>
      <c r="X128" s="42">
        <f t="shared" si="50"/>
        <v>15695.76</v>
      </c>
      <c r="Y128" s="42">
        <f t="shared" si="50"/>
        <v>0</v>
      </c>
      <c r="Z128" s="42">
        <f t="shared" si="50"/>
        <v>5989.4</v>
      </c>
      <c r="AA128" s="42">
        <f t="shared" si="50"/>
        <v>1450.13</v>
      </c>
    </row>
    <row r="129" spans="1:27">
      <c r="A129" s="320"/>
      <c r="B129" s="174" t="s">
        <v>84</v>
      </c>
      <c r="C129" s="42">
        <f t="shared" si="28"/>
        <v>8364687.2899999982</v>
      </c>
      <c r="D129" s="42">
        <f t="shared" ref="D129:AA129" si="51">D25+D77</f>
        <v>-28809643.68</v>
      </c>
      <c r="E129" s="42">
        <f t="shared" si="51"/>
        <v>984696.72000000009</v>
      </c>
      <c r="F129" s="42">
        <f t="shared" si="51"/>
        <v>36177593.859999999</v>
      </c>
      <c r="G129" s="42">
        <f t="shared" si="51"/>
        <v>0</v>
      </c>
      <c r="H129" s="42">
        <f t="shared" si="51"/>
        <v>0</v>
      </c>
      <c r="I129" s="42">
        <f t="shared" si="51"/>
        <v>0</v>
      </c>
      <c r="J129" s="42">
        <f t="shared" si="51"/>
        <v>0</v>
      </c>
      <c r="K129" s="42">
        <f t="shared" si="51"/>
        <v>0</v>
      </c>
      <c r="L129" s="42">
        <f t="shared" si="51"/>
        <v>0</v>
      </c>
      <c r="M129" s="42">
        <f t="shared" si="51"/>
        <v>0</v>
      </c>
      <c r="N129" s="42">
        <f t="shared" si="51"/>
        <v>0</v>
      </c>
      <c r="O129" s="42">
        <f t="shared" si="51"/>
        <v>0</v>
      </c>
      <c r="P129" s="42">
        <f t="shared" si="51"/>
        <v>0</v>
      </c>
      <c r="Q129" s="42">
        <f t="shared" si="51"/>
        <v>0</v>
      </c>
      <c r="R129" s="42">
        <f t="shared" si="51"/>
        <v>5320</v>
      </c>
      <c r="S129" s="42">
        <f t="shared" si="51"/>
        <v>0</v>
      </c>
      <c r="T129" s="42">
        <f t="shared" si="51"/>
        <v>1520</v>
      </c>
      <c r="U129" s="42">
        <f t="shared" si="51"/>
        <v>0</v>
      </c>
      <c r="V129" s="42">
        <f t="shared" si="51"/>
        <v>3800</v>
      </c>
      <c r="W129" s="42">
        <f t="shared" si="51"/>
        <v>6720.39</v>
      </c>
      <c r="X129" s="42">
        <f t="shared" si="51"/>
        <v>6720.39</v>
      </c>
      <c r="Y129" s="42">
        <f t="shared" si="51"/>
        <v>0</v>
      </c>
      <c r="Z129" s="42">
        <f t="shared" si="51"/>
        <v>0</v>
      </c>
      <c r="AA129" s="42">
        <f t="shared" si="51"/>
        <v>0</v>
      </c>
    </row>
    <row r="130" spans="1:27">
      <c r="A130" s="320"/>
      <c r="B130" s="174" t="s">
        <v>86</v>
      </c>
      <c r="C130" s="42">
        <f t="shared" si="28"/>
        <v>3989865.79</v>
      </c>
      <c r="D130" s="42">
        <f t="shared" ref="D130:AA130" si="52">D26+D78</f>
        <v>0</v>
      </c>
      <c r="E130" s="42">
        <f t="shared" si="52"/>
        <v>368855.80000000005</v>
      </c>
      <c r="F130" s="42">
        <f t="shared" si="52"/>
        <v>1802532.0499999998</v>
      </c>
      <c r="G130" s="42">
        <f t="shared" si="52"/>
        <v>217547.43</v>
      </c>
      <c r="H130" s="42">
        <f t="shared" si="52"/>
        <v>832270.26</v>
      </c>
      <c r="I130" s="42">
        <f t="shared" si="52"/>
        <v>178387.94</v>
      </c>
      <c r="J130" s="42">
        <f t="shared" si="52"/>
        <v>0</v>
      </c>
      <c r="K130" s="42">
        <f t="shared" si="52"/>
        <v>184636.43</v>
      </c>
      <c r="L130" s="42">
        <f t="shared" si="52"/>
        <v>0</v>
      </c>
      <c r="M130" s="42">
        <f t="shared" si="52"/>
        <v>120161.63</v>
      </c>
      <c r="N130" s="42">
        <f t="shared" si="52"/>
        <v>0</v>
      </c>
      <c r="O130" s="42">
        <f t="shared" si="52"/>
        <v>28265</v>
      </c>
      <c r="P130" s="42">
        <f t="shared" si="52"/>
        <v>320819.26</v>
      </c>
      <c r="Q130" s="42">
        <f t="shared" si="52"/>
        <v>22965</v>
      </c>
      <c r="R130" s="42">
        <f t="shared" si="52"/>
        <v>69164</v>
      </c>
      <c r="S130" s="42">
        <f t="shared" si="52"/>
        <v>0</v>
      </c>
      <c r="T130" s="42">
        <f t="shared" si="52"/>
        <v>24501</v>
      </c>
      <c r="U130" s="42">
        <f t="shared" si="52"/>
        <v>24501</v>
      </c>
      <c r="V130" s="42">
        <f t="shared" si="52"/>
        <v>20162</v>
      </c>
      <c r="W130" s="42">
        <f t="shared" si="52"/>
        <v>15822</v>
      </c>
      <c r="X130" s="42">
        <f t="shared" si="52"/>
        <v>0</v>
      </c>
      <c r="Y130" s="42">
        <f t="shared" si="52"/>
        <v>15822</v>
      </c>
      <c r="Z130" s="42">
        <f t="shared" si="52"/>
        <v>660709.25</v>
      </c>
      <c r="AA130" s="42">
        <f t="shared" si="52"/>
        <v>0</v>
      </c>
    </row>
    <row r="131" spans="1:27">
      <c r="A131" s="320"/>
      <c r="B131" s="174" t="s">
        <v>88</v>
      </c>
      <c r="C131" s="42">
        <f t="shared" si="28"/>
        <v>2629662.88</v>
      </c>
      <c r="D131" s="42">
        <f t="shared" ref="D131:AA131" si="53">D27+D79</f>
        <v>0</v>
      </c>
      <c r="E131" s="42">
        <f t="shared" si="53"/>
        <v>855065.82000000007</v>
      </c>
      <c r="F131" s="42">
        <f t="shared" si="53"/>
        <v>1341011.8099999998</v>
      </c>
      <c r="G131" s="42">
        <f t="shared" si="53"/>
        <v>0</v>
      </c>
      <c r="H131" s="42">
        <f t="shared" si="53"/>
        <v>380586.8</v>
      </c>
      <c r="I131" s="42">
        <f t="shared" si="53"/>
        <v>372700</v>
      </c>
      <c r="J131" s="42">
        <f t="shared" si="53"/>
        <v>6000</v>
      </c>
      <c r="K131" s="42">
        <f t="shared" si="53"/>
        <v>1886.8</v>
      </c>
      <c r="L131" s="42">
        <f t="shared" si="53"/>
        <v>0</v>
      </c>
      <c r="M131" s="42">
        <f t="shared" si="53"/>
        <v>0</v>
      </c>
      <c r="N131" s="42">
        <f t="shared" si="53"/>
        <v>0</v>
      </c>
      <c r="O131" s="42">
        <f t="shared" si="53"/>
        <v>0</v>
      </c>
      <c r="P131" s="42">
        <f t="shared" si="53"/>
        <v>0</v>
      </c>
      <c r="Q131" s="42">
        <f t="shared" si="53"/>
        <v>0</v>
      </c>
      <c r="R131" s="42">
        <f t="shared" si="53"/>
        <v>2930</v>
      </c>
      <c r="S131" s="42">
        <f t="shared" si="53"/>
        <v>0</v>
      </c>
      <c r="T131" s="42">
        <f t="shared" si="53"/>
        <v>2930</v>
      </c>
      <c r="U131" s="42">
        <f t="shared" si="53"/>
        <v>0</v>
      </c>
      <c r="V131" s="42">
        <f t="shared" si="53"/>
        <v>0</v>
      </c>
      <c r="W131" s="42">
        <f t="shared" si="53"/>
        <v>7254.72</v>
      </c>
      <c r="X131" s="42">
        <f t="shared" si="53"/>
        <v>0</v>
      </c>
      <c r="Y131" s="42">
        <f t="shared" si="53"/>
        <v>7254.72</v>
      </c>
      <c r="Z131" s="42">
        <f t="shared" si="53"/>
        <v>42813.73</v>
      </c>
      <c r="AA131" s="42">
        <f t="shared" si="53"/>
        <v>0</v>
      </c>
    </row>
    <row r="132" spans="1:27">
      <c r="A132" s="320"/>
      <c r="B132" s="174" t="s">
        <v>89</v>
      </c>
      <c r="C132" s="42">
        <f t="shared" si="28"/>
        <v>1092237.5999999999</v>
      </c>
      <c r="D132" s="42">
        <f t="shared" ref="D132:AA132" si="54">D28+D80</f>
        <v>0</v>
      </c>
      <c r="E132" s="42">
        <f t="shared" si="54"/>
        <v>129569.04999999999</v>
      </c>
      <c r="F132" s="42">
        <f t="shared" si="54"/>
        <v>653022.51</v>
      </c>
      <c r="G132" s="42">
        <f t="shared" si="54"/>
        <v>7548.8700000000008</v>
      </c>
      <c r="H132" s="42">
        <f t="shared" si="54"/>
        <v>13862.1</v>
      </c>
      <c r="I132" s="42">
        <f t="shared" si="54"/>
        <v>10127</v>
      </c>
      <c r="J132" s="42">
        <f t="shared" si="54"/>
        <v>0</v>
      </c>
      <c r="K132" s="42">
        <f t="shared" si="54"/>
        <v>366</v>
      </c>
      <c r="L132" s="42">
        <f t="shared" si="54"/>
        <v>0</v>
      </c>
      <c r="M132" s="42">
        <f t="shared" si="54"/>
        <v>1273</v>
      </c>
      <c r="N132" s="42">
        <f t="shared" si="54"/>
        <v>0</v>
      </c>
      <c r="O132" s="42">
        <f t="shared" si="54"/>
        <v>-101.9</v>
      </c>
      <c r="P132" s="42">
        <f t="shared" si="54"/>
        <v>2198</v>
      </c>
      <c r="Q132" s="42">
        <f t="shared" si="54"/>
        <v>41479.440000000002</v>
      </c>
      <c r="R132" s="42">
        <f t="shared" si="54"/>
        <v>233322.33000000002</v>
      </c>
      <c r="S132" s="42">
        <f t="shared" si="54"/>
        <v>0</v>
      </c>
      <c r="T132" s="42">
        <f t="shared" si="54"/>
        <v>180724.28</v>
      </c>
      <c r="U132" s="42">
        <f t="shared" si="54"/>
        <v>43085.32</v>
      </c>
      <c r="V132" s="42">
        <f t="shared" si="54"/>
        <v>9512.73</v>
      </c>
      <c r="W132" s="42">
        <f t="shared" si="54"/>
        <v>12768.39</v>
      </c>
      <c r="X132" s="42">
        <f t="shared" si="54"/>
        <v>12568.39</v>
      </c>
      <c r="Y132" s="42">
        <f t="shared" si="54"/>
        <v>200</v>
      </c>
      <c r="Z132" s="42">
        <f t="shared" si="54"/>
        <v>664.91</v>
      </c>
      <c r="AA132" s="42">
        <f t="shared" si="54"/>
        <v>0</v>
      </c>
    </row>
    <row r="133" spans="1:27">
      <c r="A133" s="320"/>
      <c r="B133" s="174" t="s">
        <v>93</v>
      </c>
      <c r="C133" s="42">
        <f t="shared" si="28"/>
        <v>251880.69999999998</v>
      </c>
      <c r="D133" s="42">
        <f t="shared" ref="D133:AA133" si="55">D29+D81</f>
        <v>0</v>
      </c>
      <c r="E133" s="42">
        <f t="shared" si="55"/>
        <v>55296.930000000008</v>
      </c>
      <c r="F133" s="42">
        <f t="shared" si="55"/>
        <v>173911.31</v>
      </c>
      <c r="G133" s="42">
        <f t="shared" si="55"/>
        <v>3780</v>
      </c>
      <c r="H133" s="42">
        <f t="shared" si="55"/>
        <v>10452.36</v>
      </c>
      <c r="I133" s="42">
        <f t="shared" si="55"/>
        <v>2737</v>
      </c>
      <c r="J133" s="42">
        <f t="shared" si="55"/>
        <v>746.9</v>
      </c>
      <c r="K133" s="42">
        <f t="shared" si="55"/>
        <v>1488</v>
      </c>
      <c r="L133" s="42">
        <f t="shared" si="55"/>
        <v>0</v>
      </c>
      <c r="M133" s="42">
        <f t="shared" si="55"/>
        <v>440</v>
      </c>
      <c r="N133" s="42">
        <f t="shared" si="55"/>
        <v>0</v>
      </c>
      <c r="O133" s="42">
        <f t="shared" si="55"/>
        <v>3299.8</v>
      </c>
      <c r="P133" s="42">
        <f t="shared" si="55"/>
        <v>1740.66</v>
      </c>
      <c r="Q133" s="42">
        <f t="shared" si="55"/>
        <v>1726</v>
      </c>
      <c r="R133" s="42">
        <f t="shared" si="55"/>
        <v>6094</v>
      </c>
      <c r="S133" s="42">
        <f t="shared" si="55"/>
        <v>0</v>
      </c>
      <c r="T133" s="42">
        <f t="shared" si="55"/>
        <v>4486</v>
      </c>
      <c r="U133" s="42">
        <f t="shared" si="55"/>
        <v>1608</v>
      </c>
      <c r="V133" s="42">
        <f t="shared" si="55"/>
        <v>0</v>
      </c>
      <c r="W133" s="42">
        <f t="shared" si="55"/>
        <v>357.2</v>
      </c>
      <c r="X133" s="42">
        <f t="shared" si="55"/>
        <v>357.2</v>
      </c>
      <c r="Y133" s="42">
        <f t="shared" si="55"/>
        <v>0</v>
      </c>
      <c r="Z133" s="42">
        <f t="shared" si="55"/>
        <v>262.89999999999998</v>
      </c>
      <c r="AA133" s="42">
        <f t="shared" si="55"/>
        <v>0</v>
      </c>
    </row>
    <row r="134" spans="1:27">
      <c r="A134" s="320"/>
      <c r="B134" s="174" t="s">
        <v>94</v>
      </c>
      <c r="C134" s="42">
        <f>SUM(D134:H134)+Q134+R134+W134+AA134+Z134</f>
        <v>1051498.07</v>
      </c>
      <c r="D134" s="42">
        <f t="shared" ref="D134:AA134" si="56">D30+D82</f>
        <v>0</v>
      </c>
      <c r="E134" s="42">
        <f t="shared" si="56"/>
        <v>150509.60000000003</v>
      </c>
      <c r="F134" s="42">
        <f t="shared" si="56"/>
        <v>370429.40000000008</v>
      </c>
      <c r="G134" s="42">
        <f t="shared" si="56"/>
        <v>1831.96</v>
      </c>
      <c r="H134" s="42">
        <f t="shared" si="56"/>
        <v>111950.13</v>
      </c>
      <c r="I134" s="42">
        <f t="shared" si="56"/>
        <v>14327.859999999999</v>
      </c>
      <c r="J134" s="42">
        <f t="shared" si="56"/>
        <v>4468.8</v>
      </c>
      <c r="K134" s="42">
        <f t="shared" si="56"/>
        <v>11740.539999999999</v>
      </c>
      <c r="L134" s="42">
        <f t="shared" si="56"/>
        <v>0</v>
      </c>
      <c r="M134" s="42">
        <f t="shared" si="56"/>
        <v>55347.570000000007</v>
      </c>
      <c r="N134" s="42">
        <f t="shared" si="56"/>
        <v>0</v>
      </c>
      <c r="O134" s="42">
        <f t="shared" si="56"/>
        <v>8040.2300000000014</v>
      </c>
      <c r="P134" s="42">
        <f t="shared" si="56"/>
        <v>18025.13</v>
      </c>
      <c r="Q134" s="42">
        <f t="shared" si="56"/>
        <v>145316.83999999997</v>
      </c>
      <c r="R134" s="42">
        <f t="shared" si="56"/>
        <v>237836.38999999998</v>
      </c>
      <c r="S134" s="42">
        <f t="shared" si="56"/>
        <v>0</v>
      </c>
      <c r="T134" s="42">
        <f t="shared" si="56"/>
        <v>161086.91</v>
      </c>
      <c r="U134" s="42">
        <f t="shared" si="56"/>
        <v>56213.08</v>
      </c>
      <c r="V134" s="42">
        <f t="shared" si="56"/>
        <v>20536.400000000001</v>
      </c>
      <c r="W134" s="42">
        <f t="shared" si="56"/>
        <v>15011.060000000001</v>
      </c>
      <c r="X134" s="42">
        <f t="shared" si="56"/>
        <v>9083.51</v>
      </c>
      <c r="Y134" s="42">
        <f t="shared" si="56"/>
        <v>5927.55</v>
      </c>
      <c r="Z134" s="42">
        <f t="shared" si="56"/>
        <v>18391.29</v>
      </c>
      <c r="AA134" s="42">
        <f t="shared" si="56"/>
        <v>221.4</v>
      </c>
    </row>
    <row r="135" spans="1:27">
      <c r="A135" s="320"/>
      <c r="B135" s="174" t="s">
        <v>90</v>
      </c>
      <c r="C135" s="42">
        <f t="shared" si="28"/>
        <v>3843962.44</v>
      </c>
      <c r="D135" s="42">
        <f t="shared" ref="D135:AA135" si="57">D31+D83</f>
        <v>18000</v>
      </c>
      <c r="E135" s="42">
        <f t="shared" si="57"/>
        <v>1462738.8899999997</v>
      </c>
      <c r="F135" s="42">
        <f t="shared" si="57"/>
        <v>1835690.52</v>
      </c>
      <c r="G135" s="42">
        <f t="shared" si="57"/>
        <v>25149.64</v>
      </c>
      <c r="H135" s="42">
        <f t="shared" si="57"/>
        <v>227813.12999999998</v>
      </c>
      <c r="I135" s="42">
        <f t="shared" si="57"/>
        <v>35208</v>
      </c>
      <c r="J135" s="42">
        <f t="shared" si="57"/>
        <v>0</v>
      </c>
      <c r="K135" s="42">
        <f t="shared" si="57"/>
        <v>2484</v>
      </c>
      <c r="L135" s="42">
        <f t="shared" si="57"/>
        <v>0</v>
      </c>
      <c r="M135" s="42">
        <f t="shared" si="57"/>
        <v>12216.75</v>
      </c>
      <c r="N135" s="42">
        <f t="shared" si="57"/>
        <v>0</v>
      </c>
      <c r="O135" s="42">
        <f t="shared" si="57"/>
        <v>166040.37999999998</v>
      </c>
      <c r="P135" s="42">
        <f t="shared" si="57"/>
        <v>11864</v>
      </c>
      <c r="Q135" s="42">
        <f t="shared" si="57"/>
        <v>11215</v>
      </c>
      <c r="R135" s="42">
        <f t="shared" si="57"/>
        <v>71847</v>
      </c>
      <c r="S135" s="42">
        <f t="shared" si="57"/>
        <v>0</v>
      </c>
      <c r="T135" s="42">
        <f t="shared" si="57"/>
        <v>20863</v>
      </c>
      <c r="U135" s="42">
        <f t="shared" si="57"/>
        <v>6146</v>
      </c>
      <c r="V135" s="42">
        <f t="shared" si="57"/>
        <v>44838</v>
      </c>
      <c r="W135" s="42">
        <f t="shared" si="57"/>
        <v>165258.65999999997</v>
      </c>
      <c r="X135" s="42">
        <f t="shared" si="57"/>
        <v>160150.85999999999</v>
      </c>
      <c r="Y135" s="42">
        <f t="shared" si="57"/>
        <v>5107.8</v>
      </c>
      <c r="Z135" s="42">
        <f t="shared" si="57"/>
        <v>26249.599999999999</v>
      </c>
      <c r="AA135" s="42">
        <f t="shared" si="57"/>
        <v>0</v>
      </c>
    </row>
    <row r="136" spans="1:27">
      <c r="A136" s="320"/>
      <c r="B136" s="174" t="s">
        <v>85</v>
      </c>
      <c r="C136" s="42">
        <f t="shared" si="28"/>
        <v>6339462.2000000011</v>
      </c>
      <c r="D136" s="42">
        <f t="shared" ref="D136:AA136" si="58">D32+D84</f>
        <v>0</v>
      </c>
      <c r="E136" s="42">
        <f t="shared" si="58"/>
        <v>0</v>
      </c>
      <c r="F136" s="42">
        <f t="shared" si="58"/>
        <v>6200343.8200000012</v>
      </c>
      <c r="G136" s="42">
        <f t="shared" si="58"/>
        <v>0</v>
      </c>
      <c r="H136" s="42">
        <f t="shared" si="58"/>
        <v>137121.38</v>
      </c>
      <c r="I136" s="42">
        <f t="shared" si="58"/>
        <v>0</v>
      </c>
      <c r="J136" s="42">
        <f t="shared" si="58"/>
        <v>0</v>
      </c>
      <c r="K136" s="42">
        <f t="shared" si="58"/>
        <v>0</v>
      </c>
      <c r="L136" s="42">
        <f t="shared" si="58"/>
        <v>0</v>
      </c>
      <c r="M136" s="42">
        <f t="shared" si="58"/>
        <v>137121.38</v>
      </c>
      <c r="N136" s="42">
        <f t="shared" si="58"/>
        <v>0</v>
      </c>
      <c r="O136" s="42">
        <f t="shared" si="58"/>
        <v>0</v>
      </c>
      <c r="P136" s="42">
        <f t="shared" si="58"/>
        <v>0</v>
      </c>
      <c r="Q136" s="42">
        <f t="shared" si="58"/>
        <v>0</v>
      </c>
      <c r="R136" s="42">
        <f t="shared" si="58"/>
        <v>1997</v>
      </c>
      <c r="S136" s="42">
        <f t="shared" si="58"/>
        <v>0</v>
      </c>
      <c r="T136" s="42">
        <f t="shared" si="58"/>
        <v>0</v>
      </c>
      <c r="U136" s="42">
        <f t="shared" si="58"/>
        <v>1997</v>
      </c>
      <c r="V136" s="42">
        <f t="shared" si="58"/>
        <v>0</v>
      </c>
      <c r="W136" s="42">
        <f t="shared" si="58"/>
        <v>0</v>
      </c>
      <c r="X136" s="42">
        <f t="shared" si="58"/>
        <v>0</v>
      </c>
      <c r="Y136" s="42">
        <f t="shared" si="58"/>
        <v>0</v>
      </c>
      <c r="Z136" s="42">
        <f t="shared" si="58"/>
        <v>0</v>
      </c>
      <c r="AA136" s="42">
        <f t="shared" si="58"/>
        <v>0</v>
      </c>
    </row>
    <row r="137" spans="1:27">
      <c r="A137" s="320"/>
      <c r="B137" s="174" t="s">
        <v>243</v>
      </c>
      <c r="C137" s="42">
        <f t="shared" si="28"/>
        <v>626502.12000000023</v>
      </c>
      <c r="D137" s="42">
        <f t="shared" ref="D137:AA139" si="59">D33+D85</f>
        <v>0</v>
      </c>
      <c r="E137" s="42">
        <f t="shared" si="59"/>
        <v>258032.04000000024</v>
      </c>
      <c r="F137" s="42">
        <f t="shared" si="59"/>
        <v>262708.91000000003</v>
      </c>
      <c r="G137" s="42">
        <f t="shared" si="59"/>
        <v>22831.07</v>
      </c>
      <c r="H137" s="42">
        <f t="shared" si="59"/>
        <v>43324.1</v>
      </c>
      <c r="I137" s="42">
        <f t="shared" si="59"/>
        <v>1270</v>
      </c>
      <c r="J137" s="42">
        <f t="shared" si="59"/>
        <v>0</v>
      </c>
      <c r="K137" s="42">
        <f t="shared" si="59"/>
        <v>13739.04</v>
      </c>
      <c r="L137" s="42">
        <f t="shared" si="59"/>
        <v>0</v>
      </c>
      <c r="M137" s="42">
        <f t="shared" si="59"/>
        <v>9166</v>
      </c>
      <c r="N137" s="42">
        <f t="shared" si="59"/>
        <v>0</v>
      </c>
      <c r="O137" s="42">
        <f t="shared" si="59"/>
        <v>13539.06</v>
      </c>
      <c r="P137" s="42">
        <f t="shared" si="59"/>
        <v>5610</v>
      </c>
      <c r="Q137" s="42">
        <f t="shared" si="59"/>
        <v>8000</v>
      </c>
      <c r="R137" s="42">
        <f t="shared" si="59"/>
        <v>9990</v>
      </c>
      <c r="S137" s="42">
        <f t="shared" si="59"/>
        <v>0</v>
      </c>
      <c r="T137" s="42">
        <f t="shared" si="59"/>
        <v>1600</v>
      </c>
      <c r="U137" s="42">
        <f t="shared" si="59"/>
        <v>0</v>
      </c>
      <c r="V137" s="42">
        <f t="shared" si="59"/>
        <v>8390</v>
      </c>
      <c r="W137" s="42">
        <f t="shared" si="59"/>
        <v>17096</v>
      </c>
      <c r="X137" s="42">
        <f t="shared" si="59"/>
        <v>12290</v>
      </c>
      <c r="Y137" s="42">
        <f t="shared" si="59"/>
        <v>4806</v>
      </c>
      <c r="Z137" s="42">
        <f t="shared" si="59"/>
        <v>4520</v>
      </c>
      <c r="AA137" s="42">
        <f t="shared" si="59"/>
        <v>0</v>
      </c>
    </row>
    <row r="138" spans="1:27">
      <c r="A138" s="321"/>
      <c r="B138" s="175" t="s">
        <v>69</v>
      </c>
      <c r="C138" s="43">
        <f>SUM(C125:C137)</f>
        <v>82578922.61999999</v>
      </c>
      <c r="D138" s="43">
        <f t="shared" ref="D138:AA138" si="60">SUM(D125:D137)</f>
        <v>-28791643.68</v>
      </c>
      <c r="E138" s="43">
        <f t="shared" si="60"/>
        <v>12522233.550000003</v>
      </c>
      <c r="F138" s="43">
        <f t="shared" si="60"/>
        <v>67687179.859999999</v>
      </c>
      <c r="G138" s="43">
        <f t="shared" si="60"/>
        <v>2235634.1599999997</v>
      </c>
      <c r="H138" s="43">
        <f t="shared" si="60"/>
        <v>5940152.3499999987</v>
      </c>
      <c r="I138" s="43">
        <f t="shared" si="60"/>
        <v>1985931.05</v>
      </c>
      <c r="J138" s="43">
        <f t="shared" ref="J138" si="61">SUM(J125:J137)</f>
        <v>247726.31</v>
      </c>
      <c r="K138" s="43">
        <f t="shared" ref="K138" si="62">SUM(K125:K137)</f>
        <v>1058142.9100000001</v>
      </c>
      <c r="L138" s="43">
        <f t="shared" ref="L138" si="63">SUM(L125:L137)</f>
        <v>0</v>
      </c>
      <c r="M138" s="43">
        <f t="shared" si="60"/>
        <v>932072.2300000001</v>
      </c>
      <c r="N138" s="43">
        <f t="shared" si="60"/>
        <v>0</v>
      </c>
      <c r="O138" s="43">
        <f t="shared" si="60"/>
        <v>607577.88</v>
      </c>
      <c r="P138" s="43">
        <f t="shared" si="60"/>
        <v>1108701.9699999997</v>
      </c>
      <c r="Q138" s="43">
        <f t="shared" si="60"/>
        <v>2202365.02</v>
      </c>
      <c r="R138" s="43">
        <f t="shared" si="60"/>
        <v>18261119.459999997</v>
      </c>
      <c r="S138" s="43">
        <f t="shared" si="60"/>
        <v>0</v>
      </c>
      <c r="T138" s="43">
        <f t="shared" si="60"/>
        <v>13792658.93</v>
      </c>
      <c r="U138" s="43">
        <f t="shared" si="60"/>
        <v>3964157.86</v>
      </c>
      <c r="V138" s="43">
        <f t="shared" si="60"/>
        <v>504302.66999999993</v>
      </c>
      <c r="W138" s="43">
        <f t="shared" si="60"/>
        <v>907769.56999999983</v>
      </c>
      <c r="X138" s="43">
        <f t="shared" si="60"/>
        <v>765497.53999999992</v>
      </c>
      <c r="Y138" s="43">
        <f t="shared" si="60"/>
        <v>142272.03</v>
      </c>
      <c r="Z138" s="43">
        <f t="shared" si="60"/>
        <v>1583837.6099999999</v>
      </c>
      <c r="AA138" s="43">
        <f t="shared" si="60"/>
        <v>30274.720000000005</v>
      </c>
    </row>
    <row r="139" spans="1:27" ht="13.5" customHeight="1">
      <c r="A139" s="319" t="s">
        <v>100</v>
      </c>
      <c r="B139" s="174" t="s">
        <v>78</v>
      </c>
      <c r="C139" s="42">
        <f t="shared" si="28"/>
        <v>4066293.5899999994</v>
      </c>
      <c r="D139" s="42">
        <f t="shared" ref="D139:AA139" si="64">D35+D87</f>
        <v>0</v>
      </c>
      <c r="E139" s="42">
        <f t="shared" si="64"/>
        <v>979455.71</v>
      </c>
      <c r="F139" s="42">
        <f t="shared" si="64"/>
        <v>2738880.3</v>
      </c>
      <c r="G139" s="42">
        <f t="shared" si="64"/>
        <v>29544.63</v>
      </c>
      <c r="H139" s="42">
        <f t="shared" si="59"/>
        <v>157284.36000000002</v>
      </c>
      <c r="I139" s="42">
        <f t="shared" si="64"/>
        <v>36308.370000000003</v>
      </c>
      <c r="J139" s="42">
        <f t="shared" si="64"/>
        <v>0</v>
      </c>
      <c r="K139" s="42">
        <f t="shared" si="64"/>
        <v>36308.370000000003</v>
      </c>
      <c r="L139" s="42">
        <f t="shared" si="64"/>
        <v>0</v>
      </c>
      <c r="M139" s="42">
        <f t="shared" si="64"/>
        <v>36308.370000000003</v>
      </c>
      <c r="N139" s="42">
        <f t="shared" si="64"/>
        <v>0</v>
      </c>
      <c r="O139" s="42">
        <f t="shared" si="64"/>
        <v>12050.880000000001</v>
      </c>
      <c r="P139" s="42">
        <f t="shared" si="64"/>
        <v>36308.370000000003</v>
      </c>
      <c r="Q139" s="42">
        <f t="shared" si="64"/>
        <v>0</v>
      </c>
      <c r="R139" s="42">
        <f t="shared" si="64"/>
        <v>83496.36</v>
      </c>
      <c r="S139" s="42">
        <f t="shared" si="64"/>
        <v>0</v>
      </c>
      <c r="T139" s="42">
        <f t="shared" si="64"/>
        <v>26088.400000000001</v>
      </c>
      <c r="U139" s="42">
        <f t="shared" si="64"/>
        <v>30871.46</v>
      </c>
      <c r="V139" s="42">
        <f t="shared" si="64"/>
        <v>26536.5</v>
      </c>
      <c r="W139" s="42">
        <f t="shared" si="64"/>
        <v>37414.26</v>
      </c>
      <c r="X139" s="42">
        <f t="shared" si="64"/>
        <v>37414.26</v>
      </c>
      <c r="Y139" s="42">
        <f t="shared" si="64"/>
        <v>0</v>
      </c>
      <c r="Z139" s="42">
        <f t="shared" si="64"/>
        <v>39770.519999999997</v>
      </c>
      <c r="AA139" s="42">
        <f t="shared" si="64"/>
        <v>447.45</v>
      </c>
    </row>
    <row r="140" spans="1:27">
      <c r="A140" s="320"/>
      <c r="B140" s="174" t="s">
        <v>79</v>
      </c>
      <c r="C140" s="42">
        <f t="shared" si="28"/>
        <v>5180601.75</v>
      </c>
      <c r="D140" s="42">
        <f t="shared" ref="D140:AA140" si="65">D36+D88</f>
        <v>-6118</v>
      </c>
      <c r="E140" s="42">
        <f t="shared" si="65"/>
        <v>1053192.22</v>
      </c>
      <c r="F140" s="42">
        <f t="shared" si="65"/>
        <v>2056889.33</v>
      </c>
      <c r="G140" s="42">
        <f t="shared" si="65"/>
        <v>87161.109999999986</v>
      </c>
      <c r="H140" s="42">
        <f t="shared" si="65"/>
        <v>437265.19999999995</v>
      </c>
      <c r="I140" s="42">
        <f t="shared" si="65"/>
        <v>136239.26999999999</v>
      </c>
      <c r="J140" s="42">
        <f t="shared" si="65"/>
        <v>13221.4</v>
      </c>
      <c r="K140" s="42">
        <f t="shared" si="65"/>
        <v>56293.149999999994</v>
      </c>
      <c r="L140" s="42">
        <f t="shared" si="65"/>
        <v>0</v>
      </c>
      <c r="M140" s="42">
        <f t="shared" si="65"/>
        <v>51898.38</v>
      </c>
      <c r="N140" s="42">
        <f t="shared" si="65"/>
        <v>0</v>
      </c>
      <c r="O140" s="42">
        <f t="shared" si="65"/>
        <v>102707.18</v>
      </c>
      <c r="P140" s="42">
        <f t="shared" si="65"/>
        <v>76905.819999999992</v>
      </c>
      <c r="Q140" s="42">
        <f t="shared" si="65"/>
        <v>92179.650000000009</v>
      </c>
      <c r="R140" s="42">
        <f t="shared" si="65"/>
        <v>1320404.2400000002</v>
      </c>
      <c r="S140" s="42">
        <f t="shared" si="65"/>
        <v>0</v>
      </c>
      <c r="T140" s="42">
        <f t="shared" si="65"/>
        <v>1245785.77</v>
      </c>
      <c r="U140" s="42">
        <f t="shared" si="65"/>
        <v>40672.11</v>
      </c>
      <c r="V140" s="42">
        <f t="shared" si="65"/>
        <v>33946.36</v>
      </c>
      <c r="W140" s="42">
        <f t="shared" si="65"/>
        <v>36415.72</v>
      </c>
      <c r="X140" s="42">
        <f t="shared" si="65"/>
        <v>29416.29</v>
      </c>
      <c r="Y140" s="42">
        <f t="shared" si="65"/>
        <v>6999.4299999999994</v>
      </c>
      <c r="Z140" s="42">
        <f t="shared" si="65"/>
        <v>103168.28</v>
      </c>
      <c r="AA140" s="42">
        <f t="shared" si="65"/>
        <v>44</v>
      </c>
    </row>
    <row r="141" spans="1:27">
      <c r="A141" s="320"/>
      <c r="B141" s="174" t="s">
        <v>83</v>
      </c>
      <c r="C141" s="42">
        <f t="shared" si="28"/>
        <v>1630684.26</v>
      </c>
      <c r="D141" s="42">
        <f t="shared" ref="D141:AA141" si="66">D37+D89</f>
        <v>0</v>
      </c>
      <c r="E141" s="42">
        <f t="shared" si="66"/>
        <v>1584170.63</v>
      </c>
      <c r="F141" s="42">
        <f t="shared" si="66"/>
        <v>8777.7799999999988</v>
      </c>
      <c r="G141" s="42">
        <f t="shared" si="66"/>
        <v>0</v>
      </c>
      <c r="H141" s="42">
        <f t="shared" si="66"/>
        <v>0</v>
      </c>
      <c r="I141" s="42">
        <f t="shared" si="66"/>
        <v>0</v>
      </c>
      <c r="J141" s="42">
        <f t="shared" si="66"/>
        <v>0</v>
      </c>
      <c r="K141" s="42">
        <f t="shared" si="66"/>
        <v>0</v>
      </c>
      <c r="L141" s="42">
        <f t="shared" si="66"/>
        <v>0</v>
      </c>
      <c r="M141" s="42">
        <f t="shared" si="66"/>
        <v>0</v>
      </c>
      <c r="N141" s="42">
        <f t="shared" si="66"/>
        <v>0</v>
      </c>
      <c r="O141" s="42">
        <f t="shared" si="66"/>
        <v>0</v>
      </c>
      <c r="P141" s="42">
        <f t="shared" si="66"/>
        <v>0</v>
      </c>
      <c r="Q141" s="42">
        <f t="shared" si="66"/>
        <v>37735.85</v>
      </c>
      <c r="R141" s="42">
        <f t="shared" si="66"/>
        <v>0</v>
      </c>
      <c r="S141" s="42">
        <f t="shared" si="66"/>
        <v>0</v>
      </c>
      <c r="T141" s="42">
        <f t="shared" si="66"/>
        <v>0</v>
      </c>
      <c r="U141" s="42">
        <f t="shared" si="66"/>
        <v>0</v>
      </c>
      <c r="V141" s="42">
        <f t="shared" si="66"/>
        <v>0</v>
      </c>
      <c r="W141" s="42">
        <f t="shared" si="66"/>
        <v>0</v>
      </c>
      <c r="X141" s="42">
        <f t="shared" si="66"/>
        <v>0</v>
      </c>
      <c r="Y141" s="42">
        <f t="shared" si="66"/>
        <v>0</v>
      </c>
      <c r="Z141" s="42">
        <f t="shared" si="66"/>
        <v>0</v>
      </c>
      <c r="AA141" s="42">
        <f t="shared" si="66"/>
        <v>0</v>
      </c>
    </row>
    <row r="142" spans="1:27">
      <c r="A142" s="320"/>
      <c r="B142" s="174" t="s">
        <v>87</v>
      </c>
      <c r="C142" s="42">
        <f t="shared" si="28"/>
        <v>2341110.8199999998</v>
      </c>
      <c r="D142" s="42">
        <f t="shared" ref="D142:AA142" si="67">D38+D90</f>
        <v>0</v>
      </c>
      <c r="E142" s="42">
        <f t="shared" si="67"/>
        <v>284024.78999999998</v>
      </c>
      <c r="F142" s="42">
        <f t="shared" si="67"/>
        <v>1916093.6799999997</v>
      </c>
      <c r="G142" s="42">
        <f t="shared" si="67"/>
        <v>16935.719999999998</v>
      </c>
      <c r="H142" s="42">
        <f t="shared" si="67"/>
        <v>77835.48</v>
      </c>
      <c r="I142" s="42">
        <f t="shared" si="67"/>
        <v>18926.199999999997</v>
      </c>
      <c r="J142" s="42">
        <f t="shared" si="67"/>
        <v>0</v>
      </c>
      <c r="K142" s="42">
        <f t="shared" si="67"/>
        <v>21494.12</v>
      </c>
      <c r="L142" s="42">
        <f t="shared" si="67"/>
        <v>0</v>
      </c>
      <c r="M142" s="42">
        <f t="shared" si="67"/>
        <v>18926.199999999997</v>
      </c>
      <c r="N142" s="42">
        <f t="shared" si="67"/>
        <v>0</v>
      </c>
      <c r="O142" s="42">
        <f t="shared" si="67"/>
        <v>-1978.62</v>
      </c>
      <c r="P142" s="42">
        <f t="shared" si="67"/>
        <v>20467.579999999998</v>
      </c>
      <c r="Q142" s="42">
        <f t="shared" si="67"/>
        <v>0</v>
      </c>
      <c r="R142" s="42">
        <f t="shared" si="67"/>
        <v>0</v>
      </c>
      <c r="S142" s="42">
        <f t="shared" si="67"/>
        <v>0</v>
      </c>
      <c r="T142" s="42">
        <f t="shared" si="67"/>
        <v>0</v>
      </c>
      <c r="U142" s="42">
        <f t="shared" si="67"/>
        <v>0</v>
      </c>
      <c r="V142" s="42">
        <f t="shared" si="67"/>
        <v>0</v>
      </c>
      <c r="W142" s="42">
        <f t="shared" si="67"/>
        <v>30053.86</v>
      </c>
      <c r="X142" s="42">
        <f t="shared" si="67"/>
        <v>30053.86</v>
      </c>
      <c r="Y142" s="42">
        <f t="shared" si="67"/>
        <v>0</v>
      </c>
      <c r="Z142" s="42">
        <f t="shared" si="67"/>
        <v>16167.29</v>
      </c>
      <c r="AA142" s="42">
        <f t="shared" si="67"/>
        <v>0</v>
      </c>
    </row>
    <row r="143" spans="1:27">
      <c r="A143" s="320"/>
      <c r="B143" s="174" t="s">
        <v>91</v>
      </c>
      <c r="C143" s="42">
        <f t="shared" si="28"/>
        <v>148692.81</v>
      </c>
      <c r="D143" s="42">
        <f t="shared" ref="D143:AA143" si="68">D39+D91</f>
        <v>0</v>
      </c>
      <c r="E143" s="42">
        <f t="shared" si="68"/>
        <v>148692.81</v>
      </c>
      <c r="F143" s="42">
        <f t="shared" si="68"/>
        <v>0</v>
      </c>
      <c r="G143" s="42">
        <f t="shared" si="68"/>
        <v>0</v>
      </c>
      <c r="H143" s="42">
        <f t="shared" si="68"/>
        <v>0</v>
      </c>
      <c r="I143" s="42">
        <f t="shared" si="68"/>
        <v>0</v>
      </c>
      <c r="J143" s="42">
        <f t="shared" si="68"/>
        <v>0</v>
      </c>
      <c r="K143" s="42">
        <f t="shared" si="68"/>
        <v>0</v>
      </c>
      <c r="L143" s="42">
        <f t="shared" si="68"/>
        <v>0</v>
      </c>
      <c r="M143" s="42">
        <f t="shared" si="68"/>
        <v>0</v>
      </c>
      <c r="N143" s="42">
        <f t="shared" si="68"/>
        <v>0</v>
      </c>
      <c r="O143" s="42">
        <f t="shared" si="68"/>
        <v>0</v>
      </c>
      <c r="P143" s="42">
        <f t="shared" si="68"/>
        <v>0</v>
      </c>
      <c r="Q143" s="42">
        <f t="shared" si="68"/>
        <v>0</v>
      </c>
      <c r="R143" s="42">
        <f t="shared" si="68"/>
        <v>0</v>
      </c>
      <c r="S143" s="42">
        <f t="shared" si="68"/>
        <v>0</v>
      </c>
      <c r="T143" s="42">
        <f t="shared" si="68"/>
        <v>0</v>
      </c>
      <c r="U143" s="42">
        <f t="shared" si="68"/>
        <v>0</v>
      </c>
      <c r="V143" s="42">
        <f t="shared" si="68"/>
        <v>0</v>
      </c>
      <c r="W143" s="42">
        <f t="shared" si="68"/>
        <v>0</v>
      </c>
      <c r="X143" s="42">
        <f t="shared" si="68"/>
        <v>0</v>
      </c>
      <c r="Y143" s="42">
        <f t="shared" si="68"/>
        <v>0</v>
      </c>
      <c r="Z143" s="42">
        <f t="shared" si="68"/>
        <v>0</v>
      </c>
      <c r="AA143" s="42">
        <f t="shared" si="68"/>
        <v>0</v>
      </c>
    </row>
    <row r="144" spans="1:27">
      <c r="A144" s="320"/>
      <c r="B144" s="174" t="s">
        <v>92</v>
      </c>
      <c r="C144" s="42">
        <f t="shared" si="28"/>
        <v>651511.27</v>
      </c>
      <c r="D144" s="42">
        <f t="shared" ref="D144:AA144" si="69">D40+D92</f>
        <v>0</v>
      </c>
      <c r="E144" s="42">
        <f t="shared" si="69"/>
        <v>178942.49000000002</v>
      </c>
      <c r="F144" s="42">
        <f t="shared" si="69"/>
        <v>403518.77999999997</v>
      </c>
      <c r="G144" s="42">
        <f t="shared" si="69"/>
        <v>0</v>
      </c>
      <c r="H144" s="42">
        <f t="shared" si="69"/>
        <v>23096.880000000001</v>
      </c>
      <c r="I144" s="42">
        <f t="shared" si="69"/>
        <v>4782</v>
      </c>
      <c r="J144" s="42">
        <f t="shared" si="69"/>
        <v>0</v>
      </c>
      <c r="K144" s="42">
        <f t="shared" si="69"/>
        <v>4782</v>
      </c>
      <c r="L144" s="42">
        <f t="shared" si="69"/>
        <v>0</v>
      </c>
      <c r="M144" s="42">
        <f t="shared" si="69"/>
        <v>4782</v>
      </c>
      <c r="N144" s="42">
        <f t="shared" si="69"/>
        <v>0</v>
      </c>
      <c r="O144" s="42">
        <f t="shared" si="69"/>
        <v>3968.88</v>
      </c>
      <c r="P144" s="42">
        <f t="shared" si="69"/>
        <v>4782</v>
      </c>
      <c r="Q144" s="42">
        <f t="shared" si="69"/>
        <v>0</v>
      </c>
      <c r="R144" s="42">
        <f t="shared" si="69"/>
        <v>45362</v>
      </c>
      <c r="S144" s="42">
        <f t="shared" si="69"/>
        <v>0</v>
      </c>
      <c r="T144" s="42">
        <f t="shared" si="69"/>
        <v>2761</v>
      </c>
      <c r="U144" s="42">
        <f t="shared" si="69"/>
        <v>3991</v>
      </c>
      <c r="V144" s="42">
        <f t="shared" si="69"/>
        <v>38610</v>
      </c>
      <c r="W144" s="42">
        <f t="shared" si="69"/>
        <v>300</v>
      </c>
      <c r="X144" s="42">
        <f t="shared" si="69"/>
        <v>300</v>
      </c>
      <c r="Y144" s="42">
        <f t="shared" si="69"/>
        <v>0</v>
      </c>
      <c r="Z144" s="42">
        <f t="shared" si="69"/>
        <v>0</v>
      </c>
      <c r="AA144" s="42">
        <f t="shared" si="69"/>
        <v>291.12</v>
      </c>
    </row>
    <row r="145" spans="1:27">
      <c r="A145" s="320"/>
      <c r="B145" s="174" t="s">
        <v>95</v>
      </c>
      <c r="C145" s="42">
        <f t="shared" si="28"/>
        <v>2325572.67</v>
      </c>
      <c r="D145" s="42">
        <f t="shared" ref="D145:AA145" si="70">D41+D93</f>
        <v>0</v>
      </c>
      <c r="E145" s="42">
        <f t="shared" si="70"/>
        <v>1597217</v>
      </c>
      <c r="F145" s="42">
        <f t="shared" si="70"/>
        <v>297130</v>
      </c>
      <c r="G145" s="42">
        <f t="shared" si="70"/>
        <v>426225.67</v>
      </c>
      <c r="H145" s="42">
        <f t="shared" si="70"/>
        <v>0</v>
      </c>
      <c r="I145" s="42">
        <f t="shared" si="70"/>
        <v>0</v>
      </c>
      <c r="J145" s="42">
        <f t="shared" si="70"/>
        <v>0</v>
      </c>
      <c r="K145" s="42">
        <f t="shared" si="70"/>
        <v>0</v>
      </c>
      <c r="L145" s="42">
        <f t="shared" si="70"/>
        <v>0</v>
      </c>
      <c r="M145" s="42">
        <f t="shared" si="70"/>
        <v>0</v>
      </c>
      <c r="N145" s="42">
        <f t="shared" si="70"/>
        <v>0</v>
      </c>
      <c r="O145" s="42">
        <f t="shared" si="70"/>
        <v>0</v>
      </c>
      <c r="P145" s="42">
        <f t="shared" si="70"/>
        <v>0</v>
      </c>
      <c r="Q145" s="42">
        <f t="shared" si="70"/>
        <v>0</v>
      </c>
      <c r="R145" s="42">
        <f t="shared" si="70"/>
        <v>0</v>
      </c>
      <c r="S145" s="42">
        <f>S41+S93</f>
        <v>0</v>
      </c>
      <c r="T145" s="42">
        <f t="shared" si="70"/>
        <v>0</v>
      </c>
      <c r="U145" s="42">
        <f t="shared" si="70"/>
        <v>0</v>
      </c>
      <c r="V145" s="42">
        <f t="shared" si="70"/>
        <v>0</v>
      </c>
      <c r="W145" s="42">
        <f t="shared" si="70"/>
        <v>5000</v>
      </c>
      <c r="X145" s="42">
        <f t="shared" si="70"/>
        <v>5000</v>
      </c>
      <c r="Y145" s="42">
        <f t="shared" si="70"/>
        <v>0</v>
      </c>
      <c r="Z145" s="42">
        <f t="shared" si="70"/>
        <v>0</v>
      </c>
      <c r="AA145" s="42">
        <f t="shared" si="70"/>
        <v>0</v>
      </c>
    </row>
    <row r="146" spans="1:27">
      <c r="A146" s="320"/>
      <c r="B146" s="174" t="s">
        <v>97</v>
      </c>
      <c r="C146" s="42">
        <f t="shared" si="28"/>
        <v>412948.13999999996</v>
      </c>
      <c r="D146" s="42">
        <f t="shared" ref="D146:AA146" si="71">D42+D94</f>
        <v>0</v>
      </c>
      <c r="E146" s="42">
        <f t="shared" si="71"/>
        <v>279465.82999999996</v>
      </c>
      <c r="F146" s="42">
        <f t="shared" si="71"/>
        <v>0</v>
      </c>
      <c r="G146" s="42">
        <f t="shared" si="71"/>
        <v>0</v>
      </c>
      <c r="H146" s="42">
        <f t="shared" si="71"/>
        <v>0</v>
      </c>
      <c r="I146" s="42">
        <f t="shared" si="71"/>
        <v>0</v>
      </c>
      <c r="J146" s="42">
        <f t="shared" si="71"/>
        <v>0</v>
      </c>
      <c r="K146" s="42">
        <f t="shared" si="71"/>
        <v>0</v>
      </c>
      <c r="L146" s="42">
        <f t="shared" si="71"/>
        <v>0</v>
      </c>
      <c r="M146" s="42">
        <f t="shared" si="71"/>
        <v>0</v>
      </c>
      <c r="N146" s="42">
        <f t="shared" si="71"/>
        <v>0</v>
      </c>
      <c r="O146" s="42">
        <f t="shared" si="71"/>
        <v>0</v>
      </c>
      <c r="P146" s="42">
        <f t="shared" si="71"/>
        <v>0</v>
      </c>
      <c r="Q146" s="42">
        <f t="shared" si="71"/>
        <v>28301.89</v>
      </c>
      <c r="R146" s="42">
        <f t="shared" si="71"/>
        <v>105180.41999999998</v>
      </c>
      <c r="S146" s="42">
        <f t="shared" si="71"/>
        <v>0</v>
      </c>
      <c r="T146" s="42">
        <f t="shared" si="71"/>
        <v>67169.799999999988</v>
      </c>
      <c r="U146" s="42">
        <f t="shared" si="71"/>
        <v>38010.620000000003</v>
      </c>
      <c r="V146" s="42">
        <f t="shared" si="71"/>
        <v>0</v>
      </c>
      <c r="W146" s="42">
        <f t="shared" si="71"/>
        <v>0</v>
      </c>
      <c r="X146" s="42">
        <f t="shared" si="71"/>
        <v>0</v>
      </c>
      <c r="Y146" s="42">
        <f t="shared" si="71"/>
        <v>0</v>
      </c>
      <c r="Z146" s="42">
        <f t="shared" si="71"/>
        <v>0</v>
      </c>
      <c r="AA146" s="42">
        <f t="shared" si="71"/>
        <v>0</v>
      </c>
    </row>
    <row r="147" spans="1:27">
      <c r="A147" s="320"/>
      <c r="B147" s="174" t="s">
        <v>98</v>
      </c>
      <c r="C147" s="42">
        <f t="shared" si="28"/>
        <v>350</v>
      </c>
      <c r="D147" s="42">
        <f t="shared" ref="D147:AA147" si="72">D43+D95</f>
        <v>0</v>
      </c>
      <c r="E147" s="42">
        <f t="shared" si="72"/>
        <v>0</v>
      </c>
      <c r="F147" s="42">
        <f t="shared" si="72"/>
        <v>-1050</v>
      </c>
      <c r="G147" s="42">
        <f t="shared" si="72"/>
        <v>0</v>
      </c>
      <c r="H147" s="42">
        <f t="shared" si="72"/>
        <v>1400</v>
      </c>
      <c r="I147" s="42">
        <f t="shared" si="72"/>
        <v>1400</v>
      </c>
      <c r="J147" s="42">
        <f t="shared" si="72"/>
        <v>0</v>
      </c>
      <c r="K147" s="42">
        <f t="shared" si="72"/>
        <v>0</v>
      </c>
      <c r="L147" s="42">
        <f t="shared" si="72"/>
        <v>0</v>
      </c>
      <c r="M147" s="42">
        <f t="shared" si="72"/>
        <v>0</v>
      </c>
      <c r="N147" s="42">
        <f t="shared" si="72"/>
        <v>0</v>
      </c>
      <c r="O147" s="42">
        <f t="shared" si="72"/>
        <v>0</v>
      </c>
      <c r="P147" s="42">
        <f t="shared" si="72"/>
        <v>0</v>
      </c>
      <c r="Q147" s="42">
        <f t="shared" si="72"/>
        <v>0</v>
      </c>
      <c r="R147" s="42">
        <f t="shared" si="72"/>
        <v>0</v>
      </c>
      <c r="S147" s="42">
        <f t="shared" si="72"/>
        <v>0</v>
      </c>
      <c r="T147" s="42">
        <f t="shared" si="72"/>
        <v>0</v>
      </c>
      <c r="U147" s="42">
        <f t="shared" si="72"/>
        <v>0</v>
      </c>
      <c r="V147" s="42">
        <f t="shared" si="72"/>
        <v>0</v>
      </c>
      <c r="W147" s="42">
        <f t="shared" si="72"/>
        <v>0</v>
      </c>
      <c r="X147" s="42">
        <f t="shared" si="72"/>
        <v>0</v>
      </c>
      <c r="Y147" s="42">
        <f t="shared" si="72"/>
        <v>0</v>
      </c>
      <c r="Z147" s="42">
        <f t="shared" si="72"/>
        <v>0</v>
      </c>
      <c r="AA147" s="42">
        <f t="shared" si="72"/>
        <v>0</v>
      </c>
    </row>
    <row r="148" spans="1:27" ht="13.5" customHeight="1">
      <c r="A148" s="320"/>
      <c r="B148" s="174" t="s">
        <v>101</v>
      </c>
      <c r="C148" s="42">
        <f t="shared" si="28"/>
        <v>11827669.299999999</v>
      </c>
      <c r="D148" s="42">
        <f t="shared" ref="D148:AA148" si="73">D44+D96</f>
        <v>0</v>
      </c>
      <c r="E148" s="42">
        <f t="shared" si="73"/>
        <v>2128224.0099999998</v>
      </c>
      <c r="F148" s="42">
        <f t="shared" si="73"/>
        <v>8537044.4899999984</v>
      </c>
      <c r="G148" s="42">
        <f t="shared" si="73"/>
        <v>42871.17</v>
      </c>
      <c r="H148" s="42">
        <f t="shared" si="73"/>
        <v>903148.13</v>
      </c>
      <c r="I148" s="42">
        <f t="shared" si="73"/>
        <v>65344.930000000008</v>
      </c>
      <c r="J148" s="42">
        <f t="shared" si="73"/>
        <v>152510.21</v>
      </c>
      <c r="K148" s="42">
        <f t="shared" si="73"/>
        <v>209485.58</v>
      </c>
      <c r="L148" s="42">
        <f t="shared" si="73"/>
        <v>0</v>
      </c>
      <c r="M148" s="42">
        <f t="shared" si="73"/>
        <v>180893.62</v>
      </c>
      <c r="N148" s="42">
        <f t="shared" si="73"/>
        <v>0</v>
      </c>
      <c r="O148" s="42">
        <f t="shared" si="73"/>
        <v>2500</v>
      </c>
      <c r="P148" s="42">
        <f t="shared" si="73"/>
        <v>292413.79000000004</v>
      </c>
      <c r="Q148" s="42">
        <f t="shared" si="73"/>
        <v>0</v>
      </c>
      <c r="R148" s="42">
        <f t="shared" si="73"/>
        <v>0</v>
      </c>
      <c r="S148" s="42">
        <f t="shared" si="73"/>
        <v>0</v>
      </c>
      <c r="T148" s="42">
        <f t="shared" si="73"/>
        <v>0</v>
      </c>
      <c r="U148" s="42">
        <f t="shared" si="73"/>
        <v>0</v>
      </c>
      <c r="V148" s="42">
        <f t="shared" si="73"/>
        <v>0</v>
      </c>
      <c r="W148" s="42">
        <f t="shared" si="73"/>
        <v>0</v>
      </c>
      <c r="X148" s="42">
        <f t="shared" si="73"/>
        <v>0</v>
      </c>
      <c r="Y148" s="42">
        <f t="shared" si="73"/>
        <v>0</v>
      </c>
      <c r="Z148" s="42">
        <f t="shared" si="73"/>
        <v>212381.50000000003</v>
      </c>
      <c r="AA148" s="42">
        <f t="shared" si="73"/>
        <v>4000</v>
      </c>
    </row>
    <row r="149" spans="1:27">
      <c r="A149" s="320"/>
      <c r="B149" s="174" t="s">
        <v>102</v>
      </c>
      <c r="C149" s="42">
        <f t="shared" si="28"/>
        <v>3072292.3400000003</v>
      </c>
      <c r="D149" s="42">
        <f t="shared" ref="D149:AA149" si="74">D45+D97</f>
        <v>0</v>
      </c>
      <c r="E149" s="42">
        <f t="shared" si="74"/>
        <v>1054187.58</v>
      </c>
      <c r="F149" s="42">
        <f t="shared" si="74"/>
        <v>1631097.23</v>
      </c>
      <c r="G149" s="42">
        <f t="shared" si="74"/>
        <v>9893.2000000000007</v>
      </c>
      <c r="H149" s="42">
        <f t="shared" si="74"/>
        <v>333521.74</v>
      </c>
      <c r="I149" s="42">
        <f t="shared" si="74"/>
        <v>76360</v>
      </c>
      <c r="J149" s="42">
        <f t="shared" si="74"/>
        <v>0</v>
      </c>
      <c r="K149" s="42">
        <f t="shared" si="74"/>
        <v>2303.4</v>
      </c>
      <c r="L149" s="42">
        <f t="shared" si="74"/>
        <v>0</v>
      </c>
      <c r="M149" s="42">
        <f t="shared" si="74"/>
        <v>112020.37</v>
      </c>
      <c r="N149" s="42">
        <f t="shared" si="74"/>
        <v>0</v>
      </c>
      <c r="O149" s="42">
        <f t="shared" si="74"/>
        <v>0</v>
      </c>
      <c r="P149" s="42">
        <f t="shared" si="74"/>
        <v>142837.97</v>
      </c>
      <c r="Q149" s="42">
        <f t="shared" si="74"/>
        <v>2933.9700000000003</v>
      </c>
      <c r="R149" s="42">
        <f t="shared" si="74"/>
        <v>1600</v>
      </c>
      <c r="S149" s="42">
        <f t="shared" si="74"/>
        <v>0</v>
      </c>
      <c r="T149" s="42">
        <f t="shared" si="74"/>
        <v>1600</v>
      </c>
      <c r="U149" s="42">
        <f t="shared" si="74"/>
        <v>0</v>
      </c>
      <c r="V149" s="42">
        <f t="shared" si="74"/>
        <v>0</v>
      </c>
      <c r="W149" s="42">
        <f>W45+W97</f>
        <v>2880</v>
      </c>
      <c r="X149" s="42">
        <f t="shared" si="74"/>
        <v>2880</v>
      </c>
      <c r="Y149" s="42">
        <f t="shared" si="74"/>
        <v>0</v>
      </c>
      <c r="Z149" s="42">
        <f t="shared" si="74"/>
        <v>36178.619999999995</v>
      </c>
      <c r="AA149" s="42">
        <f t="shared" si="74"/>
        <v>0</v>
      </c>
    </row>
    <row r="150" spans="1:27">
      <c r="A150" s="320"/>
      <c r="B150" s="174" t="s">
        <v>103</v>
      </c>
      <c r="C150" s="42">
        <f t="shared" si="28"/>
        <v>33050375.500000007</v>
      </c>
      <c r="D150" s="42">
        <f t="shared" ref="D150:AA150" si="75">D46+D98</f>
        <v>346910.24</v>
      </c>
      <c r="E150" s="42">
        <f t="shared" si="75"/>
        <v>3760969.15</v>
      </c>
      <c r="F150" s="42">
        <f t="shared" si="75"/>
        <v>24291063.230000004</v>
      </c>
      <c r="G150" s="42">
        <f t="shared" si="75"/>
        <v>298453.03999999998</v>
      </c>
      <c r="H150" s="42">
        <f t="shared" si="75"/>
        <v>2301482.5499999998</v>
      </c>
      <c r="I150" s="42">
        <f t="shared" si="75"/>
        <v>384393.67</v>
      </c>
      <c r="J150" s="42">
        <f t="shared" si="75"/>
        <v>0</v>
      </c>
      <c r="K150" s="42">
        <f t="shared" si="75"/>
        <v>384388.67</v>
      </c>
      <c r="L150" s="42">
        <f t="shared" si="75"/>
        <v>0</v>
      </c>
      <c r="M150" s="42">
        <f t="shared" si="75"/>
        <v>374972.47</v>
      </c>
      <c r="N150" s="42">
        <f t="shared" si="75"/>
        <v>0</v>
      </c>
      <c r="O150" s="42">
        <f t="shared" si="75"/>
        <v>784296.65000000014</v>
      </c>
      <c r="P150" s="42">
        <f t="shared" si="75"/>
        <v>373431.08999999997</v>
      </c>
      <c r="Q150" s="42">
        <f t="shared" si="75"/>
        <v>0</v>
      </c>
      <c r="R150" s="42">
        <f t="shared" si="75"/>
        <v>690585.16000000015</v>
      </c>
      <c r="S150" s="42">
        <f t="shared" si="75"/>
        <v>0</v>
      </c>
      <c r="T150" s="42">
        <f t="shared" si="75"/>
        <v>248732.47000000003</v>
      </c>
      <c r="U150" s="42">
        <f t="shared" si="75"/>
        <v>250867.88000000003</v>
      </c>
      <c r="V150" s="42">
        <f t="shared" si="75"/>
        <v>190984.81000000003</v>
      </c>
      <c r="W150" s="42">
        <f t="shared" si="75"/>
        <v>574062.28</v>
      </c>
      <c r="X150" s="42">
        <f t="shared" si="75"/>
        <v>574062.28</v>
      </c>
      <c r="Y150" s="42">
        <f t="shared" si="75"/>
        <v>0</v>
      </c>
      <c r="Z150" s="42">
        <f t="shared" si="75"/>
        <v>634671.93000000005</v>
      </c>
      <c r="AA150" s="42">
        <f t="shared" si="75"/>
        <v>152177.92000000001</v>
      </c>
    </row>
    <row r="151" spans="1:27">
      <c r="A151" s="320"/>
      <c r="B151" s="174" t="s">
        <v>104</v>
      </c>
      <c r="C151" s="42">
        <f t="shared" si="28"/>
        <v>15905775.01</v>
      </c>
      <c r="D151" s="42">
        <f t="shared" ref="D151:AA151" si="76">D47+D99</f>
        <v>-10802541</v>
      </c>
      <c r="E151" s="42">
        <f t="shared" si="76"/>
        <v>12303173.26</v>
      </c>
      <c r="F151" s="42">
        <f t="shared" si="76"/>
        <v>12643615.67</v>
      </c>
      <c r="G151" s="42">
        <f t="shared" si="76"/>
        <v>807822.17</v>
      </c>
      <c r="H151" s="42">
        <f t="shared" si="76"/>
        <v>709020.28</v>
      </c>
      <c r="I151" s="42">
        <f t="shared" si="76"/>
        <v>93968.53</v>
      </c>
      <c r="J151" s="42">
        <f t="shared" si="76"/>
        <v>0</v>
      </c>
      <c r="K151" s="42">
        <f t="shared" si="76"/>
        <v>72937.55</v>
      </c>
      <c r="L151" s="42">
        <f t="shared" si="76"/>
        <v>0</v>
      </c>
      <c r="M151" s="42">
        <f t="shared" si="76"/>
        <v>27082.9</v>
      </c>
      <c r="N151" s="42">
        <f t="shared" si="76"/>
        <v>0</v>
      </c>
      <c r="O151" s="42">
        <f t="shared" si="76"/>
        <v>465212.80999999994</v>
      </c>
      <c r="P151" s="42">
        <f t="shared" si="76"/>
        <v>49818.49</v>
      </c>
      <c r="Q151" s="42">
        <f t="shared" si="76"/>
        <v>0</v>
      </c>
      <c r="R151" s="42">
        <f t="shared" si="76"/>
        <v>0</v>
      </c>
      <c r="S151" s="42">
        <f t="shared" si="76"/>
        <v>0</v>
      </c>
      <c r="T151" s="42">
        <f t="shared" si="76"/>
        <v>0</v>
      </c>
      <c r="U151" s="42">
        <f t="shared" si="76"/>
        <v>0</v>
      </c>
      <c r="V151" s="42">
        <f t="shared" si="76"/>
        <v>0</v>
      </c>
      <c r="W151" s="42">
        <f t="shared" si="76"/>
        <v>133776.21000000002</v>
      </c>
      <c r="X151" s="42">
        <f t="shared" si="76"/>
        <v>128057.25000000001</v>
      </c>
      <c r="Y151" s="42">
        <f t="shared" si="76"/>
        <v>5718.96</v>
      </c>
      <c r="Z151" s="42">
        <f t="shared" si="76"/>
        <v>110122.9</v>
      </c>
      <c r="AA151" s="42">
        <f t="shared" si="76"/>
        <v>785.52</v>
      </c>
    </row>
    <row r="152" spans="1:27">
      <c r="A152" s="320"/>
      <c r="B152" s="174" t="s">
        <v>105</v>
      </c>
      <c r="C152" s="42">
        <f t="shared" si="28"/>
        <v>5131239.879999999</v>
      </c>
      <c r="D152" s="42">
        <f t="shared" ref="D152:AA152" si="77">D48+D100</f>
        <v>-1770346</v>
      </c>
      <c r="E152" s="42">
        <f t="shared" si="77"/>
        <v>4396160.6399999997</v>
      </c>
      <c r="F152" s="42">
        <f t="shared" si="77"/>
        <v>190000.23</v>
      </c>
      <c r="G152" s="42">
        <f t="shared" si="77"/>
        <v>0</v>
      </c>
      <c r="H152" s="42">
        <f t="shared" si="77"/>
        <v>1778383.2</v>
      </c>
      <c r="I152" s="42">
        <f t="shared" si="77"/>
        <v>414711.2</v>
      </c>
      <c r="J152" s="42">
        <f t="shared" si="77"/>
        <v>254613</v>
      </c>
      <c r="K152" s="42">
        <f t="shared" si="77"/>
        <v>378069</v>
      </c>
      <c r="L152" s="42">
        <f t="shared" si="77"/>
        <v>0</v>
      </c>
      <c r="M152" s="42">
        <f t="shared" si="77"/>
        <v>346777</v>
      </c>
      <c r="N152" s="42">
        <f t="shared" si="77"/>
        <v>0</v>
      </c>
      <c r="O152" s="42">
        <f t="shared" si="77"/>
        <v>0</v>
      </c>
      <c r="P152" s="42">
        <f t="shared" si="77"/>
        <v>384213</v>
      </c>
      <c r="Q152" s="42">
        <f t="shared" si="77"/>
        <v>0</v>
      </c>
      <c r="R152" s="42">
        <f t="shared" si="77"/>
        <v>0</v>
      </c>
      <c r="S152" s="42">
        <f t="shared" si="77"/>
        <v>0</v>
      </c>
      <c r="T152" s="42">
        <f t="shared" si="77"/>
        <v>0</v>
      </c>
      <c r="U152" s="42">
        <f t="shared" si="77"/>
        <v>0</v>
      </c>
      <c r="V152" s="42">
        <f t="shared" si="77"/>
        <v>0</v>
      </c>
      <c r="W152" s="42">
        <f t="shared" si="77"/>
        <v>0</v>
      </c>
      <c r="X152" s="42">
        <f t="shared" si="77"/>
        <v>0</v>
      </c>
      <c r="Y152" s="42">
        <f t="shared" si="77"/>
        <v>0</v>
      </c>
      <c r="Z152" s="42">
        <f t="shared" si="77"/>
        <v>537041.80999999994</v>
      </c>
      <c r="AA152" s="42">
        <f t="shared" si="77"/>
        <v>0</v>
      </c>
    </row>
    <row r="153" spans="1:27">
      <c r="A153" s="320"/>
      <c r="B153" s="174" t="s">
        <v>106</v>
      </c>
      <c r="C153" s="42">
        <f t="shared" si="28"/>
        <v>7702556.5399999991</v>
      </c>
      <c r="D153" s="42">
        <f t="shared" ref="D153:AA153" si="78">D49+D101</f>
        <v>-1708046</v>
      </c>
      <c r="E153" s="42">
        <f t="shared" si="78"/>
        <v>2894925.14</v>
      </c>
      <c r="F153" s="42">
        <f t="shared" si="78"/>
        <v>4333583.96</v>
      </c>
      <c r="G153" s="42">
        <f t="shared" si="78"/>
        <v>50633.1</v>
      </c>
      <c r="H153" s="42">
        <f t="shared" si="78"/>
        <v>211871.33</v>
      </c>
      <c r="I153" s="42">
        <f t="shared" si="78"/>
        <v>46208.909999999989</v>
      </c>
      <c r="J153" s="42">
        <f t="shared" si="78"/>
        <v>0</v>
      </c>
      <c r="K153" s="42">
        <f t="shared" si="78"/>
        <v>41880.869999999995</v>
      </c>
      <c r="L153" s="42">
        <f t="shared" si="78"/>
        <v>0</v>
      </c>
      <c r="M153" s="42">
        <f t="shared" si="78"/>
        <v>40857.06</v>
      </c>
      <c r="N153" s="42">
        <f t="shared" si="78"/>
        <v>0</v>
      </c>
      <c r="O153" s="42">
        <f t="shared" si="78"/>
        <v>41843.659999999996</v>
      </c>
      <c r="P153" s="42">
        <f t="shared" si="78"/>
        <v>41080.83</v>
      </c>
      <c r="Q153" s="42">
        <f t="shared" si="78"/>
        <v>486760</v>
      </c>
      <c r="R153" s="42">
        <f t="shared" si="78"/>
        <v>1230603.47</v>
      </c>
      <c r="S153" s="42">
        <f t="shared" si="78"/>
        <v>0</v>
      </c>
      <c r="T153" s="42">
        <f t="shared" si="78"/>
        <v>621030.53</v>
      </c>
      <c r="U153" s="42">
        <f t="shared" si="78"/>
        <v>324418.18999999994</v>
      </c>
      <c r="V153" s="42">
        <f t="shared" si="78"/>
        <v>285154.75</v>
      </c>
      <c r="W153" s="42">
        <f t="shared" si="78"/>
        <v>100310.08000000002</v>
      </c>
      <c r="X153" s="42">
        <f t="shared" si="78"/>
        <v>100310.08000000002</v>
      </c>
      <c r="Y153" s="42">
        <f t="shared" si="78"/>
        <v>0</v>
      </c>
      <c r="Z153" s="42">
        <f t="shared" si="78"/>
        <v>99428.229999999981</v>
      </c>
      <c r="AA153" s="42">
        <f t="shared" si="78"/>
        <v>2487.23</v>
      </c>
    </row>
    <row r="154" spans="1:27">
      <c r="A154" s="320"/>
      <c r="B154" s="174" t="s">
        <v>244</v>
      </c>
      <c r="C154" s="42">
        <f t="shared" si="28"/>
        <v>524468.43999999994</v>
      </c>
      <c r="D154" s="42">
        <f t="shared" ref="D154:AA154" si="79">D50+D102</f>
        <v>0</v>
      </c>
      <c r="E154" s="42">
        <f t="shared" si="79"/>
        <v>67752.27</v>
      </c>
      <c r="F154" s="42">
        <f t="shared" si="79"/>
        <v>304182.20999999996</v>
      </c>
      <c r="G154" s="42">
        <f t="shared" si="79"/>
        <v>2157.35</v>
      </c>
      <c r="H154" s="42">
        <f t="shared" si="79"/>
        <v>0</v>
      </c>
      <c r="I154" s="42">
        <f t="shared" si="79"/>
        <v>0</v>
      </c>
      <c r="J154" s="42">
        <f t="shared" si="79"/>
        <v>0</v>
      </c>
      <c r="K154" s="42">
        <f t="shared" si="79"/>
        <v>0</v>
      </c>
      <c r="L154" s="42">
        <f t="shared" si="79"/>
        <v>0</v>
      </c>
      <c r="M154" s="42">
        <f t="shared" si="79"/>
        <v>0</v>
      </c>
      <c r="N154" s="42">
        <f t="shared" si="79"/>
        <v>0</v>
      </c>
      <c r="O154" s="42">
        <f t="shared" si="79"/>
        <v>0</v>
      </c>
      <c r="P154" s="42">
        <f t="shared" si="79"/>
        <v>0</v>
      </c>
      <c r="Q154" s="42">
        <f t="shared" si="79"/>
        <v>0</v>
      </c>
      <c r="R154" s="42">
        <f t="shared" si="79"/>
        <v>150376.60999999999</v>
      </c>
      <c r="S154" s="42">
        <f t="shared" si="79"/>
        <v>0</v>
      </c>
      <c r="T154" s="42">
        <f t="shared" si="79"/>
        <v>150376.60999999999</v>
      </c>
      <c r="U154" s="42">
        <f t="shared" si="79"/>
        <v>0</v>
      </c>
      <c r="V154" s="42">
        <f t="shared" si="79"/>
        <v>0</v>
      </c>
      <c r="W154" s="42">
        <f t="shared" si="79"/>
        <v>0</v>
      </c>
      <c r="X154" s="42">
        <f t="shared" si="79"/>
        <v>0</v>
      </c>
      <c r="Y154" s="42">
        <f t="shared" si="79"/>
        <v>0</v>
      </c>
      <c r="Z154" s="42">
        <f t="shared" si="79"/>
        <v>0</v>
      </c>
      <c r="AA154" s="42">
        <f t="shared" si="79"/>
        <v>0</v>
      </c>
    </row>
    <row r="155" spans="1:27">
      <c r="A155" s="321"/>
      <c r="B155" s="175" t="s">
        <v>69</v>
      </c>
      <c r="C155" s="44">
        <f>SUM(C139:C154)</f>
        <v>93972142.319999993</v>
      </c>
      <c r="D155" s="44">
        <f t="shared" ref="D155:AA155" si="80">SUM(D139:D154)</f>
        <v>-13940140.76</v>
      </c>
      <c r="E155" s="44">
        <f t="shared" si="80"/>
        <v>32710553.530000001</v>
      </c>
      <c r="F155" s="44">
        <f t="shared" si="80"/>
        <v>59350826.890000008</v>
      </c>
      <c r="G155" s="44">
        <f t="shared" si="80"/>
        <v>1771697.1600000001</v>
      </c>
      <c r="H155" s="44">
        <f>SUM(H139:H154)</f>
        <v>6934309.1500000004</v>
      </c>
      <c r="I155" s="44">
        <f t="shared" si="80"/>
        <v>1278643.0799999998</v>
      </c>
      <c r="J155" s="44">
        <f t="shared" si="80"/>
        <v>420344.61</v>
      </c>
      <c r="K155" s="44">
        <f t="shared" si="80"/>
        <v>1207942.71</v>
      </c>
      <c r="L155" s="44">
        <f t="shared" si="80"/>
        <v>0</v>
      </c>
      <c r="M155" s="44">
        <f t="shared" si="80"/>
        <v>1194518.3700000001</v>
      </c>
      <c r="N155" s="44">
        <f t="shared" si="80"/>
        <v>0</v>
      </c>
      <c r="O155" s="44">
        <f t="shared" si="80"/>
        <v>1410601.4400000002</v>
      </c>
      <c r="P155" s="44">
        <f t="shared" si="80"/>
        <v>1422258.94</v>
      </c>
      <c r="Q155" s="44">
        <f t="shared" si="80"/>
        <v>647911.36</v>
      </c>
      <c r="R155" s="44">
        <f>SUM(R139:R154)</f>
        <v>3627608.2600000002</v>
      </c>
      <c r="S155" s="44">
        <f t="shared" si="80"/>
        <v>0</v>
      </c>
      <c r="T155" s="44">
        <f t="shared" si="80"/>
        <v>2363544.5799999996</v>
      </c>
      <c r="U155" s="44">
        <f t="shared" si="80"/>
        <v>688831.26</v>
      </c>
      <c r="V155" s="44">
        <f t="shared" si="80"/>
        <v>575232.42000000004</v>
      </c>
      <c r="W155" s="44">
        <f t="shared" si="80"/>
        <v>920212.41000000015</v>
      </c>
      <c r="X155" s="44">
        <f t="shared" si="80"/>
        <v>907494.02</v>
      </c>
      <c r="Y155" s="44">
        <f t="shared" si="80"/>
        <v>12718.39</v>
      </c>
      <c r="Z155" s="44">
        <f t="shared" si="80"/>
        <v>1788931.08</v>
      </c>
      <c r="AA155" s="44">
        <f t="shared" si="80"/>
        <v>160233.24000000002</v>
      </c>
    </row>
    <row r="156" spans="1:27" ht="14.25" thickBot="1">
      <c r="A156" s="37"/>
      <c r="B156" s="176" t="s">
        <v>248</v>
      </c>
      <c r="C156" s="45">
        <f t="shared" ref="C156" si="81">C155+C138+C124+C118</f>
        <v>752410517.45000005</v>
      </c>
      <c r="D156" s="45">
        <f>D155+D138+D124+D118</f>
        <v>-43905706.789999999</v>
      </c>
      <c r="E156" s="45">
        <f t="shared" ref="E156:Z156" si="82">E155+E138+E124+E118</f>
        <v>246242461.84</v>
      </c>
      <c r="F156" s="45">
        <f t="shared" si="82"/>
        <v>337629679.02999997</v>
      </c>
      <c r="G156" s="45">
        <f t="shared" si="82"/>
        <v>10559532.99</v>
      </c>
      <c r="H156" s="45">
        <f>H155+H138+H124+H118</f>
        <v>31627347.700000003</v>
      </c>
      <c r="I156" s="45">
        <f>I155+I138+I124+I118</f>
        <v>11102788.1</v>
      </c>
      <c r="J156" s="45">
        <f t="shared" ref="J156:L156" si="83">J155+J138+J124+J118</f>
        <v>1298764.6000000001</v>
      </c>
      <c r="K156" s="45">
        <f t="shared" si="83"/>
        <v>4244968.7699999996</v>
      </c>
      <c r="L156" s="45">
        <f t="shared" si="83"/>
        <v>0</v>
      </c>
      <c r="M156" s="45">
        <f t="shared" si="82"/>
        <v>4677957.82</v>
      </c>
      <c r="N156" s="45">
        <f t="shared" si="82"/>
        <v>0</v>
      </c>
      <c r="O156" s="45">
        <f t="shared" si="82"/>
        <v>4195398.2000000011</v>
      </c>
      <c r="P156" s="45">
        <f t="shared" si="82"/>
        <v>6107826.209999999</v>
      </c>
      <c r="Q156" s="45">
        <f t="shared" si="82"/>
        <v>14856679.539999999</v>
      </c>
      <c r="R156" s="45">
        <f>R155+R138+R124+R118</f>
        <v>139531072.75999999</v>
      </c>
      <c r="S156" s="45">
        <f t="shared" si="82"/>
        <v>0</v>
      </c>
      <c r="T156" s="45">
        <f t="shared" si="82"/>
        <v>106246867.44000001</v>
      </c>
      <c r="U156" s="45">
        <f t="shared" si="82"/>
        <v>29445731.23</v>
      </c>
      <c r="V156" s="45">
        <f t="shared" si="82"/>
        <v>3838474.09</v>
      </c>
      <c r="W156" s="45">
        <f t="shared" si="82"/>
        <v>5180858.26</v>
      </c>
      <c r="X156" s="45">
        <f t="shared" si="82"/>
        <v>3987356.92</v>
      </c>
      <c r="Y156" s="45">
        <f t="shared" si="82"/>
        <v>1193501.3399999999</v>
      </c>
      <c r="Z156" s="45">
        <f t="shared" si="82"/>
        <v>10394659.939999999</v>
      </c>
      <c r="AA156" s="45">
        <f t="shared" ref="AA156" si="84">AA155+AA138+AA124+AA118</f>
        <v>293932.18</v>
      </c>
    </row>
    <row r="157" spans="1:27">
      <c r="C157" s="282">
        <v>41037.866764999999</v>
      </c>
    </row>
    <row r="158" spans="1:27" s="26" customFormat="1" ht="12">
      <c r="B158" s="46" t="s">
        <v>49</v>
      </c>
      <c r="C158" s="26">
        <f>C156-累计利润调整表!B77</f>
        <v>0.22000002861022949</v>
      </c>
      <c r="D158" s="26">
        <f>D156-累计利润调整表!C77</f>
        <v>0</v>
      </c>
      <c r="E158" s="26">
        <f>E156-累计利润调整表!D77</f>
        <v>0.2199999988079071</v>
      </c>
      <c r="F158" s="26">
        <f>F156-累计利润调整表!E77</f>
        <v>0</v>
      </c>
      <c r="G158" s="26">
        <f>G156-累计利润调整表!F77</f>
        <v>0</v>
      </c>
      <c r="H158" s="26">
        <f>H156-累计利润调整表!G77</f>
        <v>0</v>
      </c>
      <c r="I158" s="26">
        <f>I156-累计利润调整表!H77</f>
        <v>0</v>
      </c>
      <c r="J158" s="26">
        <f>J156-累计利润调整表!K77</f>
        <v>0</v>
      </c>
      <c r="K158" s="26">
        <f>K156-累计利润调整表!J77</f>
        <v>356</v>
      </c>
      <c r="L158" s="26">
        <f>L156-累计利润调整表!M77</f>
        <v>0</v>
      </c>
      <c r="M158" s="26">
        <f>M156-累计利润调整表!L77</f>
        <v>0</v>
      </c>
      <c r="N158" s="26">
        <f>N156-累计利润调整表!M77</f>
        <v>0</v>
      </c>
      <c r="O158" s="26">
        <f>O156-累计利润调整表!N77</f>
        <v>0</v>
      </c>
      <c r="P158" s="26">
        <f>P156-累计利润调整表!O77</f>
        <v>0</v>
      </c>
      <c r="Q158" s="26">
        <f>Q156-累计利润调整表!P77</f>
        <v>0</v>
      </c>
      <c r="R158" s="26">
        <f>R156-累计利润调整表!Q77</f>
        <v>0</v>
      </c>
      <c r="S158" s="26">
        <f>S156-累计利润调整表!R77</f>
        <v>0</v>
      </c>
      <c r="T158" s="26">
        <f>T156-累计利润调整表!S77</f>
        <v>0</v>
      </c>
      <c r="U158" s="26">
        <f>U156-累计利润调整表!T77</f>
        <v>0</v>
      </c>
      <c r="V158" s="26">
        <f>V156-累计利润调整表!U77</f>
        <v>0</v>
      </c>
      <c r="W158" s="26">
        <f>W156-累计利润调整表!V77</f>
        <v>0</v>
      </c>
      <c r="X158" s="26">
        <f>X156-累计利润调整表!W77</f>
        <v>0</v>
      </c>
      <c r="Y158" s="26">
        <f>Y156-累计利润调整表!X77</f>
        <v>0</v>
      </c>
      <c r="Z158" s="26">
        <f>Z156-累计利润调整表!Y77</f>
        <v>0</v>
      </c>
      <c r="AA158" s="26">
        <f>AA156-累计利润调整表!Z77</f>
        <v>0</v>
      </c>
    </row>
    <row r="159" spans="1:27" ht="14.25" thickBot="1"/>
    <row r="160" spans="1:27">
      <c r="B160" s="33" t="s">
        <v>58</v>
      </c>
      <c r="D160" s="279">
        <v>34.691023999999999</v>
      </c>
    </row>
    <row r="161" spans="2:4">
      <c r="B161" s="174" t="s">
        <v>60</v>
      </c>
      <c r="C161" s="27">
        <f>C4+C56-C108</f>
        <v>0</v>
      </c>
      <c r="D161" s="279">
        <v>-1080.2541000000001</v>
      </c>
    </row>
    <row r="162" spans="2:4">
      <c r="B162" s="174" t="s">
        <v>61</v>
      </c>
      <c r="C162" s="27">
        <f t="shared" ref="C162:C209" si="85">C5+C57-C109</f>
        <v>0</v>
      </c>
      <c r="D162" s="279">
        <v>-177.03460000000001</v>
      </c>
    </row>
    <row r="163" spans="2:4">
      <c r="B163" s="174" t="s">
        <v>62</v>
      </c>
      <c r="C163" s="27">
        <f t="shared" si="85"/>
        <v>0</v>
      </c>
      <c r="D163" s="279">
        <v>-170.80459999999999</v>
      </c>
    </row>
    <row r="164" spans="2:4">
      <c r="B164" s="174" t="s">
        <v>82</v>
      </c>
      <c r="C164" s="27">
        <f t="shared" si="85"/>
        <v>0</v>
      </c>
    </row>
    <row r="165" spans="2:4">
      <c r="B165" s="174" t="s">
        <v>63</v>
      </c>
      <c r="C165" s="27">
        <f t="shared" si="85"/>
        <v>0</v>
      </c>
    </row>
    <row r="166" spans="2:4">
      <c r="B166" s="174" t="s">
        <v>64</v>
      </c>
      <c r="C166" s="27">
        <f t="shared" si="85"/>
        <v>0</v>
      </c>
    </row>
    <row r="167" spans="2:4">
      <c r="B167" s="174" t="s">
        <v>65</v>
      </c>
      <c r="C167" s="27">
        <f t="shared" si="85"/>
        <v>0</v>
      </c>
    </row>
    <row r="168" spans="2:4">
      <c r="B168" s="174" t="s">
        <v>66</v>
      </c>
      <c r="C168" s="27">
        <f t="shared" si="85"/>
        <v>0</v>
      </c>
    </row>
    <row r="169" spans="2:4">
      <c r="B169" s="174" t="s">
        <v>241</v>
      </c>
      <c r="C169" s="27">
        <f t="shared" si="85"/>
        <v>0</v>
      </c>
    </row>
    <row r="170" spans="2:4">
      <c r="B170" s="174" t="s">
        <v>68</v>
      </c>
      <c r="C170" s="27">
        <f t="shared" si="85"/>
        <v>0</v>
      </c>
    </row>
    <row r="171" spans="2:4">
      <c r="B171" s="175" t="s">
        <v>247</v>
      </c>
      <c r="C171" s="27">
        <f t="shared" si="85"/>
        <v>0</v>
      </c>
    </row>
    <row r="172" spans="2:4">
      <c r="B172" s="174" t="s">
        <v>71</v>
      </c>
      <c r="C172" s="27">
        <f t="shared" si="85"/>
        <v>0</v>
      </c>
    </row>
    <row r="173" spans="2:4">
      <c r="B173" s="174" t="s">
        <v>242</v>
      </c>
      <c r="C173" s="27">
        <f t="shared" si="85"/>
        <v>0</v>
      </c>
    </row>
    <row r="174" spans="2:4">
      <c r="B174" s="174" t="s">
        <v>73</v>
      </c>
      <c r="C174" s="27">
        <f t="shared" si="85"/>
        <v>-0.2199999988079071</v>
      </c>
    </row>
    <row r="175" spans="2:4">
      <c r="B175" s="174" t="s">
        <v>96</v>
      </c>
      <c r="C175" s="27">
        <f t="shared" si="85"/>
        <v>0</v>
      </c>
    </row>
    <row r="176" spans="2:4">
      <c r="B176" s="174" t="s">
        <v>74</v>
      </c>
      <c r="C176" s="27">
        <f t="shared" si="85"/>
        <v>0</v>
      </c>
    </row>
    <row r="177" spans="2:3">
      <c r="B177" s="175" t="s">
        <v>69</v>
      </c>
      <c r="C177" s="27">
        <f t="shared" si="85"/>
        <v>-0.21999996900558472</v>
      </c>
    </row>
    <row r="178" spans="2:3">
      <c r="B178" s="174" t="s">
        <v>76</v>
      </c>
      <c r="C178" s="27">
        <f t="shared" si="85"/>
        <v>0</v>
      </c>
    </row>
    <row r="179" spans="2:3">
      <c r="B179" s="174" t="s">
        <v>77</v>
      </c>
      <c r="C179" s="27">
        <f t="shared" si="85"/>
        <v>0</v>
      </c>
    </row>
    <row r="180" spans="2:3">
      <c r="B180" s="174" t="s">
        <v>80</v>
      </c>
      <c r="C180" s="27">
        <f t="shared" si="85"/>
        <v>0</v>
      </c>
    </row>
    <row r="181" spans="2:3">
      <c r="B181" s="174" t="s">
        <v>81</v>
      </c>
      <c r="C181" s="27">
        <f t="shared" si="85"/>
        <v>0</v>
      </c>
    </row>
    <row r="182" spans="2:3">
      <c r="B182" s="174" t="s">
        <v>84</v>
      </c>
      <c r="C182" s="27">
        <f t="shared" si="85"/>
        <v>0</v>
      </c>
    </row>
    <row r="183" spans="2:3">
      <c r="B183" s="174" t="s">
        <v>86</v>
      </c>
      <c r="C183" s="27">
        <f t="shared" si="85"/>
        <v>0</v>
      </c>
    </row>
    <row r="184" spans="2:3">
      <c r="B184" s="174" t="s">
        <v>88</v>
      </c>
      <c r="C184" s="27">
        <f t="shared" si="85"/>
        <v>0</v>
      </c>
    </row>
    <row r="185" spans="2:3">
      <c r="B185" s="174" t="s">
        <v>89</v>
      </c>
      <c r="C185" s="27">
        <f t="shared" si="85"/>
        <v>0</v>
      </c>
    </row>
    <row r="186" spans="2:3">
      <c r="B186" s="174" t="s">
        <v>93</v>
      </c>
      <c r="C186" s="27">
        <f t="shared" si="85"/>
        <v>0</v>
      </c>
    </row>
    <row r="187" spans="2:3">
      <c r="B187" s="174" t="s">
        <v>94</v>
      </c>
      <c r="C187" s="27">
        <f t="shared" si="85"/>
        <v>0</v>
      </c>
    </row>
    <row r="188" spans="2:3">
      <c r="B188" s="174" t="s">
        <v>90</v>
      </c>
      <c r="C188" s="27">
        <f t="shared" si="85"/>
        <v>0</v>
      </c>
    </row>
    <row r="189" spans="2:3">
      <c r="B189" s="174" t="s">
        <v>85</v>
      </c>
      <c r="C189" s="27">
        <f t="shared" si="85"/>
        <v>0</v>
      </c>
    </row>
    <row r="190" spans="2:3">
      <c r="B190" s="174" t="s">
        <v>243</v>
      </c>
      <c r="C190" s="27">
        <f t="shared" si="85"/>
        <v>0</v>
      </c>
    </row>
    <row r="191" spans="2:3">
      <c r="B191" s="175" t="s">
        <v>69</v>
      </c>
      <c r="C191" s="27">
        <f t="shared" si="85"/>
        <v>0</v>
      </c>
    </row>
    <row r="192" spans="2:3">
      <c r="B192" s="174" t="s">
        <v>78</v>
      </c>
      <c r="C192" s="27">
        <f t="shared" si="85"/>
        <v>0</v>
      </c>
    </row>
    <row r="193" spans="2:3">
      <c r="B193" s="174" t="s">
        <v>79</v>
      </c>
      <c r="C193" s="27">
        <f t="shared" si="85"/>
        <v>0</v>
      </c>
    </row>
    <row r="194" spans="2:3">
      <c r="B194" s="174" t="s">
        <v>83</v>
      </c>
      <c r="C194" s="27">
        <f t="shared" si="85"/>
        <v>0</v>
      </c>
    </row>
    <row r="195" spans="2:3">
      <c r="B195" s="174" t="s">
        <v>87</v>
      </c>
      <c r="C195" s="27">
        <f t="shared" si="85"/>
        <v>0</v>
      </c>
    </row>
    <row r="196" spans="2:3">
      <c r="B196" s="174" t="s">
        <v>91</v>
      </c>
      <c r="C196" s="27">
        <f t="shared" si="85"/>
        <v>0</v>
      </c>
    </row>
    <row r="197" spans="2:3">
      <c r="B197" s="174" t="s">
        <v>92</v>
      </c>
      <c r="C197" s="27">
        <f t="shared" si="85"/>
        <v>0</v>
      </c>
    </row>
    <row r="198" spans="2:3">
      <c r="B198" s="174" t="s">
        <v>95</v>
      </c>
      <c r="C198" s="27">
        <f t="shared" si="85"/>
        <v>0</v>
      </c>
    </row>
    <row r="199" spans="2:3">
      <c r="B199" s="174" t="s">
        <v>97</v>
      </c>
      <c r="C199" s="27">
        <f t="shared" si="85"/>
        <v>0</v>
      </c>
    </row>
    <row r="200" spans="2:3">
      <c r="B200" s="174" t="s">
        <v>98</v>
      </c>
      <c r="C200" s="27">
        <f t="shared" si="85"/>
        <v>0</v>
      </c>
    </row>
    <row r="201" spans="2:3">
      <c r="B201" s="174" t="s">
        <v>101</v>
      </c>
      <c r="C201" s="27">
        <f t="shared" si="85"/>
        <v>0</v>
      </c>
    </row>
    <row r="202" spans="2:3">
      <c r="B202" s="174" t="s">
        <v>102</v>
      </c>
      <c r="C202" s="27">
        <f t="shared" si="85"/>
        <v>0</v>
      </c>
    </row>
    <row r="203" spans="2:3">
      <c r="B203" s="174" t="s">
        <v>103</v>
      </c>
      <c r="C203" s="27">
        <f t="shared" si="85"/>
        <v>0</v>
      </c>
    </row>
    <row r="204" spans="2:3">
      <c r="B204" s="174" t="s">
        <v>104</v>
      </c>
      <c r="C204" s="27">
        <f t="shared" si="85"/>
        <v>0</v>
      </c>
    </row>
    <row r="205" spans="2:3">
      <c r="B205" s="174" t="s">
        <v>105</v>
      </c>
      <c r="C205" s="27">
        <f t="shared" si="85"/>
        <v>0</v>
      </c>
    </row>
    <row r="206" spans="2:3">
      <c r="B206" s="174" t="s">
        <v>106</v>
      </c>
      <c r="C206" s="27">
        <f t="shared" si="85"/>
        <v>0</v>
      </c>
    </row>
    <row r="207" spans="2:3">
      <c r="B207" s="174" t="s">
        <v>244</v>
      </c>
      <c r="C207" s="27">
        <f t="shared" si="85"/>
        <v>0</v>
      </c>
    </row>
    <row r="208" spans="2:3">
      <c r="B208" s="175" t="s">
        <v>69</v>
      </c>
      <c r="C208" s="27">
        <f t="shared" si="85"/>
        <v>0</v>
      </c>
    </row>
    <row r="209" spans="2:3" ht="14.25" thickBot="1">
      <c r="B209" s="176" t="s">
        <v>248</v>
      </c>
      <c r="C209" s="27">
        <f t="shared" si="85"/>
        <v>-0.22000002861022949</v>
      </c>
    </row>
  </sheetData>
  <mergeCells count="12">
    <mergeCell ref="A139:A155"/>
    <mergeCell ref="A4:A14"/>
    <mergeCell ref="A15:A20"/>
    <mergeCell ref="A21:A34"/>
    <mergeCell ref="A35:A51"/>
    <mergeCell ref="A56:A66"/>
    <mergeCell ref="A67:A72"/>
    <mergeCell ref="A73:A86"/>
    <mergeCell ref="A87:A103"/>
    <mergeCell ref="A108:A118"/>
    <mergeCell ref="A119:A124"/>
    <mergeCell ref="A125:A138"/>
  </mergeCells>
  <phoneticPr fontId="2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Y390"/>
  <sheetViews>
    <sheetView topLeftCell="A46" workbookViewId="0">
      <pane xSplit="2" ySplit="5" topLeftCell="C266" activePane="bottomRight" state="frozen"/>
      <selection activeCell="A46" sqref="A46"/>
      <selection pane="topRight" activeCell="C46" sqref="C46"/>
      <selection pane="bottomLeft" activeCell="A51" sqref="A51"/>
      <selection pane="bottomRight" activeCell="C299" sqref="C299"/>
    </sheetView>
  </sheetViews>
  <sheetFormatPr defaultColWidth="9" defaultRowHeight="16.5" customHeight="1"/>
  <cols>
    <col min="1" max="1" width="6.875" style="2" customWidth="1"/>
    <col min="2" max="3" width="17.25" style="2" customWidth="1"/>
    <col min="4" max="4" width="17.25" style="3" customWidth="1"/>
    <col min="5" max="5" width="15.5" style="3" customWidth="1"/>
    <col min="6" max="6" width="17.875" style="3" customWidth="1"/>
    <col min="7" max="7" width="15.125" style="3" customWidth="1"/>
    <col min="8" max="8" width="29.25" style="4" bestFit="1" customWidth="1"/>
    <col min="9" max="9" width="29.375" style="195" customWidth="1"/>
    <col min="10" max="10" width="14" style="195" customWidth="1"/>
    <col min="11" max="11" width="14.625" style="195" customWidth="1"/>
    <col min="12" max="12" width="13.5" style="195" customWidth="1"/>
    <col min="13" max="15" width="14" style="195" customWidth="1"/>
    <col min="16" max="16" width="12.25" style="195" customWidth="1"/>
    <col min="17" max="19" width="9" style="195"/>
    <col min="20" max="20" width="15.125" style="195" customWidth="1"/>
    <col min="21" max="22" width="9" style="195"/>
    <col min="23" max="16384" width="9" style="3"/>
  </cols>
  <sheetData>
    <row r="1" spans="1:25" ht="16.5" hidden="1" customHeight="1">
      <c r="A1" s="3"/>
      <c r="B1" s="3"/>
      <c r="C1" s="3"/>
      <c r="H1" s="3"/>
      <c r="I1" s="195" t="s">
        <v>110</v>
      </c>
      <c r="K1" s="195" t="s">
        <v>5</v>
      </c>
      <c r="M1" s="195" t="s">
        <v>60</v>
      </c>
      <c r="N1" s="196"/>
      <c r="O1" s="196"/>
      <c r="R1" s="196"/>
      <c r="T1" s="195" t="s">
        <v>60</v>
      </c>
      <c r="U1" s="196">
        <f t="shared" ref="U1:U44" si="0">VLOOKUP(T1,$M$1:$Q$44,2,0)</f>
        <v>0</v>
      </c>
      <c r="V1" s="196">
        <v>0</v>
      </c>
      <c r="W1" s="195" t="s">
        <v>60</v>
      </c>
      <c r="X1" s="195" t="s">
        <v>245</v>
      </c>
      <c r="Y1" s="196">
        <f t="shared" ref="Y1:Y44" si="1">VLOOKUP(W1,$M$1:$O$44,3,0)</f>
        <v>0</v>
      </c>
    </row>
    <row r="2" spans="1:25" ht="16.5" hidden="1" customHeight="1">
      <c r="A2" s="3"/>
      <c r="B2" s="3"/>
      <c r="C2" s="3"/>
      <c r="H2" s="3"/>
      <c r="I2" s="195" t="s">
        <v>27</v>
      </c>
      <c r="K2" s="195" t="s">
        <v>6</v>
      </c>
      <c r="M2" s="195" t="s">
        <v>61</v>
      </c>
      <c r="N2" s="196"/>
      <c r="O2" s="196"/>
      <c r="R2" s="196"/>
      <c r="T2" s="195" t="s">
        <v>61</v>
      </c>
      <c r="U2" s="196">
        <f t="shared" si="0"/>
        <v>0</v>
      </c>
      <c r="V2" s="196">
        <v>0</v>
      </c>
      <c r="W2" s="195" t="s">
        <v>61</v>
      </c>
      <c r="X2" s="195" t="s">
        <v>245</v>
      </c>
      <c r="Y2" s="196">
        <f t="shared" si="1"/>
        <v>0</v>
      </c>
    </row>
    <row r="3" spans="1:25" ht="16.5" hidden="1" customHeight="1">
      <c r="A3" s="3"/>
      <c r="B3" s="3"/>
      <c r="C3" s="3"/>
      <c r="H3" s="3"/>
      <c r="I3" s="195" t="s">
        <v>28</v>
      </c>
      <c r="K3" s="195" t="s">
        <v>7</v>
      </c>
      <c r="M3" s="195" t="s">
        <v>62</v>
      </c>
      <c r="N3" s="196"/>
      <c r="O3" s="196"/>
      <c r="R3" s="196"/>
      <c r="T3" s="195" t="s">
        <v>62</v>
      </c>
      <c r="U3" s="196">
        <f t="shared" si="0"/>
        <v>0</v>
      </c>
      <c r="V3" s="196">
        <v>0</v>
      </c>
      <c r="W3" s="195" t="s">
        <v>62</v>
      </c>
      <c r="X3" s="195" t="s">
        <v>245</v>
      </c>
      <c r="Y3" s="196">
        <f t="shared" si="1"/>
        <v>0</v>
      </c>
    </row>
    <row r="4" spans="1:25" ht="16.5" hidden="1" customHeight="1">
      <c r="A4" s="3"/>
      <c r="B4" s="3"/>
      <c r="C4" s="3"/>
      <c r="H4" s="3"/>
      <c r="I4" s="195" t="s">
        <v>29</v>
      </c>
      <c r="K4" s="195" t="s">
        <v>8</v>
      </c>
      <c r="M4" s="195" t="s">
        <v>82</v>
      </c>
      <c r="N4" s="196"/>
      <c r="O4" s="196"/>
      <c r="R4" s="196"/>
      <c r="T4" s="195" t="s">
        <v>63</v>
      </c>
      <c r="U4" s="196">
        <f t="shared" si="0"/>
        <v>0</v>
      </c>
      <c r="V4" s="196">
        <v>0</v>
      </c>
      <c r="W4" s="195" t="s">
        <v>82</v>
      </c>
      <c r="X4" s="195" t="s">
        <v>132</v>
      </c>
      <c r="Y4" s="196">
        <f t="shared" si="1"/>
        <v>0</v>
      </c>
    </row>
    <row r="5" spans="1:25" ht="16.5" hidden="1" customHeight="1">
      <c r="A5" s="3"/>
      <c r="B5" s="3"/>
      <c r="C5" s="3"/>
      <c r="H5" s="3"/>
      <c r="I5" s="195" t="s">
        <v>111</v>
      </c>
      <c r="K5" s="195" t="s">
        <v>10</v>
      </c>
      <c r="M5" s="195" t="s">
        <v>63</v>
      </c>
      <c r="N5" s="196"/>
      <c r="O5" s="196"/>
      <c r="R5" s="196"/>
      <c r="T5" s="195" t="s">
        <v>64</v>
      </c>
      <c r="U5" s="196">
        <f t="shared" si="0"/>
        <v>0</v>
      </c>
      <c r="V5" s="196">
        <v>0</v>
      </c>
      <c r="W5" s="195" t="s">
        <v>63</v>
      </c>
      <c r="X5" s="195" t="s">
        <v>132</v>
      </c>
      <c r="Y5" s="196">
        <f t="shared" si="1"/>
        <v>0</v>
      </c>
    </row>
    <row r="6" spans="1:25" ht="16.5" hidden="1" customHeight="1">
      <c r="A6" s="3"/>
      <c r="B6" s="3"/>
      <c r="C6" s="3"/>
      <c r="H6" s="3"/>
      <c r="I6" s="195" t="s">
        <v>31</v>
      </c>
      <c r="K6" s="195" t="s">
        <v>11</v>
      </c>
      <c r="M6" s="195" t="s">
        <v>64</v>
      </c>
      <c r="N6" s="196"/>
      <c r="O6" s="196"/>
      <c r="R6" s="196"/>
      <c r="T6" s="195" t="s">
        <v>65</v>
      </c>
      <c r="U6" s="196">
        <f t="shared" si="0"/>
        <v>0</v>
      </c>
      <c r="V6" s="196">
        <v>0</v>
      </c>
      <c r="W6" s="195" t="s">
        <v>64</v>
      </c>
      <c r="X6" s="195" t="s">
        <v>132</v>
      </c>
      <c r="Y6" s="196">
        <f t="shared" si="1"/>
        <v>0</v>
      </c>
    </row>
    <row r="7" spans="1:25" ht="16.5" hidden="1" customHeight="1">
      <c r="A7" s="3"/>
      <c r="B7" s="3"/>
      <c r="C7" s="3"/>
      <c r="H7" s="3"/>
      <c r="I7" s="195" t="s">
        <v>33</v>
      </c>
      <c r="K7" s="195" t="s">
        <v>12</v>
      </c>
      <c r="M7" s="195" t="s">
        <v>65</v>
      </c>
      <c r="N7" s="196"/>
      <c r="O7" s="196"/>
      <c r="R7" s="196"/>
      <c r="T7" s="195" t="s">
        <v>66</v>
      </c>
      <c r="U7" s="196">
        <f t="shared" si="0"/>
        <v>0</v>
      </c>
      <c r="V7" s="196">
        <v>0</v>
      </c>
      <c r="W7" s="195" t="s">
        <v>65</v>
      </c>
      <c r="X7" s="195" t="s">
        <v>132</v>
      </c>
      <c r="Y7" s="196">
        <f t="shared" si="1"/>
        <v>0</v>
      </c>
    </row>
    <row r="8" spans="1:25" ht="16.5" hidden="1" customHeight="1">
      <c r="A8" s="3"/>
      <c r="B8" s="3"/>
      <c r="C8" s="3"/>
      <c r="H8" s="3"/>
      <c r="I8" s="195" t="s">
        <v>112</v>
      </c>
      <c r="K8" s="195" t="s">
        <v>13</v>
      </c>
      <c r="M8" s="195" t="s">
        <v>66</v>
      </c>
      <c r="N8" s="196"/>
      <c r="O8" s="196"/>
      <c r="R8" s="196"/>
      <c r="T8" s="195" t="s">
        <v>67</v>
      </c>
      <c r="U8" s="196" t="e">
        <f t="shared" si="0"/>
        <v>#N/A</v>
      </c>
      <c r="V8" s="196">
        <v>0</v>
      </c>
      <c r="W8" s="195" t="s">
        <v>66</v>
      </c>
      <c r="X8" s="195" t="s">
        <v>132</v>
      </c>
      <c r="Y8" s="196">
        <f t="shared" si="1"/>
        <v>0</v>
      </c>
    </row>
    <row r="9" spans="1:25" ht="16.5" hidden="1" customHeight="1">
      <c r="A9" s="3"/>
      <c r="B9" s="3"/>
      <c r="C9" s="3"/>
      <c r="H9" s="3"/>
      <c r="I9" s="195" t="s">
        <v>113</v>
      </c>
      <c r="K9" s="195" t="s">
        <v>14</v>
      </c>
      <c r="M9" s="195" t="s">
        <v>241</v>
      </c>
      <c r="N9" s="196"/>
      <c r="O9" s="196"/>
      <c r="R9" s="196"/>
      <c r="T9" s="195" t="s">
        <v>68</v>
      </c>
      <c r="U9" s="196">
        <f t="shared" si="0"/>
        <v>0</v>
      </c>
      <c r="V9" s="196">
        <v>0</v>
      </c>
      <c r="W9" s="195" t="s">
        <v>241</v>
      </c>
      <c r="X9" s="195" t="s">
        <v>132</v>
      </c>
      <c r="Y9" s="196">
        <f t="shared" si="1"/>
        <v>0</v>
      </c>
    </row>
    <row r="10" spans="1:25" ht="16.5" hidden="1" customHeight="1">
      <c r="A10" s="3"/>
      <c r="B10" s="3"/>
      <c r="C10" s="3"/>
      <c r="H10" s="3"/>
      <c r="I10" s="195" t="s">
        <v>114</v>
      </c>
      <c r="K10" s="195" t="s">
        <v>15</v>
      </c>
      <c r="M10" s="195" t="s">
        <v>68</v>
      </c>
      <c r="N10" s="196"/>
      <c r="O10" s="196"/>
      <c r="R10" s="196"/>
      <c r="T10" s="195" t="s">
        <v>71</v>
      </c>
      <c r="U10" s="196">
        <f t="shared" si="0"/>
        <v>0</v>
      </c>
      <c r="V10" s="196">
        <v>0</v>
      </c>
      <c r="W10" s="195" t="s">
        <v>68</v>
      </c>
      <c r="X10" s="195" t="s">
        <v>132</v>
      </c>
      <c r="Y10" s="196">
        <f t="shared" si="1"/>
        <v>0</v>
      </c>
    </row>
    <row r="11" spans="1:25" ht="16.5" hidden="1" customHeight="1">
      <c r="A11" s="3"/>
      <c r="B11" s="3"/>
      <c r="C11" s="3"/>
      <c r="H11" s="3"/>
      <c r="I11" s="195" t="s">
        <v>115</v>
      </c>
      <c r="K11" s="195" t="s">
        <v>16</v>
      </c>
      <c r="M11" s="195" t="s">
        <v>71</v>
      </c>
      <c r="N11" s="196"/>
      <c r="O11" s="196"/>
      <c r="R11" s="196"/>
      <c r="T11" s="195" t="s">
        <v>72</v>
      </c>
      <c r="U11" s="196" t="e">
        <f t="shared" si="0"/>
        <v>#N/A</v>
      </c>
      <c r="V11" s="196">
        <v>0</v>
      </c>
      <c r="W11" s="195" t="s">
        <v>71</v>
      </c>
      <c r="X11" s="195" t="s">
        <v>132</v>
      </c>
      <c r="Y11" s="196">
        <f t="shared" si="1"/>
        <v>0</v>
      </c>
    </row>
    <row r="12" spans="1:25" ht="16.5" hidden="1" customHeight="1">
      <c r="A12" s="3"/>
      <c r="B12" s="3"/>
      <c r="C12" s="3"/>
      <c r="H12" s="3"/>
      <c r="I12" s="195" t="s">
        <v>116</v>
      </c>
      <c r="K12" s="195" t="s">
        <v>18</v>
      </c>
      <c r="M12" s="195" t="s">
        <v>242</v>
      </c>
      <c r="N12" s="196"/>
      <c r="O12" s="196"/>
      <c r="R12" s="196"/>
      <c r="T12" s="195" t="s">
        <v>73</v>
      </c>
      <c r="U12" s="196">
        <f t="shared" si="0"/>
        <v>0</v>
      </c>
      <c r="V12" s="196">
        <v>0</v>
      </c>
      <c r="W12" s="195" t="s">
        <v>242</v>
      </c>
      <c r="X12" s="195" t="s">
        <v>132</v>
      </c>
      <c r="Y12" s="196">
        <f t="shared" si="1"/>
        <v>0</v>
      </c>
    </row>
    <row r="13" spans="1:25" ht="16.5" hidden="1" customHeight="1">
      <c r="A13" s="3"/>
      <c r="B13" s="3"/>
      <c r="C13" s="3"/>
      <c r="H13" s="3"/>
      <c r="I13" s="195" t="s">
        <v>117</v>
      </c>
      <c r="K13" s="195" t="s">
        <v>19</v>
      </c>
      <c r="M13" s="195" t="s">
        <v>73</v>
      </c>
      <c r="N13" s="196"/>
      <c r="O13" s="196"/>
      <c r="R13" s="196"/>
      <c r="T13" s="195" t="s">
        <v>74</v>
      </c>
      <c r="U13" s="196">
        <f t="shared" si="0"/>
        <v>0</v>
      </c>
      <c r="V13" s="196">
        <v>0</v>
      </c>
      <c r="W13" s="195" t="s">
        <v>73</v>
      </c>
      <c r="X13" s="195" t="s">
        <v>132</v>
      </c>
      <c r="Y13" s="196">
        <f t="shared" si="1"/>
        <v>0</v>
      </c>
    </row>
    <row r="14" spans="1:25" ht="16.5" hidden="1" customHeight="1">
      <c r="A14" s="3"/>
      <c r="B14" s="3"/>
      <c r="C14" s="3"/>
      <c r="H14" s="3"/>
      <c r="I14" s="195" t="s">
        <v>118</v>
      </c>
      <c r="K14" s="195" t="s">
        <v>20</v>
      </c>
      <c r="M14" s="195" t="s">
        <v>96</v>
      </c>
      <c r="N14" s="196"/>
      <c r="O14" s="196"/>
      <c r="R14" s="196"/>
      <c r="T14" s="195" t="s">
        <v>76</v>
      </c>
      <c r="U14" s="196">
        <f t="shared" si="0"/>
        <v>0</v>
      </c>
      <c r="V14" s="196">
        <v>0</v>
      </c>
      <c r="W14" s="195" t="s">
        <v>96</v>
      </c>
      <c r="X14" s="195" t="s">
        <v>132</v>
      </c>
      <c r="Y14" s="196">
        <f t="shared" si="1"/>
        <v>0</v>
      </c>
    </row>
    <row r="15" spans="1:25" ht="16.5" hidden="1" customHeight="1">
      <c r="A15" s="3"/>
      <c r="B15" s="3"/>
      <c r="C15" s="3"/>
      <c r="H15" s="3"/>
      <c r="I15" s="195" t="s">
        <v>119</v>
      </c>
      <c r="K15" s="195" t="s">
        <v>120</v>
      </c>
      <c r="M15" s="195" t="s">
        <v>74</v>
      </c>
      <c r="N15" s="196"/>
      <c r="O15" s="196"/>
      <c r="R15" s="196"/>
      <c r="T15" s="195" t="s">
        <v>77</v>
      </c>
      <c r="U15" s="196">
        <f t="shared" si="0"/>
        <v>0</v>
      </c>
      <c r="V15" s="196">
        <v>0</v>
      </c>
      <c r="W15" s="195" t="s">
        <v>74</v>
      </c>
      <c r="X15" s="195" t="s">
        <v>132</v>
      </c>
      <c r="Y15" s="196">
        <f t="shared" si="1"/>
        <v>0</v>
      </c>
    </row>
    <row r="16" spans="1:25" ht="16.5" hidden="1" customHeight="1">
      <c r="I16" s="195" t="s">
        <v>121</v>
      </c>
      <c r="K16" s="195" t="s">
        <v>186</v>
      </c>
      <c r="M16" s="195" t="s">
        <v>76</v>
      </c>
      <c r="N16" s="196"/>
      <c r="O16" s="196"/>
      <c r="R16" s="196"/>
      <c r="T16" s="195" t="s">
        <v>78</v>
      </c>
      <c r="U16" s="196">
        <f t="shared" si="0"/>
        <v>0</v>
      </c>
      <c r="V16" s="196">
        <v>0</v>
      </c>
      <c r="W16" s="195" t="s">
        <v>76</v>
      </c>
      <c r="X16" s="195" t="s">
        <v>132</v>
      </c>
      <c r="Y16" s="196">
        <f t="shared" si="1"/>
        <v>0</v>
      </c>
    </row>
    <row r="17" spans="9:25" ht="16.5" hidden="1" customHeight="1">
      <c r="I17" s="195" t="s">
        <v>47</v>
      </c>
      <c r="K17" s="195" t="s">
        <v>23</v>
      </c>
      <c r="M17" s="195" t="s">
        <v>77</v>
      </c>
      <c r="N17" s="196"/>
      <c r="O17" s="196"/>
      <c r="R17" s="196"/>
      <c r="T17" s="195" t="s">
        <v>79</v>
      </c>
      <c r="U17" s="196">
        <f t="shared" si="0"/>
        <v>0</v>
      </c>
      <c r="V17" s="196">
        <v>0</v>
      </c>
      <c r="W17" s="195" t="s">
        <v>77</v>
      </c>
      <c r="X17" s="195" t="s">
        <v>132</v>
      </c>
      <c r="Y17" s="196">
        <f t="shared" si="1"/>
        <v>0</v>
      </c>
    </row>
    <row r="18" spans="9:25" ht="16.5" hidden="1" customHeight="1">
      <c r="K18" s="195" t="s">
        <v>24</v>
      </c>
      <c r="M18" s="195" t="s">
        <v>80</v>
      </c>
      <c r="N18" s="196"/>
      <c r="O18" s="196"/>
      <c r="R18" s="196"/>
      <c r="T18" s="195" t="s">
        <v>80</v>
      </c>
      <c r="U18" s="196">
        <f t="shared" si="0"/>
        <v>0</v>
      </c>
      <c r="V18" s="196">
        <v>0</v>
      </c>
      <c r="W18" s="195" t="s">
        <v>80</v>
      </c>
      <c r="X18" s="195" t="s">
        <v>132</v>
      </c>
      <c r="Y18" s="196">
        <f t="shared" si="1"/>
        <v>0</v>
      </c>
    </row>
    <row r="19" spans="9:25" ht="16.5" hidden="1" customHeight="1">
      <c r="K19" s="195" t="s">
        <v>238</v>
      </c>
      <c r="M19" s="195" t="s">
        <v>81</v>
      </c>
      <c r="N19" s="196"/>
      <c r="O19" s="196"/>
      <c r="R19" s="196"/>
      <c r="T19" s="195" t="s">
        <v>81</v>
      </c>
      <c r="U19" s="196">
        <f t="shared" si="0"/>
        <v>0</v>
      </c>
      <c r="V19" s="196">
        <v>0</v>
      </c>
      <c r="W19" s="195" t="s">
        <v>81</v>
      </c>
      <c r="X19" s="195" t="s">
        <v>132</v>
      </c>
      <c r="Y19" s="196">
        <f t="shared" si="1"/>
        <v>0</v>
      </c>
    </row>
    <row r="20" spans="9:25" ht="16.5" hidden="1" customHeight="1">
      <c r="K20" s="195" t="s">
        <v>239</v>
      </c>
      <c r="M20" s="195" t="s">
        <v>84</v>
      </c>
      <c r="N20" s="196"/>
      <c r="O20" s="196"/>
      <c r="R20" s="196"/>
      <c r="T20" s="195" t="s">
        <v>82</v>
      </c>
      <c r="U20" s="196">
        <f t="shared" si="0"/>
        <v>0</v>
      </c>
      <c r="V20" s="196">
        <v>0</v>
      </c>
      <c r="W20" s="195" t="s">
        <v>84</v>
      </c>
      <c r="X20" s="195" t="s">
        <v>132</v>
      </c>
      <c r="Y20" s="196">
        <f t="shared" si="1"/>
        <v>0</v>
      </c>
    </row>
    <row r="21" spans="9:25" ht="16.5" hidden="1" customHeight="1">
      <c r="K21" s="195" t="s">
        <v>240</v>
      </c>
      <c r="M21" s="195" t="s">
        <v>86</v>
      </c>
      <c r="N21" s="196"/>
      <c r="O21" s="196"/>
      <c r="R21" s="196"/>
      <c r="T21" s="195" t="s">
        <v>83</v>
      </c>
      <c r="U21" s="196">
        <f t="shared" si="0"/>
        <v>0</v>
      </c>
      <c r="V21" s="196">
        <v>0</v>
      </c>
      <c r="W21" s="195" t="s">
        <v>86</v>
      </c>
      <c r="X21" s="195" t="s">
        <v>132</v>
      </c>
      <c r="Y21" s="196">
        <f t="shared" si="1"/>
        <v>0</v>
      </c>
    </row>
    <row r="22" spans="9:25" ht="16.5" hidden="1" customHeight="1">
      <c r="M22" s="195" t="s">
        <v>88</v>
      </c>
      <c r="N22" s="196"/>
      <c r="O22" s="196"/>
      <c r="R22" s="196"/>
      <c r="T22" s="195" t="s">
        <v>84</v>
      </c>
      <c r="U22" s="196">
        <f t="shared" si="0"/>
        <v>0</v>
      </c>
      <c r="V22" s="196">
        <v>0</v>
      </c>
      <c r="W22" s="195" t="s">
        <v>88</v>
      </c>
      <c r="X22" s="195" t="s">
        <v>132</v>
      </c>
      <c r="Y22" s="196">
        <f t="shared" si="1"/>
        <v>0</v>
      </c>
    </row>
    <row r="23" spans="9:25" ht="16.5" hidden="1" customHeight="1">
      <c r="M23" s="195" t="s">
        <v>89</v>
      </c>
      <c r="N23" s="196"/>
      <c r="O23" s="196"/>
      <c r="R23" s="196"/>
      <c r="T23" s="195" t="s">
        <v>85</v>
      </c>
      <c r="U23" s="196">
        <f t="shared" si="0"/>
        <v>0</v>
      </c>
      <c r="V23" s="196">
        <v>0</v>
      </c>
      <c r="W23" s="195" t="s">
        <v>89</v>
      </c>
      <c r="X23" s="195" t="s">
        <v>132</v>
      </c>
      <c r="Y23" s="196">
        <f t="shared" si="1"/>
        <v>0</v>
      </c>
    </row>
    <row r="24" spans="9:25" ht="16.5" hidden="1" customHeight="1">
      <c r="M24" s="195" t="s">
        <v>93</v>
      </c>
      <c r="N24" s="196"/>
      <c r="O24" s="196"/>
      <c r="R24" s="196"/>
      <c r="T24" s="195" t="s">
        <v>86</v>
      </c>
      <c r="U24" s="196">
        <f t="shared" si="0"/>
        <v>0</v>
      </c>
      <c r="V24" s="196">
        <v>0</v>
      </c>
      <c r="W24" s="195" t="s">
        <v>93</v>
      </c>
      <c r="X24" s="195" t="s">
        <v>132</v>
      </c>
      <c r="Y24" s="196">
        <f t="shared" si="1"/>
        <v>0</v>
      </c>
    </row>
    <row r="25" spans="9:25" ht="16.5" hidden="1" customHeight="1">
      <c r="M25" s="195" t="s">
        <v>94</v>
      </c>
      <c r="N25" s="196"/>
      <c r="O25" s="196"/>
      <c r="R25" s="196"/>
      <c r="T25" s="195" t="s">
        <v>87</v>
      </c>
      <c r="U25" s="196">
        <f t="shared" si="0"/>
        <v>0</v>
      </c>
      <c r="V25" s="196">
        <v>0</v>
      </c>
      <c r="W25" s="195" t="s">
        <v>94</v>
      </c>
      <c r="X25" s="195" t="s">
        <v>132</v>
      </c>
      <c r="Y25" s="196">
        <f t="shared" si="1"/>
        <v>0</v>
      </c>
    </row>
    <row r="26" spans="9:25" ht="16.5" hidden="1" customHeight="1">
      <c r="M26" s="195" t="s">
        <v>90</v>
      </c>
      <c r="N26" s="196"/>
      <c r="O26" s="196"/>
      <c r="R26" s="196"/>
      <c r="T26" s="195" t="s">
        <v>88</v>
      </c>
      <c r="U26" s="196">
        <f t="shared" si="0"/>
        <v>0</v>
      </c>
      <c r="V26" s="196">
        <v>0</v>
      </c>
      <c r="W26" s="195" t="s">
        <v>90</v>
      </c>
      <c r="X26" s="195" t="s">
        <v>132</v>
      </c>
      <c r="Y26" s="196">
        <f t="shared" si="1"/>
        <v>0</v>
      </c>
    </row>
    <row r="27" spans="9:25" ht="16.5" hidden="1" customHeight="1">
      <c r="M27" s="195" t="s">
        <v>85</v>
      </c>
      <c r="N27" s="196"/>
      <c r="O27" s="196"/>
      <c r="R27" s="196"/>
      <c r="T27" s="195" t="s">
        <v>89</v>
      </c>
      <c r="U27" s="196">
        <f t="shared" si="0"/>
        <v>0</v>
      </c>
      <c r="V27" s="196">
        <v>0</v>
      </c>
      <c r="W27" s="195" t="s">
        <v>85</v>
      </c>
      <c r="X27" s="195" t="s">
        <v>132</v>
      </c>
      <c r="Y27" s="196">
        <f t="shared" si="1"/>
        <v>0</v>
      </c>
    </row>
    <row r="28" spans="9:25" ht="16.5" hidden="1" customHeight="1">
      <c r="M28" s="195" t="s">
        <v>243</v>
      </c>
      <c r="N28" s="196"/>
      <c r="O28" s="196"/>
      <c r="R28" s="196"/>
      <c r="T28" s="195" t="s">
        <v>90</v>
      </c>
      <c r="U28" s="196">
        <f t="shared" si="0"/>
        <v>0</v>
      </c>
      <c r="V28" s="196">
        <v>0</v>
      </c>
      <c r="W28" s="195" t="s">
        <v>243</v>
      </c>
      <c r="X28" s="195" t="s">
        <v>132</v>
      </c>
      <c r="Y28" s="196">
        <f t="shared" si="1"/>
        <v>0</v>
      </c>
    </row>
    <row r="29" spans="9:25" ht="16.5" hidden="1" customHeight="1">
      <c r="M29" s="195" t="s">
        <v>78</v>
      </c>
      <c r="N29" s="196"/>
      <c r="O29" s="196"/>
      <c r="R29" s="196"/>
      <c r="T29" s="195" t="s">
        <v>91</v>
      </c>
      <c r="U29" s="196">
        <f t="shared" si="0"/>
        <v>0</v>
      </c>
      <c r="V29" s="196">
        <v>0</v>
      </c>
      <c r="W29" s="195" t="s">
        <v>78</v>
      </c>
      <c r="X29" s="195" t="s">
        <v>132</v>
      </c>
      <c r="Y29" s="196">
        <f t="shared" si="1"/>
        <v>0</v>
      </c>
    </row>
    <row r="30" spans="9:25" ht="16.5" hidden="1" customHeight="1">
      <c r="M30" s="195" t="s">
        <v>79</v>
      </c>
      <c r="N30" s="196"/>
      <c r="O30" s="196"/>
      <c r="R30" s="196"/>
      <c r="T30" s="195" t="s">
        <v>92</v>
      </c>
      <c r="U30" s="196">
        <f t="shared" si="0"/>
        <v>0</v>
      </c>
      <c r="V30" s="196">
        <v>0</v>
      </c>
      <c r="W30" s="195" t="s">
        <v>79</v>
      </c>
      <c r="X30" s="195" t="s">
        <v>132</v>
      </c>
      <c r="Y30" s="196">
        <f t="shared" si="1"/>
        <v>0</v>
      </c>
    </row>
    <row r="31" spans="9:25" ht="16.5" hidden="1" customHeight="1">
      <c r="M31" s="195" t="s">
        <v>83</v>
      </c>
      <c r="N31" s="196"/>
      <c r="O31" s="196"/>
      <c r="R31" s="196"/>
      <c r="T31" s="195" t="s">
        <v>93</v>
      </c>
      <c r="U31" s="196">
        <f t="shared" si="0"/>
        <v>0</v>
      </c>
      <c r="V31" s="196">
        <v>0</v>
      </c>
      <c r="W31" s="195" t="s">
        <v>83</v>
      </c>
      <c r="X31" s="195" t="s">
        <v>132</v>
      </c>
      <c r="Y31" s="196">
        <f t="shared" si="1"/>
        <v>0</v>
      </c>
    </row>
    <row r="32" spans="9:25" ht="16.5" hidden="1" customHeight="1">
      <c r="M32" s="195" t="s">
        <v>87</v>
      </c>
      <c r="N32" s="196"/>
      <c r="O32" s="196"/>
      <c r="R32" s="196"/>
      <c r="T32" s="195" t="s">
        <v>94</v>
      </c>
      <c r="U32" s="196">
        <f t="shared" si="0"/>
        <v>0</v>
      </c>
      <c r="V32" s="196">
        <v>0</v>
      </c>
      <c r="W32" s="195" t="s">
        <v>87</v>
      </c>
      <c r="X32" s="195" t="s">
        <v>132</v>
      </c>
      <c r="Y32" s="196">
        <f t="shared" si="1"/>
        <v>0</v>
      </c>
    </row>
    <row r="33" spans="1:25" ht="16.5" hidden="1" customHeight="1">
      <c r="M33" s="195" t="s">
        <v>91</v>
      </c>
      <c r="N33" s="196"/>
      <c r="O33" s="196"/>
      <c r="R33" s="196"/>
      <c r="T33" s="195" t="s">
        <v>95</v>
      </c>
      <c r="U33" s="196">
        <f t="shared" si="0"/>
        <v>0</v>
      </c>
      <c r="V33" s="196">
        <v>0</v>
      </c>
      <c r="W33" s="195" t="s">
        <v>91</v>
      </c>
      <c r="X33" s="195" t="s">
        <v>132</v>
      </c>
      <c r="Y33" s="196">
        <f t="shared" si="1"/>
        <v>0</v>
      </c>
    </row>
    <row r="34" spans="1:25" ht="16.5" hidden="1" customHeight="1">
      <c r="M34" s="195" t="s">
        <v>92</v>
      </c>
      <c r="N34" s="196"/>
      <c r="O34" s="196"/>
      <c r="R34" s="196"/>
      <c r="T34" s="195" t="s">
        <v>96</v>
      </c>
      <c r="U34" s="196">
        <f t="shared" si="0"/>
        <v>0</v>
      </c>
      <c r="V34" s="196">
        <v>0</v>
      </c>
      <c r="W34" s="195" t="s">
        <v>92</v>
      </c>
      <c r="X34" s="195" t="s">
        <v>132</v>
      </c>
      <c r="Y34" s="196">
        <f t="shared" si="1"/>
        <v>0</v>
      </c>
    </row>
    <row r="35" spans="1:25" ht="16.5" hidden="1" customHeight="1">
      <c r="M35" s="195" t="s">
        <v>95</v>
      </c>
      <c r="N35" s="196"/>
      <c r="O35" s="196"/>
      <c r="R35" s="196"/>
      <c r="T35" s="195" t="s">
        <v>97</v>
      </c>
      <c r="U35" s="196">
        <f t="shared" si="0"/>
        <v>0</v>
      </c>
      <c r="V35" s="196">
        <v>0</v>
      </c>
      <c r="W35" s="195" t="s">
        <v>95</v>
      </c>
      <c r="X35" s="195" t="s">
        <v>132</v>
      </c>
      <c r="Y35" s="196">
        <f t="shared" si="1"/>
        <v>0</v>
      </c>
    </row>
    <row r="36" spans="1:25" ht="16.5" hidden="1" customHeight="1">
      <c r="M36" s="195" t="s">
        <v>97</v>
      </c>
      <c r="N36" s="196"/>
      <c r="O36" s="196"/>
      <c r="R36" s="196"/>
      <c r="T36" s="195" t="s">
        <v>98</v>
      </c>
      <c r="U36" s="196">
        <f t="shared" si="0"/>
        <v>0</v>
      </c>
      <c r="V36" s="196">
        <v>0</v>
      </c>
      <c r="W36" s="195" t="s">
        <v>97</v>
      </c>
      <c r="X36" s="195" t="s">
        <v>132</v>
      </c>
      <c r="Y36" s="196">
        <f t="shared" si="1"/>
        <v>0</v>
      </c>
    </row>
    <row r="37" spans="1:25" ht="16.5" hidden="1" customHeight="1">
      <c r="M37" s="195" t="s">
        <v>98</v>
      </c>
      <c r="N37" s="196"/>
      <c r="O37" s="196"/>
      <c r="R37" s="196"/>
      <c r="T37" s="195" t="s">
        <v>99</v>
      </c>
      <c r="U37" s="196" t="e">
        <f t="shared" si="0"/>
        <v>#N/A</v>
      </c>
      <c r="V37" s="196">
        <v>0</v>
      </c>
      <c r="W37" s="195" t="s">
        <v>98</v>
      </c>
      <c r="X37" s="195" t="s">
        <v>132</v>
      </c>
      <c r="Y37" s="196">
        <f t="shared" si="1"/>
        <v>0</v>
      </c>
    </row>
    <row r="38" spans="1:25" ht="16.5" hidden="1" customHeight="1">
      <c r="M38" s="195" t="s">
        <v>101</v>
      </c>
      <c r="N38" s="196"/>
      <c r="O38" s="196"/>
      <c r="R38" s="196"/>
      <c r="T38" s="195" t="s">
        <v>101</v>
      </c>
      <c r="U38" s="196">
        <f t="shared" si="0"/>
        <v>0</v>
      </c>
      <c r="V38" s="196">
        <v>0</v>
      </c>
      <c r="W38" s="195" t="s">
        <v>101</v>
      </c>
      <c r="X38" s="195" t="s">
        <v>132</v>
      </c>
      <c r="Y38" s="196">
        <f t="shared" si="1"/>
        <v>0</v>
      </c>
    </row>
    <row r="39" spans="1:25" ht="16.5" hidden="1" customHeight="1">
      <c r="M39" s="195" t="s">
        <v>102</v>
      </c>
      <c r="N39" s="196"/>
      <c r="O39" s="196"/>
      <c r="R39" s="196"/>
      <c r="T39" s="195" t="s">
        <v>102</v>
      </c>
      <c r="U39" s="196">
        <f t="shared" si="0"/>
        <v>0</v>
      </c>
      <c r="V39" s="196">
        <v>0</v>
      </c>
      <c r="W39" s="195" t="s">
        <v>102</v>
      </c>
      <c r="X39" s="195" t="s">
        <v>132</v>
      </c>
      <c r="Y39" s="196">
        <f t="shared" si="1"/>
        <v>0</v>
      </c>
    </row>
    <row r="40" spans="1:25" ht="16.5" hidden="1" customHeight="1">
      <c r="M40" s="195" t="s">
        <v>103</v>
      </c>
      <c r="N40" s="196"/>
      <c r="O40" s="196"/>
      <c r="R40" s="196"/>
      <c r="T40" s="195" t="s">
        <v>103</v>
      </c>
      <c r="U40" s="196">
        <f t="shared" si="0"/>
        <v>0</v>
      </c>
      <c r="V40" s="196">
        <v>0</v>
      </c>
      <c r="W40" s="195" t="s">
        <v>103</v>
      </c>
      <c r="X40" s="195" t="s">
        <v>132</v>
      </c>
      <c r="Y40" s="196">
        <f t="shared" si="1"/>
        <v>0</v>
      </c>
    </row>
    <row r="41" spans="1:25" ht="16.5" hidden="1" customHeight="1">
      <c r="C41" s="197"/>
      <c r="M41" s="195" t="s">
        <v>104</v>
      </c>
      <c r="N41" s="196"/>
      <c r="O41" s="196"/>
      <c r="R41" s="196"/>
      <c r="T41" s="195" t="s">
        <v>104</v>
      </c>
      <c r="U41" s="196">
        <f t="shared" si="0"/>
        <v>0</v>
      </c>
      <c r="V41" s="196">
        <v>0</v>
      </c>
      <c r="W41" s="195" t="s">
        <v>104</v>
      </c>
      <c r="X41" s="195" t="s">
        <v>132</v>
      </c>
      <c r="Y41" s="196">
        <f t="shared" si="1"/>
        <v>0</v>
      </c>
    </row>
    <row r="42" spans="1:25" ht="16.5" hidden="1" customHeight="1">
      <c r="M42" s="195" t="s">
        <v>105</v>
      </c>
      <c r="N42" s="196"/>
      <c r="O42" s="196"/>
      <c r="R42" s="196"/>
      <c r="T42" s="195" t="s">
        <v>105</v>
      </c>
      <c r="U42" s="196">
        <f t="shared" si="0"/>
        <v>0</v>
      </c>
      <c r="V42" s="196">
        <v>0</v>
      </c>
      <c r="W42" s="195" t="s">
        <v>105</v>
      </c>
      <c r="X42" s="195" t="s">
        <v>132</v>
      </c>
      <c r="Y42" s="196">
        <f t="shared" si="1"/>
        <v>0</v>
      </c>
    </row>
    <row r="43" spans="1:25" ht="16.5" hidden="1" customHeight="1">
      <c r="M43" s="195" t="s">
        <v>106</v>
      </c>
      <c r="N43" s="196"/>
      <c r="O43" s="196"/>
      <c r="R43" s="196"/>
      <c r="T43" s="195" t="s">
        <v>106</v>
      </c>
      <c r="U43" s="196">
        <f t="shared" si="0"/>
        <v>0</v>
      </c>
      <c r="V43" s="196">
        <v>0</v>
      </c>
      <c r="W43" s="195" t="s">
        <v>106</v>
      </c>
      <c r="X43" s="195" t="s">
        <v>132</v>
      </c>
      <c r="Y43" s="196">
        <f t="shared" si="1"/>
        <v>0</v>
      </c>
    </row>
    <row r="44" spans="1:25" ht="16.5" hidden="1" customHeight="1">
      <c r="M44" s="195" t="s">
        <v>244</v>
      </c>
      <c r="N44" s="196"/>
      <c r="O44" s="196"/>
      <c r="R44" s="196"/>
      <c r="T44" s="195" t="s">
        <v>107</v>
      </c>
      <c r="U44" s="196" t="e">
        <f t="shared" si="0"/>
        <v>#N/A</v>
      </c>
      <c r="V44" s="196">
        <v>0</v>
      </c>
      <c r="W44" s="195" t="s">
        <v>244</v>
      </c>
      <c r="X44" s="195" t="s">
        <v>132</v>
      </c>
      <c r="Y44" s="196">
        <f t="shared" si="1"/>
        <v>0</v>
      </c>
    </row>
    <row r="45" spans="1:25" ht="16.5" hidden="1" customHeight="1">
      <c r="A45" s="198"/>
      <c r="B45" s="198"/>
      <c r="C45" s="198"/>
      <c r="D45" s="198"/>
      <c r="E45" s="198" t="s">
        <v>347</v>
      </c>
      <c r="F45" s="198"/>
      <c r="G45" s="198"/>
      <c r="H45" s="198"/>
    </row>
    <row r="46" spans="1:25">
      <c r="A46" s="5"/>
      <c r="B46" s="5"/>
      <c r="C46" s="5"/>
      <c r="D46" s="6"/>
      <c r="E46" s="195"/>
      <c r="F46" s="195"/>
      <c r="G46" s="195"/>
      <c r="H46" s="195" t="s">
        <v>2</v>
      </c>
    </row>
    <row r="47" spans="1:25" ht="16.5" customHeight="1">
      <c r="A47" s="5"/>
      <c r="B47" s="5"/>
      <c r="C47" s="5"/>
      <c r="D47" s="6"/>
      <c r="E47" s="195"/>
      <c r="F47" s="195"/>
      <c r="G47" s="195"/>
      <c r="H47" s="195"/>
    </row>
    <row r="48" spans="1:25" ht="16.5" customHeight="1" thickBot="1">
      <c r="A48" s="328" t="s">
        <v>211</v>
      </c>
      <c r="B48" s="328"/>
      <c r="C48" s="328"/>
      <c r="D48" s="328"/>
      <c r="E48" s="328"/>
      <c r="F48" s="328"/>
      <c r="G48" s="328"/>
      <c r="H48" s="328"/>
      <c r="I48" s="328"/>
    </row>
    <row r="49" spans="1:10" ht="16.5" customHeight="1">
      <c r="A49" s="199" t="s">
        <v>122</v>
      </c>
      <c r="B49" s="199" t="s">
        <v>3</v>
      </c>
      <c r="C49" s="199" t="s">
        <v>123</v>
      </c>
      <c r="D49" s="199" t="s">
        <v>124</v>
      </c>
      <c r="E49" s="199" t="s">
        <v>125</v>
      </c>
      <c r="F49" s="200" t="s">
        <v>126</v>
      </c>
      <c r="G49" s="200" t="s">
        <v>127</v>
      </c>
      <c r="H49" s="200" t="s">
        <v>128</v>
      </c>
      <c r="I49" s="200" t="s">
        <v>129</v>
      </c>
    </row>
    <row r="50" spans="1:10" ht="16.5" customHeight="1">
      <c r="A50" s="201"/>
      <c r="B50" s="201" t="s">
        <v>130</v>
      </c>
      <c r="C50" s="202"/>
      <c r="D50" s="202"/>
      <c r="E50" s="202"/>
      <c r="F50" s="203"/>
      <c r="G50" s="203"/>
      <c r="H50" s="203"/>
      <c r="I50" s="203"/>
    </row>
    <row r="51" spans="1:10" ht="16.5" customHeight="1">
      <c r="A51" s="201"/>
      <c r="B51" s="201" t="s">
        <v>131</v>
      </c>
      <c r="C51" s="204">
        <f>SUM(C52:C74)</f>
        <v>10384144.784863729</v>
      </c>
      <c r="D51" s="204"/>
      <c r="E51" s="204">
        <f>SUM(E52:E74)</f>
        <v>-10384144.784863729</v>
      </c>
      <c r="F51" s="203"/>
      <c r="G51" s="203"/>
      <c r="H51" s="203"/>
      <c r="I51" s="203"/>
    </row>
    <row r="52" spans="1:10" ht="16.5" customHeight="1">
      <c r="A52" s="7" t="s">
        <v>132</v>
      </c>
      <c r="B52" s="7" t="s">
        <v>111</v>
      </c>
      <c r="C52" s="302">
        <v>-2500045.46</v>
      </c>
      <c r="D52" s="8" t="s">
        <v>246</v>
      </c>
      <c r="E52" s="8">
        <f t="shared" ref="E52:E58" si="2">-C52</f>
        <v>2500045.46</v>
      </c>
      <c r="F52" s="8" t="s">
        <v>6</v>
      </c>
      <c r="G52" s="8"/>
      <c r="H52" s="8" t="s">
        <v>348</v>
      </c>
      <c r="I52" s="8"/>
    </row>
    <row r="53" spans="1:10" ht="16.5" customHeight="1">
      <c r="A53" s="7" t="s">
        <v>133</v>
      </c>
      <c r="B53" s="7" t="s">
        <v>111</v>
      </c>
      <c r="C53" s="302">
        <v>-201683.94</v>
      </c>
      <c r="D53" s="8" t="s">
        <v>11</v>
      </c>
      <c r="E53" s="8">
        <f>-C53</f>
        <v>201683.94</v>
      </c>
      <c r="F53" s="8" t="s">
        <v>10</v>
      </c>
      <c r="G53" s="8"/>
      <c r="H53" s="8" t="s">
        <v>349</v>
      </c>
      <c r="I53" s="8"/>
    </row>
    <row r="54" spans="1:10" ht="16.5" customHeight="1">
      <c r="A54" s="7" t="s">
        <v>134</v>
      </c>
      <c r="B54" s="7" t="s">
        <v>33</v>
      </c>
      <c r="C54" s="291">
        <v>-2413141.5099999998</v>
      </c>
      <c r="D54" s="8" t="s">
        <v>11</v>
      </c>
      <c r="E54" s="8">
        <f t="shared" si="2"/>
        <v>2413141.5099999998</v>
      </c>
      <c r="F54" s="8" t="s">
        <v>10</v>
      </c>
      <c r="G54" s="8"/>
      <c r="H54" s="8" t="s">
        <v>157</v>
      </c>
      <c r="I54" s="8" t="s">
        <v>202</v>
      </c>
      <c r="J54" s="205"/>
    </row>
    <row r="55" spans="1:10" ht="16.5" customHeight="1">
      <c r="A55" s="7" t="s">
        <v>135</v>
      </c>
      <c r="B55" s="7" t="s">
        <v>33</v>
      </c>
      <c r="C55" s="291">
        <v>-540940.62</v>
      </c>
      <c r="D55" s="8" t="s">
        <v>11</v>
      </c>
      <c r="E55" s="8">
        <f t="shared" si="2"/>
        <v>540940.62</v>
      </c>
      <c r="F55" s="8" t="s">
        <v>12</v>
      </c>
      <c r="G55" s="8"/>
      <c r="H55" s="8" t="s">
        <v>210</v>
      </c>
      <c r="I55" s="8" t="s">
        <v>202</v>
      </c>
    </row>
    <row r="56" spans="1:10" ht="16.5" customHeight="1">
      <c r="A56" s="7" t="s">
        <v>136</v>
      </c>
      <c r="B56" s="7" t="s">
        <v>33</v>
      </c>
      <c r="C56" s="291">
        <v>-3304094.85</v>
      </c>
      <c r="D56" s="8" t="s">
        <v>11</v>
      </c>
      <c r="E56" s="8">
        <f>-C56</f>
        <v>3304094.85</v>
      </c>
      <c r="F56" s="8" t="s">
        <v>15</v>
      </c>
      <c r="G56" s="8"/>
      <c r="H56" s="8" t="s">
        <v>158</v>
      </c>
      <c r="I56" s="8"/>
    </row>
    <row r="57" spans="1:10" ht="16.5" customHeight="1">
      <c r="A57" s="7" t="s">
        <v>137</v>
      </c>
      <c r="B57" s="7" t="s">
        <v>31</v>
      </c>
      <c r="C57" s="291">
        <v>-1235910.8596226401</v>
      </c>
      <c r="D57" s="8" t="s">
        <v>11</v>
      </c>
      <c r="E57" s="8">
        <f t="shared" si="2"/>
        <v>1235910.8596226401</v>
      </c>
      <c r="F57" s="8" t="s">
        <v>10</v>
      </c>
      <c r="G57" s="8"/>
      <c r="H57" s="8" t="s">
        <v>350</v>
      </c>
      <c r="I57" s="8"/>
    </row>
    <row r="58" spans="1:10" ht="16.5" customHeight="1">
      <c r="A58" s="7" t="s">
        <v>138</v>
      </c>
      <c r="B58" s="7" t="s">
        <v>33</v>
      </c>
      <c r="C58" s="291">
        <v>133427.65</v>
      </c>
      <c r="D58" s="8" t="s">
        <v>11</v>
      </c>
      <c r="E58" s="8">
        <f t="shared" si="2"/>
        <v>-133427.65</v>
      </c>
      <c r="F58" s="8" t="s">
        <v>10</v>
      </c>
      <c r="G58" s="9"/>
      <c r="H58" s="8" t="s">
        <v>159</v>
      </c>
      <c r="I58" s="8"/>
    </row>
    <row r="59" spans="1:10" ht="16.5" customHeight="1">
      <c r="A59" s="7" t="s">
        <v>139</v>
      </c>
      <c r="B59" s="7" t="s">
        <v>31</v>
      </c>
      <c r="C59" s="291">
        <v>-193034.92943396201</v>
      </c>
      <c r="D59" s="8" t="s">
        <v>11</v>
      </c>
      <c r="E59" s="8">
        <f t="shared" ref="E59:E79" si="3">-C59</f>
        <v>193034.92943396201</v>
      </c>
      <c r="F59" s="8" t="s">
        <v>6</v>
      </c>
      <c r="G59" s="8"/>
      <c r="H59" s="8" t="s">
        <v>188</v>
      </c>
      <c r="I59" s="8" t="s">
        <v>203</v>
      </c>
    </row>
    <row r="60" spans="1:10" ht="16.5" customHeight="1">
      <c r="A60" s="7" t="s">
        <v>140</v>
      </c>
      <c r="B60" s="7" t="s">
        <v>28</v>
      </c>
      <c r="C60" s="299"/>
      <c r="D60" s="8" t="s">
        <v>16</v>
      </c>
      <c r="E60" s="8">
        <f t="shared" si="3"/>
        <v>0</v>
      </c>
      <c r="F60" s="8" t="s">
        <v>20</v>
      </c>
      <c r="G60" s="8"/>
      <c r="H60" s="8" t="s">
        <v>363</v>
      </c>
      <c r="I60" s="8" t="s">
        <v>204</v>
      </c>
    </row>
    <row r="61" spans="1:10" ht="16.5" customHeight="1">
      <c r="A61" s="7" t="s">
        <v>141</v>
      </c>
      <c r="B61" s="7" t="s">
        <v>28</v>
      </c>
      <c r="C61" s="291">
        <v>-1027490.5700000001</v>
      </c>
      <c r="D61" s="8" t="s">
        <v>16</v>
      </c>
      <c r="E61" s="8">
        <f t="shared" si="3"/>
        <v>1027490.5700000001</v>
      </c>
      <c r="F61" s="8" t="s">
        <v>23</v>
      </c>
      <c r="G61" s="8"/>
      <c r="H61" s="145" t="s">
        <v>224</v>
      </c>
      <c r="I61" s="145" t="s">
        <v>225</v>
      </c>
    </row>
    <row r="62" spans="1:10" ht="16.5" customHeight="1">
      <c r="A62" s="7" t="s">
        <v>142</v>
      </c>
      <c r="B62" s="7" t="s">
        <v>31</v>
      </c>
      <c r="C62" s="291">
        <v>-2037089.6400000001</v>
      </c>
      <c r="D62" s="8" t="s">
        <v>10</v>
      </c>
      <c r="E62" s="8">
        <f t="shared" si="3"/>
        <v>2037089.6400000001</v>
      </c>
      <c r="F62" s="8" t="s">
        <v>5</v>
      </c>
      <c r="G62" s="8"/>
      <c r="H62" s="8" t="s">
        <v>164</v>
      </c>
      <c r="I62" s="8"/>
    </row>
    <row r="63" spans="1:10" ht="16.5" customHeight="1">
      <c r="A63" s="7" t="s">
        <v>143</v>
      </c>
      <c r="B63" s="7" t="s">
        <v>31</v>
      </c>
      <c r="C63" s="291">
        <v>-4438844.3294130033</v>
      </c>
      <c r="D63" s="8" t="s">
        <v>10</v>
      </c>
      <c r="E63" s="8">
        <f t="shared" si="3"/>
        <v>4438844.3294130033</v>
      </c>
      <c r="F63" s="8" t="s">
        <v>6</v>
      </c>
      <c r="G63" s="8"/>
      <c r="H63" s="8" t="s">
        <v>165</v>
      </c>
      <c r="I63" s="8"/>
    </row>
    <row r="64" spans="1:10" ht="16.5" customHeight="1">
      <c r="A64" s="7" t="s">
        <v>144</v>
      </c>
      <c r="B64" s="7" t="s">
        <v>33</v>
      </c>
      <c r="C64" s="291">
        <f>22049793.17-21668400</f>
        <v>381393.17000000179</v>
      </c>
      <c r="D64" s="8" t="s">
        <v>10</v>
      </c>
      <c r="E64" s="8">
        <f t="shared" si="3"/>
        <v>-381393.17000000179</v>
      </c>
      <c r="F64" s="8" t="s">
        <v>5</v>
      </c>
      <c r="G64" s="8"/>
      <c r="H64" s="8" t="s">
        <v>166</v>
      </c>
      <c r="I64" s="8"/>
    </row>
    <row r="65" spans="1:9" ht="16.5" customHeight="1">
      <c r="A65" s="7" t="s">
        <v>145</v>
      </c>
      <c r="B65" s="7" t="s">
        <v>113</v>
      </c>
      <c r="C65" s="145">
        <v>1196936.8400000001</v>
      </c>
      <c r="D65" s="8" t="s">
        <v>7</v>
      </c>
      <c r="E65" s="8">
        <f t="shared" si="3"/>
        <v>-1196936.8400000001</v>
      </c>
      <c r="F65" s="8" t="s">
        <v>5</v>
      </c>
      <c r="G65" s="8"/>
      <c r="H65" s="8" t="s">
        <v>443</v>
      </c>
      <c r="I65" s="8"/>
    </row>
    <row r="66" spans="1:9" ht="16.5" customHeight="1">
      <c r="A66" s="7" t="s">
        <v>146</v>
      </c>
      <c r="B66" s="7" t="s">
        <v>111</v>
      </c>
      <c r="C66" s="145">
        <v>16831868.640000001</v>
      </c>
      <c r="D66" s="8" t="s">
        <v>7</v>
      </c>
      <c r="E66" s="8">
        <f t="shared" si="3"/>
        <v>-16831868.640000001</v>
      </c>
      <c r="F66" s="8" t="s">
        <v>6</v>
      </c>
      <c r="G66" s="8"/>
      <c r="H66" s="8" t="s">
        <v>170</v>
      </c>
      <c r="I66" s="8"/>
    </row>
    <row r="67" spans="1:9" ht="16.5" customHeight="1">
      <c r="A67" s="7" t="s">
        <v>192</v>
      </c>
      <c r="B67" s="7" t="s">
        <v>111</v>
      </c>
      <c r="C67" s="291">
        <v>963333.33333333337</v>
      </c>
      <c r="D67" s="8" t="s">
        <v>120</v>
      </c>
      <c r="E67" s="8">
        <f t="shared" si="3"/>
        <v>-963333.33333333337</v>
      </c>
      <c r="F67" s="8" t="s">
        <v>6</v>
      </c>
      <c r="G67" s="8"/>
      <c r="H67" s="145" t="s">
        <v>226</v>
      </c>
      <c r="I67" s="8"/>
    </row>
    <row r="68" spans="1:9" ht="16.5" customHeight="1">
      <c r="A68" s="7" t="s">
        <v>193</v>
      </c>
      <c r="B68" s="7" t="s">
        <v>111</v>
      </c>
      <c r="C68" s="291">
        <v>5555.56</v>
      </c>
      <c r="D68" s="8" t="s">
        <v>120</v>
      </c>
      <c r="E68" s="8">
        <f>-C68</f>
        <v>-5555.56</v>
      </c>
      <c r="F68" s="8" t="s">
        <v>6</v>
      </c>
      <c r="G68" s="8"/>
      <c r="H68" s="145" t="s">
        <v>227</v>
      </c>
      <c r="I68" s="8"/>
    </row>
    <row r="69" spans="1:9" ht="16.5" customHeight="1">
      <c r="A69" s="7" t="s">
        <v>194</v>
      </c>
      <c r="B69" s="8" t="s">
        <v>31</v>
      </c>
      <c r="C69" s="291">
        <f>5694591.93+261274.54</f>
        <v>5955866.4699999997</v>
      </c>
      <c r="D69" s="8" t="s">
        <v>8</v>
      </c>
      <c r="E69" s="8">
        <f>-C69</f>
        <v>-5955866.4699999997</v>
      </c>
      <c r="F69" s="8" t="s">
        <v>5</v>
      </c>
      <c r="G69" s="8"/>
      <c r="H69" s="8" t="s">
        <v>232</v>
      </c>
      <c r="I69" s="8"/>
    </row>
    <row r="70" spans="1:9" ht="16.5" customHeight="1">
      <c r="A70" s="7" t="s">
        <v>195</v>
      </c>
      <c r="B70" s="8" t="s">
        <v>111</v>
      </c>
      <c r="C70" s="291">
        <v>-895051.22000000009</v>
      </c>
      <c r="D70" s="8" t="s">
        <v>15</v>
      </c>
      <c r="E70" s="8">
        <f>-C70</f>
        <v>895051.22000000009</v>
      </c>
      <c r="F70" s="8" t="s">
        <v>6</v>
      </c>
      <c r="G70" s="8"/>
      <c r="H70" s="8" t="s">
        <v>223</v>
      </c>
      <c r="I70" s="8"/>
    </row>
    <row r="71" spans="1:9" ht="16.5" customHeight="1">
      <c r="A71" s="7" t="s">
        <v>196</v>
      </c>
      <c r="B71" s="8" t="s">
        <v>31</v>
      </c>
      <c r="C71" s="291">
        <v>-275620.67</v>
      </c>
      <c r="D71" s="8" t="s">
        <v>11</v>
      </c>
      <c r="E71" s="8">
        <f t="shared" si="3"/>
        <v>275620.67</v>
      </c>
      <c r="F71" s="8" t="s">
        <v>15</v>
      </c>
      <c r="G71" s="8"/>
      <c r="H71" s="165" t="s">
        <v>402</v>
      </c>
      <c r="I71" s="9" t="s">
        <v>215</v>
      </c>
    </row>
    <row r="72" spans="1:9" ht="16.5" customHeight="1">
      <c r="A72" s="7" t="s">
        <v>197</v>
      </c>
      <c r="B72" s="8" t="s">
        <v>31</v>
      </c>
      <c r="C72" s="291">
        <v>-1555.56</v>
      </c>
      <c r="D72" s="8" t="s">
        <v>15</v>
      </c>
      <c r="E72" s="8">
        <f>-C72</f>
        <v>1555.56</v>
      </c>
      <c r="F72" s="8" t="s">
        <v>6</v>
      </c>
      <c r="G72" s="8"/>
      <c r="H72" s="145" t="s">
        <v>220</v>
      </c>
      <c r="I72" s="8"/>
    </row>
    <row r="73" spans="1:9" ht="16.5" customHeight="1">
      <c r="A73" s="7" t="s">
        <v>198</v>
      </c>
      <c r="B73" s="111" t="s">
        <v>111</v>
      </c>
      <c r="C73" s="303">
        <v>-342747.81</v>
      </c>
      <c r="D73" s="111" t="s">
        <v>12</v>
      </c>
      <c r="E73" s="111">
        <f t="shared" ref="E73" si="4">-C73</f>
        <v>342747.81</v>
      </c>
      <c r="F73" s="111" t="s">
        <v>6</v>
      </c>
      <c r="G73" s="111"/>
      <c r="H73" s="111" t="s">
        <v>222</v>
      </c>
      <c r="I73" s="8"/>
    </row>
    <row r="74" spans="1:9" ht="16.5" customHeight="1">
      <c r="A74" s="7" t="s">
        <v>199</v>
      </c>
      <c r="B74" s="8" t="s">
        <v>28</v>
      </c>
      <c r="C74" s="145">
        <v>4323015.09</v>
      </c>
      <c r="D74" s="8" t="s">
        <v>7</v>
      </c>
      <c r="E74" s="8">
        <f t="shared" si="3"/>
        <v>-4323015.09</v>
      </c>
      <c r="F74" s="8" t="s">
        <v>5</v>
      </c>
      <c r="G74" s="8"/>
      <c r="H74" s="8" t="s">
        <v>356</v>
      </c>
      <c r="I74" s="8"/>
    </row>
    <row r="75" spans="1:9" ht="16.5" customHeight="1">
      <c r="A75" s="7" t="s">
        <v>236</v>
      </c>
      <c r="B75" s="145" t="s">
        <v>28</v>
      </c>
      <c r="C75" s="145">
        <v>750000</v>
      </c>
      <c r="D75" s="145" t="s">
        <v>7</v>
      </c>
      <c r="E75" s="145">
        <f t="shared" si="3"/>
        <v>-750000</v>
      </c>
      <c r="F75" s="172" t="s">
        <v>5</v>
      </c>
      <c r="G75" s="172"/>
      <c r="H75" s="172" t="s">
        <v>237</v>
      </c>
      <c r="I75" s="172"/>
    </row>
    <row r="76" spans="1:9" ht="16.5" customHeight="1">
      <c r="A76" s="7" t="s">
        <v>360</v>
      </c>
      <c r="B76" s="145" t="s">
        <v>29</v>
      </c>
      <c r="C76" s="303">
        <v>-159301.95000000001</v>
      </c>
      <c r="D76" s="145" t="s">
        <v>8</v>
      </c>
      <c r="E76" s="145">
        <f t="shared" si="3"/>
        <v>159301.95000000001</v>
      </c>
      <c r="F76" s="172" t="s">
        <v>7</v>
      </c>
      <c r="G76" s="172"/>
      <c r="H76" s="145" t="s">
        <v>358</v>
      </c>
      <c r="I76" s="172"/>
    </row>
    <row r="77" spans="1:9" ht="16.5" customHeight="1">
      <c r="A77" s="7" t="s">
        <v>361</v>
      </c>
      <c r="B77" s="145" t="s">
        <v>29</v>
      </c>
      <c r="C77" s="291">
        <f>-5694591.93-261274.54</f>
        <v>-5955866.4699999997</v>
      </c>
      <c r="D77" s="145" t="s">
        <v>8</v>
      </c>
      <c r="E77" s="145">
        <f t="shared" si="3"/>
        <v>5955866.4699999997</v>
      </c>
      <c r="F77" s="172" t="s">
        <v>5</v>
      </c>
      <c r="G77" s="172"/>
      <c r="H77" s="145" t="s">
        <v>359</v>
      </c>
      <c r="I77" s="172"/>
    </row>
    <row r="78" spans="1:9" ht="16.5" customHeight="1">
      <c r="A78" s="7" t="s">
        <v>362</v>
      </c>
      <c r="B78" s="145" t="s">
        <v>28</v>
      </c>
      <c r="C78" s="291">
        <f>-794339.62-141509.43-188679.24</f>
        <v>-1124528.29</v>
      </c>
      <c r="D78" s="145" t="s">
        <v>19</v>
      </c>
      <c r="E78" s="145">
        <f t="shared" si="3"/>
        <v>1124528.29</v>
      </c>
      <c r="F78" s="145" t="s">
        <v>120</v>
      </c>
      <c r="G78" s="145"/>
      <c r="H78" s="145" t="s">
        <v>368</v>
      </c>
      <c r="I78" s="145" t="s">
        <v>369</v>
      </c>
    </row>
    <row r="79" spans="1:9" ht="16.5" customHeight="1">
      <c r="A79" s="7" t="s">
        <v>367</v>
      </c>
      <c r="B79" s="145" t="s">
        <v>28</v>
      </c>
      <c r="C79" s="291">
        <v>-834339.62</v>
      </c>
      <c r="D79" s="145" t="s">
        <v>20</v>
      </c>
      <c r="E79" s="145">
        <f t="shared" si="3"/>
        <v>834339.62</v>
      </c>
      <c r="F79" s="145" t="s">
        <v>120</v>
      </c>
      <c r="G79" s="145"/>
      <c r="H79" s="145" t="s">
        <v>368</v>
      </c>
      <c r="I79" s="145" t="s">
        <v>369</v>
      </c>
    </row>
    <row r="80" spans="1:9" ht="16.5" customHeight="1">
      <c r="A80" s="263" t="s">
        <v>375</v>
      </c>
      <c r="B80" s="145" t="s">
        <v>31</v>
      </c>
      <c r="C80" s="291">
        <v>-515035.08</v>
      </c>
      <c r="D80" s="145" t="s">
        <v>8</v>
      </c>
      <c r="E80" s="145">
        <f>-C80</f>
        <v>515035.08</v>
      </c>
      <c r="F80" s="145" t="s">
        <v>7</v>
      </c>
      <c r="G80" s="145"/>
      <c r="H80" s="145" t="s">
        <v>376</v>
      </c>
      <c r="I80" s="145"/>
    </row>
    <row r="81" spans="1:9" ht="16.5" customHeight="1">
      <c r="A81" s="263" t="s">
        <v>384</v>
      </c>
      <c r="B81" s="263" t="s">
        <v>33</v>
      </c>
      <c r="C81" s="291">
        <v>106275.00199999999</v>
      </c>
      <c r="D81" s="145" t="s">
        <v>11</v>
      </c>
      <c r="E81" s="291">
        <f t="shared" ref="E81:E86" si="5">-C81</f>
        <v>-106275.00199999999</v>
      </c>
      <c r="F81" s="145" t="s">
        <v>16</v>
      </c>
      <c r="G81" s="145"/>
      <c r="H81" s="145" t="s">
        <v>381</v>
      </c>
      <c r="I81" s="145" t="s">
        <v>430</v>
      </c>
    </row>
    <row r="82" spans="1:9" ht="16.5" customHeight="1">
      <c r="A82" s="263" t="s">
        <v>386</v>
      </c>
      <c r="B82" s="263" t="s">
        <v>31</v>
      </c>
      <c r="C82" s="291">
        <v>50911.7245283019</v>
      </c>
      <c r="D82" s="145" t="s">
        <v>11</v>
      </c>
      <c r="E82" s="291">
        <f t="shared" si="5"/>
        <v>-50911.7245283019</v>
      </c>
      <c r="F82" s="145" t="s">
        <v>16</v>
      </c>
      <c r="G82" s="145"/>
      <c r="H82" s="145" t="s">
        <v>382</v>
      </c>
      <c r="I82" s="145" t="s">
        <v>431</v>
      </c>
    </row>
    <row r="83" spans="1:9" ht="19.5" customHeight="1">
      <c r="A83" s="263" t="s">
        <v>389</v>
      </c>
      <c r="B83" s="145" t="s">
        <v>31</v>
      </c>
      <c r="C83" s="291">
        <v>-268444.91660377401</v>
      </c>
      <c r="D83" s="145" t="s">
        <v>15</v>
      </c>
      <c r="E83" s="145">
        <f t="shared" si="5"/>
        <v>268444.91660377401</v>
      </c>
      <c r="F83" s="145" t="s">
        <v>6</v>
      </c>
      <c r="G83" s="145"/>
      <c r="H83" s="145" t="s">
        <v>387</v>
      </c>
      <c r="I83" s="145"/>
    </row>
    <row r="84" spans="1:9" ht="16.5" customHeight="1">
      <c r="A84" s="263" t="s">
        <v>398</v>
      </c>
      <c r="B84" s="263" t="s">
        <v>31</v>
      </c>
      <c r="C84" s="291">
        <v>-1975952.2641509401</v>
      </c>
      <c r="D84" s="145" t="s">
        <v>11</v>
      </c>
      <c r="E84" s="291">
        <f t="shared" si="5"/>
        <v>1975952.2641509401</v>
      </c>
      <c r="F84" s="145" t="s">
        <v>20</v>
      </c>
      <c r="G84" s="145"/>
      <c r="H84" s="145" t="s">
        <v>394</v>
      </c>
      <c r="I84" s="145"/>
    </row>
    <row r="85" spans="1:9" ht="16.5" customHeight="1">
      <c r="A85" s="263" t="s">
        <v>399</v>
      </c>
      <c r="B85" s="263" t="s">
        <v>33</v>
      </c>
      <c r="C85" s="291">
        <v>621000</v>
      </c>
      <c r="D85" s="145" t="s">
        <v>16</v>
      </c>
      <c r="E85" s="291">
        <f t="shared" si="5"/>
        <v>-621000</v>
      </c>
      <c r="F85" s="145" t="s">
        <v>5</v>
      </c>
      <c r="G85" s="145"/>
      <c r="H85" s="145" t="s">
        <v>395</v>
      </c>
      <c r="I85" s="145" t="s">
        <v>432</v>
      </c>
    </row>
    <row r="86" spans="1:9" ht="16.5" customHeight="1">
      <c r="A86" s="263" t="s">
        <v>400</v>
      </c>
      <c r="B86" s="263" t="s">
        <v>31</v>
      </c>
      <c r="C86" s="291">
        <v>637500</v>
      </c>
      <c r="D86" s="145" t="s">
        <v>11</v>
      </c>
      <c r="E86" s="145">
        <f t="shared" si="5"/>
        <v>-637500</v>
      </c>
      <c r="F86" s="145" t="s">
        <v>10</v>
      </c>
      <c r="G86" s="145"/>
      <c r="H86" s="145" t="s">
        <v>396</v>
      </c>
      <c r="I86" s="145"/>
    </row>
    <row r="87" spans="1:9" ht="16.5" customHeight="1">
      <c r="A87" s="263" t="s">
        <v>401</v>
      </c>
      <c r="B87" s="263" t="s">
        <v>111</v>
      </c>
      <c r="C87" s="291">
        <v>-1040000</v>
      </c>
      <c r="D87" s="145" t="s">
        <v>11</v>
      </c>
      <c r="E87" s="145">
        <f>-C87</f>
        <v>1040000</v>
      </c>
      <c r="F87" s="145" t="s">
        <v>11</v>
      </c>
      <c r="G87" s="145"/>
      <c r="H87" s="145" t="s">
        <v>397</v>
      </c>
      <c r="I87" s="145"/>
    </row>
    <row r="88" spans="1:9" ht="16.5" customHeight="1">
      <c r="A88" s="263" t="s">
        <v>403</v>
      </c>
      <c r="B88" s="145" t="s">
        <v>31</v>
      </c>
      <c r="C88" s="291">
        <v>-2400679.46</v>
      </c>
      <c r="D88" s="145" t="s">
        <v>15</v>
      </c>
      <c r="E88" s="145">
        <f t="shared" ref="E88:E92" si="6">-C88</f>
        <v>2400679.46</v>
      </c>
      <c r="F88" s="172" t="s">
        <v>7</v>
      </c>
      <c r="G88" s="172"/>
      <c r="H88" s="145" t="s">
        <v>404</v>
      </c>
      <c r="I88" s="172"/>
    </row>
    <row r="89" spans="1:9" ht="16.5" customHeight="1">
      <c r="A89" s="263" t="s">
        <v>406</v>
      </c>
      <c r="B89" s="145" t="s">
        <v>111</v>
      </c>
      <c r="C89" s="291">
        <v>836677.45</v>
      </c>
      <c r="D89" s="145" t="s">
        <v>15</v>
      </c>
      <c r="E89" s="145">
        <f t="shared" si="6"/>
        <v>-836677.45</v>
      </c>
      <c r="F89" s="172" t="s">
        <v>7</v>
      </c>
      <c r="G89" s="172"/>
      <c r="H89" s="145" t="s">
        <v>405</v>
      </c>
      <c r="I89" s="172"/>
    </row>
    <row r="90" spans="1:9" ht="16.5" customHeight="1">
      <c r="A90" s="263" t="s">
        <v>410</v>
      </c>
      <c r="B90" s="145" t="s">
        <v>113</v>
      </c>
      <c r="C90" s="291">
        <v>400000</v>
      </c>
      <c r="D90" s="145" t="s">
        <v>23</v>
      </c>
      <c r="E90" s="145">
        <f t="shared" si="6"/>
        <v>-400000</v>
      </c>
      <c r="F90" s="172" t="s">
        <v>5</v>
      </c>
      <c r="G90" s="172"/>
      <c r="H90" s="172" t="s">
        <v>433</v>
      </c>
      <c r="I90" s="172"/>
    </row>
    <row r="91" spans="1:9" ht="16.5" customHeight="1">
      <c r="A91" s="263" t="s">
        <v>437</v>
      </c>
      <c r="B91" s="263" t="s">
        <v>29</v>
      </c>
      <c r="C91" s="145">
        <v>-21985.119999999999</v>
      </c>
      <c r="D91" s="145" t="s">
        <v>8</v>
      </c>
      <c r="E91" s="145">
        <f t="shared" si="6"/>
        <v>21985.119999999999</v>
      </c>
      <c r="F91" s="145" t="s">
        <v>7</v>
      </c>
      <c r="G91" s="145"/>
      <c r="H91" s="145" t="s">
        <v>438</v>
      </c>
      <c r="I91" s="145"/>
    </row>
    <row r="92" spans="1:9" ht="16.5" customHeight="1">
      <c r="A92" s="263" t="s">
        <v>411</v>
      </c>
      <c r="B92" s="263" t="s">
        <v>29</v>
      </c>
      <c r="C92" s="145">
        <v>-94339.63</v>
      </c>
      <c r="D92" s="145" t="s">
        <v>8</v>
      </c>
      <c r="E92" s="145">
        <f t="shared" si="6"/>
        <v>94339.63</v>
      </c>
      <c r="F92" s="145" t="s">
        <v>7</v>
      </c>
      <c r="G92" s="145"/>
      <c r="H92" s="145" t="s">
        <v>439</v>
      </c>
      <c r="I92" s="145"/>
    </row>
    <row r="93" spans="1:9" ht="16.5" customHeight="1">
      <c r="A93" s="263" t="s">
        <v>412</v>
      </c>
      <c r="B93" s="263" t="s">
        <v>29</v>
      </c>
      <c r="C93" s="145">
        <v>-26374.03</v>
      </c>
      <c r="D93" s="145" t="s">
        <v>8</v>
      </c>
      <c r="E93" s="145">
        <f>-C93</f>
        <v>26374.03</v>
      </c>
      <c r="F93" s="145" t="s">
        <v>7</v>
      </c>
      <c r="G93" s="145"/>
      <c r="H93" s="145" t="s">
        <v>440</v>
      </c>
      <c r="I93" s="145"/>
    </row>
    <row r="94" spans="1:9" ht="16.5" customHeight="1">
      <c r="A94" s="263" t="s">
        <v>145</v>
      </c>
      <c r="B94" s="263" t="s">
        <v>31</v>
      </c>
      <c r="C94" s="147">
        <v>106405.35</v>
      </c>
      <c r="D94" s="145" t="s">
        <v>8</v>
      </c>
      <c r="E94" s="145">
        <f t="shared" ref="E94" si="7">-C94</f>
        <v>-106405.35</v>
      </c>
      <c r="F94" s="145" t="s">
        <v>5</v>
      </c>
      <c r="G94" s="145"/>
      <c r="H94" s="147" t="s">
        <v>551</v>
      </c>
      <c r="I94" s="145"/>
    </row>
    <row r="95" spans="1:9" ht="16.5" customHeight="1">
      <c r="A95" s="201"/>
      <c r="B95" s="201" t="s">
        <v>147</v>
      </c>
      <c r="C95" s="204">
        <f>SUM(C96:C112)</f>
        <v>56876.384207999996</v>
      </c>
      <c r="D95" s="204"/>
      <c r="E95" s="204">
        <f>SUM(E96:E112)</f>
        <v>-56876.384207999996</v>
      </c>
      <c r="F95" s="203"/>
      <c r="G95" s="203"/>
      <c r="H95" s="203"/>
      <c r="I95" s="203"/>
    </row>
    <row r="96" spans="1:9" ht="16.5" customHeight="1">
      <c r="A96" s="7" t="s">
        <v>132</v>
      </c>
      <c r="B96" s="7" t="s">
        <v>114</v>
      </c>
      <c r="C96" s="10">
        <f t="shared" ref="C96:C108" si="8">ROUND(IF(OR(LEFT(B52,1)="2",(LEFT(B52,1)="4")),0,C52*0.06*0.12),2)</f>
        <v>0</v>
      </c>
      <c r="D96" s="8" t="str">
        <f t="shared" ref="D96:D137" si="9">D52</f>
        <v>证券投资部</v>
      </c>
      <c r="E96" s="8">
        <f>-C96</f>
        <v>0</v>
      </c>
      <c r="F96" s="8" t="str">
        <f t="shared" ref="F96:F137" si="10">F52</f>
        <v>总部中后台</v>
      </c>
      <c r="G96" s="11"/>
      <c r="H96" s="11"/>
      <c r="I96" s="11"/>
    </row>
    <row r="97" spans="1:9" ht="16.5" customHeight="1">
      <c r="A97" s="7" t="s">
        <v>133</v>
      </c>
      <c r="B97" s="7" t="s">
        <v>114</v>
      </c>
      <c r="C97" s="10">
        <f>ROUND(IF(OR(LEFT(B53,1)="2",(LEFT(B53,1)="4")),0,C53*0.06*0.12),2)</f>
        <v>0</v>
      </c>
      <c r="D97" s="8" t="str">
        <f t="shared" si="9"/>
        <v>证券投资部</v>
      </c>
      <c r="E97" s="8">
        <f>-C97</f>
        <v>0</v>
      </c>
      <c r="F97" s="8" t="str">
        <f t="shared" si="10"/>
        <v>固定收益部</v>
      </c>
      <c r="G97" s="11"/>
      <c r="H97" s="11"/>
      <c r="I97" s="11"/>
    </row>
    <row r="98" spans="1:9" ht="16.5" customHeight="1">
      <c r="A98" s="7" t="s">
        <v>134</v>
      </c>
      <c r="B98" s="7" t="s">
        <v>114</v>
      </c>
      <c r="C98" s="10">
        <f t="shared" si="8"/>
        <v>0</v>
      </c>
      <c r="D98" s="8" t="str">
        <f t="shared" si="9"/>
        <v>证券投资部</v>
      </c>
      <c r="E98" s="8">
        <f>-C98</f>
        <v>0</v>
      </c>
      <c r="F98" s="8" t="str">
        <f t="shared" si="10"/>
        <v>固定收益部</v>
      </c>
      <c r="G98" s="11"/>
      <c r="H98" s="11"/>
      <c r="I98" s="11"/>
    </row>
    <row r="99" spans="1:9" ht="16.5" customHeight="1">
      <c r="A99" s="7" t="s">
        <v>135</v>
      </c>
      <c r="B99" s="7" t="s">
        <v>114</v>
      </c>
      <c r="C99" s="10">
        <f t="shared" si="8"/>
        <v>0</v>
      </c>
      <c r="D99" s="8" t="str">
        <f t="shared" si="9"/>
        <v>证券投资部</v>
      </c>
      <c r="E99" s="8">
        <f>-C99</f>
        <v>0</v>
      </c>
      <c r="F99" s="8" t="str">
        <f t="shared" si="10"/>
        <v>金融衍生品投资部</v>
      </c>
      <c r="G99" s="11"/>
      <c r="H99" s="11"/>
      <c r="I99" s="11"/>
    </row>
    <row r="100" spans="1:9" ht="16.5" customHeight="1">
      <c r="A100" s="7" t="s">
        <v>136</v>
      </c>
      <c r="B100" s="7" t="s">
        <v>114</v>
      </c>
      <c r="C100" s="10">
        <f t="shared" si="8"/>
        <v>0</v>
      </c>
      <c r="D100" s="8" t="str">
        <f t="shared" si="9"/>
        <v>证券投资部</v>
      </c>
      <c r="E100" s="8">
        <f t="shared" ref="E100:E112" si="11">-C100</f>
        <v>0</v>
      </c>
      <c r="F100" s="8" t="str">
        <f t="shared" si="10"/>
        <v>金融工程部</v>
      </c>
      <c r="G100" s="11"/>
      <c r="H100" s="11"/>
      <c r="I100" s="11"/>
    </row>
    <row r="101" spans="1:9" ht="16.5" customHeight="1">
      <c r="A101" s="7" t="s">
        <v>137</v>
      </c>
      <c r="B101" s="7" t="s">
        <v>114</v>
      </c>
      <c r="C101" s="10">
        <f>ROUND(IF(OR(LEFT(B57,1)="2",(LEFT(B57,1)="4")),0,C57*0.06*0.12),2)</f>
        <v>-8898.56</v>
      </c>
      <c r="D101" s="8" t="str">
        <f t="shared" si="9"/>
        <v>证券投资部</v>
      </c>
      <c r="E101" s="8">
        <f t="shared" si="11"/>
        <v>8898.56</v>
      </c>
      <c r="F101" s="8" t="str">
        <f t="shared" si="10"/>
        <v>固定收益部</v>
      </c>
      <c r="G101" s="11"/>
      <c r="H101" s="11"/>
      <c r="I101" s="11"/>
    </row>
    <row r="102" spans="1:9" ht="16.5" customHeight="1">
      <c r="A102" s="7" t="s">
        <v>138</v>
      </c>
      <c r="B102" s="7" t="s">
        <v>114</v>
      </c>
      <c r="C102" s="10">
        <f t="shared" si="8"/>
        <v>0</v>
      </c>
      <c r="D102" s="8" t="str">
        <f t="shared" si="9"/>
        <v>证券投资部</v>
      </c>
      <c r="E102" s="8">
        <f t="shared" si="11"/>
        <v>0</v>
      </c>
      <c r="F102" s="8" t="str">
        <f t="shared" si="10"/>
        <v>固定收益部</v>
      </c>
      <c r="G102" s="11"/>
      <c r="H102" s="11"/>
      <c r="I102" s="11"/>
    </row>
    <row r="103" spans="1:9" ht="16.5" customHeight="1">
      <c r="A103" s="7" t="s">
        <v>139</v>
      </c>
      <c r="B103" s="7" t="s">
        <v>114</v>
      </c>
      <c r="C103" s="10">
        <f t="shared" si="8"/>
        <v>-1389.85</v>
      </c>
      <c r="D103" s="8" t="str">
        <f t="shared" si="9"/>
        <v>证券投资部</v>
      </c>
      <c r="E103" s="8">
        <f t="shared" si="11"/>
        <v>1389.85</v>
      </c>
      <c r="F103" s="8" t="str">
        <f t="shared" si="10"/>
        <v>总部中后台</v>
      </c>
      <c r="G103" s="11"/>
      <c r="H103" s="11"/>
      <c r="I103" s="11"/>
    </row>
    <row r="104" spans="1:9" ht="16.5" customHeight="1">
      <c r="A104" s="7" t="s">
        <v>140</v>
      </c>
      <c r="B104" s="7" t="s">
        <v>114</v>
      </c>
      <c r="C104" s="10">
        <f t="shared" si="8"/>
        <v>0</v>
      </c>
      <c r="D104" s="8" t="str">
        <f t="shared" si="9"/>
        <v>中小企业融资部</v>
      </c>
      <c r="E104" s="8">
        <f t="shared" si="11"/>
        <v>0</v>
      </c>
      <c r="F104" s="8" t="str">
        <f t="shared" si="10"/>
        <v>股权融资部</v>
      </c>
      <c r="G104" s="11"/>
      <c r="H104" s="11"/>
      <c r="I104" s="11"/>
    </row>
    <row r="105" spans="1:9" ht="16.5" customHeight="1">
      <c r="A105" s="7" t="s">
        <v>141</v>
      </c>
      <c r="B105" s="7" t="s">
        <v>114</v>
      </c>
      <c r="C105" s="10">
        <f t="shared" si="8"/>
        <v>-7397.93</v>
      </c>
      <c r="D105" s="8" t="str">
        <f t="shared" si="9"/>
        <v>中小企业融资部</v>
      </c>
      <c r="E105" s="8">
        <f t="shared" si="11"/>
        <v>7397.93</v>
      </c>
      <c r="F105" s="8" t="str">
        <f t="shared" si="10"/>
        <v>综合业务部</v>
      </c>
      <c r="G105" s="11"/>
      <c r="H105" s="11"/>
      <c r="I105" s="11"/>
    </row>
    <row r="106" spans="1:9" ht="16.5" customHeight="1">
      <c r="A106" s="7" t="s">
        <v>142</v>
      </c>
      <c r="B106" s="7" t="s">
        <v>114</v>
      </c>
      <c r="C106" s="10">
        <f t="shared" si="8"/>
        <v>-14667.05</v>
      </c>
      <c r="D106" s="8" t="str">
        <f t="shared" si="9"/>
        <v>固定收益部</v>
      </c>
      <c r="E106" s="8">
        <f t="shared" si="11"/>
        <v>14667.05</v>
      </c>
      <c r="F106" s="8" t="str">
        <f t="shared" si="10"/>
        <v>其他</v>
      </c>
      <c r="G106" s="11"/>
      <c r="H106" s="11"/>
      <c r="I106" s="11"/>
    </row>
    <row r="107" spans="1:9" ht="16.5" customHeight="1">
      <c r="A107" s="7" t="s">
        <v>143</v>
      </c>
      <c r="B107" s="7" t="s">
        <v>114</v>
      </c>
      <c r="C107" s="10">
        <f t="shared" si="8"/>
        <v>-31959.68</v>
      </c>
      <c r="D107" s="8" t="str">
        <f t="shared" si="9"/>
        <v>固定收益部</v>
      </c>
      <c r="E107" s="8">
        <f t="shared" si="11"/>
        <v>31959.68</v>
      </c>
      <c r="F107" s="8" t="str">
        <f t="shared" si="10"/>
        <v>总部中后台</v>
      </c>
      <c r="G107" s="11"/>
      <c r="H107" s="12"/>
      <c r="I107" s="12"/>
    </row>
    <row r="108" spans="1:9" ht="16.5" customHeight="1">
      <c r="A108" s="7" t="s">
        <v>144</v>
      </c>
      <c r="B108" s="7" t="s">
        <v>114</v>
      </c>
      <c r="C108" s="10">
        <f t="shared" si="8"/>
        <v>0</v>
      </c>
      <c r="D108" s="8" t="str">
        <f t="shared" si="9"/>
        <v>固定收益部</v>
      </c>
      <c r="E108" s="8">
        <f t="shared" si="11"/>
        <v>0</v>
      </c>
      <c r="F108" s="8" t="str">
        <f t="shared" si="10"/>
        <v>其他</v>
      </c>
      <c r="G108" s="11"/>
      <c r="H108" s="12"/>
      <c r="I108" s="12"/>
    </row>
    <row r="109" spans="1:9" ht="16.5" customHeight="1">
      <c r="A109" s="7" t="s">
        <v>145</v>
      </c>
      <c r="B109" s="7" t="s">
        <v>114</v>
      </c>
      <c r="C109" s="10"/>
      <c r="D109" s="8" t="str">
        <f t="shared" si="9"/>
        <v>经纪业务部</v>
      </c>
      <c r="E109" s="8">
        <f t="shared" si="11"/>
        <v>0</v>
      </c>
      <c r="F109" s="8" t="str">
        <f t="shared" si="10"/>
        <v>其他</v>
      </c>
      <c r="G109" s="11"/>
      <c r="H109" s="15" t="s">
        <v>219</v>
      </c>
      <c r="I109" s="12"/>
    </row>
    <row r="110" spans="1:9" ht="16.5" customHeight="1">
      <c r="A110" s="7" t="s">
        <v>146</v>
      </c>
      <c r="B110" s="7" t="s">
        <v>114</v>
      </c>
      <c r="C110" s="10">
        <f>C66*0.06*12%</f>
        <v>121189.454208</v>
      </c>
      <c r="D110" s="8" t="str">
        <f t="shared" si="9"/>
        <v>经纪业务部</v>
      </c>
      <c r="E110" s="8">
        <f t="shared" si="11"/>
        <v>-121189.454208</v>
      </c>
      <c r="F110" s="8" t="str">
        <f t="shared" si="10"/>
        <v>总部中后台</v>
      </c>
      <c r="G110" s="11"/>
      <c r="H110" s="12" t="s">
        <v>373</v>
      </c>
      <c r="I110" s="12"/>
    </row>
    <row r="111" spans="1:9" ht="16.5" customHeight="1">
      <c r="A111" s="7" t="s">
        <v>192</v>
      </c>
      <c r="B111" s="7" t="s">
        <v>114</v>
      </c>
      <c r="C111" s="10">
        <f t="shared" ref="C111:C116" si="12">ROUND(IF(OR(LEFT(B67,1)="2",(LEFT(B67,1)="4")),0,C67*0.06*0.12),2)</f>
        <v>0</v>
      </c>
      <c r="D111" s="8" t="str">
        <f t="shared" si="9"/>
        <v>投资银行总部</v>
      </c>
      <c r="E111" s="8">
        <f t="shared" si="11"/>
        <v>0</v>
      </c>
      <c r="F111" s="8" t="str">
        <f t="shared" si="10"/>
        <v>总部中后台</v>
      </c>
      <c r="G111" s="11"/>
      <c r="H111" s="12"/>
      <c r="I111" s="12"/>
    </row>
    <row r="112" spans="1:9" ht="16.5" customHeight="1">
      <c r="A112" s="7" t="s">
        <v>193</v>
      </c>
      <c r="B112" s="7" t="s">
        <v>114</v>
      </c>
      <c r="C112" s="10">
        <f t="shared" si="12"/>
        <v>0</v>
      </c>
      <c r="D112" s="8" t="str">
        <f t="shared" si="9"/>
        <v>投资银行总部</v>
      </c>
      <c r="E112" s="8">
        <f t="shared" si="11"/>
        <v>0</v>
      </c>
      <c r="F112" s="8" t="str">
        <f t="shared" si="10"/>
        <v>总部中后台</v>
      </c>
      <c r="G112" s="11"/>
      <c r="H112" s="12"/>
      <c r="I112" s="12"/>
    </row>
    <row r="113" spans="1:9" ht="16.5" customHeight="1">
      <c r="A113" s="7" t="s">
        <v>194</v>
      </c>
      <c r="B113" s="7" t="s">
        <v>114</v>
      </c>
      <c r="C113" s="10">
        <f t="shared" si="12"/>
        <v>42882.239999999998</v>
      </c>
      <c r="D113" s="8" t="str">
        <f t="shared" si="9"/>
        <v>资产管理部</v>
      </c>
      <c r="E113" s="8">
        <f>-C113</f>
        <v>-42882.239999999998</v>
      </c>
      <c r="F113" s="8" t="str">
        <f t="shared" si="10"/>
        <v>其他</v>
      </c>
      <c r="G113" s="11"/>
      <c r="H113" s="11"/>
      <c r="I113" s="12"/>
    </row>
    <row r="114" spans="1:9" ht="16.5" customHeight="1">
      <c r="A114" s="7" t="s">
        <v>195</v>
      </c>
      <c r="B114" s="7" t="s">
        <v>114</v>
      </c>
      <c r="C114" s="10">
        <f t="shared" si="12"/>
        <v>0</v>
      </c>
      <c r="D114" s="8" t="str">
        <f t="shared" si="9"/>
        <v>金融工程部</v>
      </c>
      <c r="E114" s="8">
        <f>-C114</f>
        <v>0</v>
      </c>
      <c r="F114" s="8" t="str">
        <f t="shared" si="10"/>
        <v>总部中后台</v>
      </c>
      <c r="G114" s="11"/>
      <c r="H114" s="11"/>
      <c r="I114" s="12"/>
    </row>
    <row r="115" spans="1:9" ht="16.5" customHeight="1">
      <c r="A115" s="7" t="s">
        <v>196</v>
      </c>
      <c r="B115" s="7" t="s">
        <v>114</v>
      </c>
      <c r="C115" s="10">
        <f t="shared" si="12"/>
        <v>-1984.47</v>
      </c>
      <c r="D115" s="8" t="str">
        <f t="shared" si="9"/>
        <v>证券投资部</v>
      </c>
      <c r="E115" s="8">
        <f>-C115</f>
        <v>1984.47</v>
      </c>
      <c r="F115" s="8" t="str">
        <f t="shared" si="10"/>
        <v>金融工程部</v>
      </c>
      <c r="G115" s="11"/>
      <c r="H115" s="11"/>
      <c r="I115" s="12"/>
    </row>
    <row r="116" spans="1:9" ht="16.5" customHeight="1">
      <c r="A116" s="7" t="s">
        <v>197</v>
      </c>
      <c r="B116" s="7" t="s">
        <v>114</v>
      </c>
      <c r="C116" s="10">
        <f t="shared" si="12"/>
        <v>-11.2</v>
      </c>
      <c r="D116" s="8" t="str">
        <f t="shared" si="9"/>
        <v>金融工程部</v>
      </c>
      <c r="E116" s="8">
        <f>-C116</f>
        <v>11.2</v>
      </c>
      <c r="F116" s="8" t="str">
        <f t="shared" si="10"/>
        <v>总部中后台</v>
      </c>
      <c r="G116" s="11"/>
      <c r="H116" s="11"/>
      <c r="I116" s="12"/>
    </row>
    <row r="117" spans="1:9" ht="16.5" customHeight="1">
      <c r="A117" s="7" t="s">
        <v>198</v>
      </c>
      <c r="B117" s="7" t="s">
        <v>114</v>
      </c>
      <c r="C117" s="10"/>
      <c r="D117" s="8" t="str">
        <f t="shared" si="9"/>
        <v>金融衍生品投资部</v>
      </c>
      <c r="E117" s="8">
        <f t="shared" ref="E117:E121" si="13">-C117</f>
        <v>0</v>
      </c>
      <c r="F117" s="8" t="str">
        <f t="shared" si="10"/>
        <v>总部中后台</v>
      </c>
      <c r="G117" s="264"/>
      <c r="H117" s="265"/>
      <c r="I117" s="265"/>
    </row>
    <row r="118" spans="1:9" ht="16.5" customHeight="1">
      <c r="A118" s="7" t="s">
        <v>199</v>
      </c>
      <c r="B118" s="7" t="s">
        <v>114</v>
      </c>
      <c r="C118" s="10"/>
      <c r="D118" s="8" t="str">
        <f t="shared" si="9"/>
        <v>经纪业务部</v>
      </c>
      <c r="E118" s="8">
        <f t="shared" si="13"/>
        <v>0</v>
      </c>
      <c r="F118" s="8" t="str">
        <f t="shared" si="10"/>
        <v>其他</v>
      </c>
      <c r="G118" s="264"/>
      <c r="H118" s="265"/>
      <c r="I118" s="265"/>
    </row>
    <row r="119" spans="1:9" ht="16.5" customHeight="1">
      <c r="A119" s="7" t="s">
        <v>236</v>
      </c>
      <c r="B119" s="263" t="s">
        <v>114</v>
      </c>
      <c r="C119" s="10"/>
      <c r="D119" s="8" t="str">
        <f t="shared" si="9"/>
        <v>经纪业务部</v>
      </c>
      <c r="E119" s="8">
        <f t="shared" si="13"/>
        <v>0</v>
      </c>
      <c r="F119" s="8" t="str">
        <f t="shared" si="10"/>
        <v>其他</v>
      </c>
      <c r="G119" s="264"/>
      <c r="H119" s="265"/>
      <c r="I119" s="265"/>
    </row>
    <row r="120" spans="1:9" ht="16.5" customHeight="1">
      <c r="A120" s="7" t="s">
        <v>360</v>
      </c>
      <c r="B120" s="263" t="s">
        <v>114</v>
      </c>
      <c r="C120" s="10">
        <f t="shared" ref="C120:C132" si="14">ROUND(IF(OR(LEFT(B76,1)="2",(LEFT(B76,1)="4")),0,C76*0.06*0.12),2)</f>
        <v>-1146.97</v>
      </c>
      <c r="D120" s="8" t="str">
        <f t="shared" si="9"/>
        <v>资产管理部</v>
      </c>
      <c r="E120" s="8">
        <f t="shared" si="13"/>
        <v>1146.97</v>
      </c>
      <c r="F120" s="8" t="str">
        <f t="shared" si="10"/>
        <v>经纪业务部</v>
      </c>
      <c r="G120" s="264"/>
      <c r="H120" s="265"/>
      <c r="I120" s="265"/>
    </row>
    <row r="121" spans="1:9" ht="16.5" customHeight="1">
      <c r="A121" s="7" t="s">
        <v>361</v>
      </c>
      <c r="B121" s="263" t="s">
        <v>114</v>
      </c>
      <c r="C121" s="10">
        <f t="shared" si="14"/>
        <v>-42882.239999999998</v>
      </c>
      <c r="D121" s="8" t="str">
        <f t="shared" si="9"/>
        <v>资产管理部</v>
      </c>
      <c r="E121" s="8">
        <f t="shared" si="13"/>
        <v>42882.239999999998</v>
      </c>
      <c r="F121" s="8" t="str">
        <f t="shared" si="10"/>
        <v>其他</v>
      </c>
      <c r="G121" s="264"/>
      <c r="H121" s="265"/>
      <c r="I121" s="265"/>
    </row>
    <row r="122" spans="1:9" ht="16.5" customHeight="1">
      <c r="A122" s="7" t="s">
        <v>362</v>
      </c>
      <c r="B122" s="263" t="s">
        <v>114</v>
      </c>
      <c r="C122" s="10">
        <f t="shared" si="14"/>
        <v>-8096.6</v>
      </c>
      <c r="D122" s="8" t="str">
        <f t="shared" si="9"/>
        <v>债券融资部</v>
      </c>
      <c r="E122" s="8">
        <f t="shared" ref="E122:E123" si="15">-C122</f>
        <v>8096.6</v>
      </c>
      <c r="F122" s="8" t="str">
        <f t="shared" si="10"/>
        <v>投资银行总部</v>
      </c>
      <c r="G122" s="264"/>
      <c r="H122" s="265"/>
      <c r="I122" s="265"/>
    </row>
    <row r="123" spans="1:9" ht="16.5" customHeight="1">
      <c r="A123" s="7" t="s">
        <v>367</v>
      </c>
      <c r="B123" s="263" t="s">
        <v>114</v>
      </c>
      <c r="C123" s="10">
        <f t="shared" si="14"/>
        <v>-6007.25</v>
      </c>
      <c r="D123" s="8" t="str">
        <f t="shared" si="9"/>
        <v>股权融资部</v>
      </c>
      <c r="E123" s="8">
        <f t="shared" si="15"/>
        <v>6007.25</v>
      </c>
      <c r="F123" s="8" t="str">
        <f t="shared" si="10"/>
        <v>投资银行总部</v>
      </c>
      <c r="G123" s="264"/>
      <c r="H123" s="265"/>
      <c r="I123" s="265"/>
    </row>
    <row r="124" spans="1:9" ht="16.5" customHeight="1">
      <c r="A124" s="7" t="s">
        <v>362</v>
      </c>
      <c r="B124" s="263" t="s">
        <v>378</v>
      </c>
      <c r="C124" s="10">
        <f t="shared" si="14"/>
        <v>-3708.25</v>
      </c>
      <c r="D124" s="8" t="str">
        <f t="shared" si="9"/>
        <v>资产管理部</v>
      </c>
      <c r="E124" s="8">
        <f t="shared" ref="E124" si="16">-C124</f>
        <v>3708.25</v>
      </c>
      <c r="F124" s="8" t="str">
        <f t="shared" si="10"/>
        <v>经纪业务部</v>
      </c>
      <c r="G124" s="264"/>
      <c r="H124" s="265"/>
      <c r="I124" s="265"/>
    </row>
    <row r="125" spans="1:9" ht="16.5" customHeight="1">
      <c r="A125" s="7" t="s">
        <v>367</v>
      </c>
      <c r="B125" s="263" t="s">
        <v>114</v>
      </c>
      <c r="C125" s="10">
        <f t="shared" si="14"/>
        <v>0</v>
      </c>
      <c r="D125" s="8" t="str">
        <f t="shared" si="9"/>
        <v>证券投资部</v>
      </c>
      <c r="E125" s="8">
        <f t="shared" ref="E125:E126" si="17">-C125</f>
        <v>0</v>
      </c>
      <c r="F125" s="8" t="str">
        <f t="shared" si="10"/>
        <v>中小企业融资部</v>
      </c>
      <c r="G125" s="264"/>
      <c r="H125" s="265"/>
      <c r="I125" s="265"/>
    </row>
    <row r="126" spans="1:9" ht="16.5" customHeight="1">
      <c r="A126" s="7" t="s">
        <v>370</v>
      </c>
      <c r="B126" s="263" t="s">
        <v>114</v>
      </c>
      <c r="C126" s="10">
        <f t="shared" si="14"/>
        <v>366.56</v>
      </c>
      <c r="D126" s="8" t="str">
        <f t="shared" si="9"/>
        <v>证券投资部</v>
      </c>
      <c r="E126" s="8">
        <f t="shared" si="17"/>
        <v>-366.56</v>
      </c>
      <c r="F126" s="8" t="str">
        <f t="shared" si="10"/>
        <v>中小企业融资部</v>
      </c>
      <c r="G126" s="264"/>
      <c r="H126" s="265"/>
      <c r="I126" s="265"/>
    </row>
    <row r="127" spans="1:9" ht="16.5" customHeight="1">
      <c r="A127" s="7" t="s">
        <v>383</v>
      </c>
      <c r="B127" s="263" t="s">
        <v>114</v>
      </c>
      <c r="C127" s="10">
        <f t="shared" si="14"/>
        <v>-1932.8</v>
      </c>
      <c r="D127" s="8" t="str">
        <f t="shared" si="9"/>
        <v>金融工程部</v>
      </c>
      <c r="E127" s="8">
        <f t="shared" ref="E127:E128" si="18">-C127</f>
        <v>1932.8</v>
      </c>
      <c r="F127" s="8" t="str">
        <f t="shared" si="10"/>
        <v>总部中后台</v>
      </c>
      <c r="G127" s="264"/>
      <c r="H127" s="265"/>
      <c r="I127" s="265"/>
    </row>
    <row r="128" spans="1:9" ht="16.5" customHeight="1">
      <c r="A128" s="7" t="s">
        <v>385</v>
      </c>
      <c r="B128" s="263" t="s">
        <v>114</v>
      </c>
      <c r="C128" s="10">
        <f t="shared" si="14"/>
        <v>-14226.86</v>
      </c>
      <c r="D128" s="8" t="str">
        <f t="shared" si="9"/>
        <v>证券投资部</v>
      </c>
      <c r="E128" s="8">
        <f t="shared" si="18"/>
        <v>14226.86</v>
      </c>
      <c r="F128" s="8" t="str">
        <f t="shared" si="10"/>
        <v>股权融资部</v>
      </c>
      <c r="G128" s="264"/>
      <c r="H128" s="265"/>
      <c r="I128" s="265"/>
    </row>
    <row r="129" spans="1:9" ht="16.5" customHeight="1">
      <c r="A129" s="7" t="s">
        <v>388</v>
      </c>
      <c r="B129" s="263" t="s">
        <v>114</v>
      </c>
      <c r="C129" s="10">
        <f t="shared" si="14"/>
        <v>0</v>
      </c>
      <c r="D129" s="8" t="str">
        <f t="shared" si="9"/>
        <v>中小企业融资部</v>
      </c>
      <c r="E129" s="8">
        <f t="shared" ref="E129:E133" si="19">-C129</f>
        <v>0</v>
      </c>
      <c r="F129" s="8" t="str">
        <f t="shared" si="10"/>
        <v>其他</v>
      </c>
      <c r="G129" s="264"/>
      <c r="H129" s="265"/>
      <c r="I129" s="265"/>
    </row>
    <row r="130" spans="1:9" ht="16.5" customHeight="1">
      <c r="A130" s="7" t="s">
        <v>398</v>
      </c>
      <c r="B130" s="263" t="s">
        <v>114</v>
      </c>
      <c r="C130" s="10">
        <f t="shared" si="14"/>
        <v>4590</v>
      </c>
      <c r="D130" s="8" t="str">
        <f t="shared" si="9"/>
        <v>证券投资部</v>
      </c>
      <c r="E130" s="8">
        <f t="shared" si="19"/>
        <v>-4590</v>
      </c>
      <c r="F130" s="8" t="str">
        <f t="shared" si="10"/>
        <v>固定收益部</v>
      </c>
      <c r="G130" s="264"/>
      <c r="H130" s="265"/>
      <c r="I130" s="265"/>
    </row>
    <row r="131" spans="1:9" ht="16.5" customHeight="1">
      <c r="A131" s="7" t="s">
        <v>399</v>
      </c>
      <c r="B131" s="263" t="s">
        <v>114</v>
      </c>
      <c r="C131" s="10">
        <f t="shared" si="14"/>
        <v>0</v>
      </c>
      <c r="D131" s="8" t="str">
        <f t="shared" si="9"/>
        <v>证券投资部</v>
      </c>
      <c r="E131" s="8">
        <f t="shared" si="19"/>
        <v>0</v>
      </c>
      <c r="F131" s="8" t="str">
        <f t="shared" si="10"/>
        <v>证券投资部</v>
      </c>
      <c r="G131" s="264"/>
      <c r="H131" s="265"/>
      <c r="I131" s="265"/>
    </row>
    <row r="132" spans="1:9" ht="16.5" customHeight="1">
      <c r="A132" s="7" t="s">
        <v>400</v>
      </c>
      <c r="B132" s="263" t="s">
        <v>114</v>
      </c>
      <c r="C132" s="10">
        <f t="shared" si="14"/>
        <v>-17284.89</v>
      </c>
      <c r="D132" s="8" t="str">
        <f t="shared" si="9"/>
        <v>金融工程部</v>
      </c>
      <c r="E132" s="8">
        <f t="shared" si="19"/>
        <v>17284.89</v>
      </c>
      <c r="F132" s="8" t="str">
        <f t="shared" si="10"/>
        <v>经纪业务部</v>
      </c>
      <c r="G132" s="264"/>
      <c r="H132" s="265"/>
      <c r="I132" s="265"/>
    </row>
    <row r="133" spans="1:9" ht="16.5" customHeight="1">
      <c r="A133" s="7" t="s">
        <v>401</v>
      </c>
      <c r="B133" s="263" t="s">
        <v>114</v>
      </c>
      <c r="C133" s="10">
        <f>C89*0.06*0.12</f>
        <v>6024.0776399999995</v>
      </c>
      <c r="D133" s="8" t="str">
        <f t="shared" si="9"/>
        <v>金融工程部</v>
      </c>
      <c r="E133" s="8">
        <f t="shared" si="19"/>
        <v>-6024.0776399999995</v>
      </c>
      <c r="F133" s="8" t="str">
        <f t="shared" si="10"/>
        <v>经纪业务部</v>
      </c>
      <c r="G133" s="264"/>
      <c r="H133" s="265"/>
      <c r="I133" s="265"/>
    </row>
    <row r="134" spans="1:9" ht="16.5" customHeight="1">
      <c r="A134" s="7" t="s">
        <v>403</v>
      </c>
      <c r="B134" s="263" t="s">
        <v>114</v>
      </c>
      <c r="C134" s="10">
        <v>0</v>
      </c>
      <c r="D134" s="8" t="str">
        <f t="shared" si="9"/>
        <v>综合业务部</v>
      </c>
      <c r="E134" s="8">
        <f t="shared" ref="E134:E137" si="20">-C134</f>
        <v>0</v>
      </c>
      <c r="F134" s="8" t="str">
        <f t="shared" si="10"/>
        <v>其他</v>
      </c>
      <c r="G134" s="264"/>
      <c r="H134" s="265"/>
      <c r="I134" s="265"/>
    </row>
    <row r="135" spans="1:9" ht="16.5" customHeight="1">
      <c r="A135" s="7" t="s">
        <v>406</v>
      </c>
      <c r="B135" s="263" t="s">
        <v>114</v>
      </c>
      <c r="C135" s="10">
        <f>ROUND(IF(OR(LEFT(B91,1)="2",(LEFT(B91,1)="4")),0,C91*0.06*0.12),2)</f>
        <v>-158.29</v>
      </c>
      <c r="D135" s="8" t="str">
        <f t="shared" si="9"/>
        <v>资产管理部</v>
      </c>
      <c r="E135" s="8">
        <f t="shared" si="20"/>
        <v>158.29</v>
      </c>
      <c r="F135" s="8" t="str">
        <f t="shared" si="10"/>
        <v>经纪业务部</v>
      </c>
      <c r="G135" s="264"/>
      <c r="H135" s="265"/>
      <c r="I135" s="265"/>
    </row>
    <row r="136" spans="1:9" ht="16.5" customHeight="1">
      <c r="A136" s="7" t="s">
        <v>410</v>
      </c>
      <c r="B136" s="263" t="s">
        <v>114</v>
      </c>
      <c r="C136" s="10">
        <f>ROUND(IF(OR(LEFT(B92,1)="2",(LEFT(B92,1)="4")),0,C92*0.06*0.12),2)</f>
        <v>-679.25</v>
      </c>
      <c r="D136" s="8" t="str">
        <f t="shared" si="9"/>
        <v>资产管理部</v>
      </c>
      <c r="E136" s="8">
        <f t="shared" si="20"/>
        <v>679.25</v>
      </c>
      <c r="F136" s="8" t="str">
        <f t="shared" si="10"/>
        <v>经纪业务部</v>
      </c>
      <c r="G136" s="264"/>
      <c r="H136" s="265"/>
      <c r="I136" s="265"/>
    </row>
    <row r="137" spans="1:9" ht="16.5" customHeight="1">
      <c r="A137" s="7" t="s">
        <v>437</v>
      </c>
      <c r="B137" s="263" t="s">
        <v>114</v>
      </c>
      <c r="C137" s="10">
        <f>ROUND(IF(OR(LEFT(B93,1)="2",(LEFT(B93,1)="4")),0,C93*0.06*0.12),2)</f>
        <v>-189.89</v>
      </c>
      <c r="D137" s="8" t="str">
        <f t="shared" si="9"/>
        <v>资产管理部</v>
      </c>
      <c r="E137" s="8">
        <f t="shared" si="20"/>
        <v>189.89</v>
      </c>
      <c r="F137" s="8" t="str">
        <f t="shared" si="10"/>
        <v>经纪业务部</v>
      </c>
      <c r="G137" s="264"/>
      <c r="H137" s="265"/>
      <c r="I137" s="265"/>
    </row>
    <row r="138" spans="1:9" ht="16.5" customHeight="1">
      <c r="A138" s="201"/>
      <c r="B138" s="201" t="s">
        <v>148</v>
      </c>
      <c r="C138" s="204">
        <f>SUM(C139:C203)</f>
        <v>-96257.793333332986</v>
      </c>
      <c r="D138" s="204"/>
      <c r="E138" s="204">
        <f>SUM(E139:E203)</f>
        <v>96257.793333332986</v>
      </c>
      <c r="F138" s="206"/>
      <c r="G138" s="201" t="s">
        <v>127</v>
      </c>
      <c r="H138" s="206" t="s">
        <v>128</v>
      </c>
      <c r="I138" s="206" t="s">
        <v>129</v>
      </c>
    </row>
    <row r="139" spans="1:9" ht="16.5" customHeight="1">
      <c r="A139" s="7" t="s">
        <v>132</v>
      </c>
      <c r="B139" s="13" t="s">
        <v>115</v>
      </c>
      <c r="C139" s="14">
        <f t="shared" ref="C139:C151" si="21">ROUND(C52*0.015,2)</f>
        <v>-37500.68</v>
      </c>
      <c r="D139" s="14" t="str">
        <f t="shared" ref="D139:D181" si="22">D52</f>
        <v>证券投资部</v>
      </c>
      <c r="E139" s="14">
        <f>-C139</f>
        <v>37500.68</v>
      </c>
      <c r="F139" s="14" t="s">
        <v>5</v>
      </c>
      <c r="G139" s="8" t="s">
        <v>73</v>
      </c>
      <c r="H139" s="15"/>
      <c r="I139" s="15"/>
    </row>
    <row r="140" spans="1:9" ht="16.5" customHeight="1">
      <c r="A140" s="7" t="s">
        <v>133</v>
      </c>
      <c r="B140" s="13" t="s">
        <v>115</v>
      </c>
      <c r="C140" s="14">
        <f t="shared" si="21"/>
        <v>-3025.26</v>
      </c>
      <c r="D140" s="14" t="str">
        <f t="shared" si="22"/>
        <v>证券投资部</v>
      </c>
      <c r="E140" s="14">
        <f>-C140</f>
        <v>3025.26</v>
      </c>
      <c r="F140" s="14" t="str">
        <f t="shared" ref="F140:F146" si="23">F53</f>
        <v>固定收益部</v>
      </c>
      <c r="G140" s="8" t="s">
        <v>73</v>
      </c>
      <c r="H140" s="15"/>
      <c r="I140" s="15"/>
    </row>
    <row r="141" spans="1:9" ht="16.5" customHeight="1">
      <c r="A141" s="7" t="s">
        <v>134</v>
      </c>
      <c r="B141" s="13" t="s">
        <v>115</v>
      </c>
      <c r="C141" s="14">
        <f t="shared" si="21"/>
        <v>-36197.120000000003</v>
      </c>
      <c r="D141" s="14" t="str">
        <f t="shared" si="22"/>
        <v>证券投资部</v>
      </c>
      <c r="E141" s="14">
        <f t="shared" ref="E141:E203" si="24">-C141</f>
        <v>36197.120000000003</v>
      </c>
      <c r="F141" s="14" t="str">
        <f t="shared" si="23"/>
        <v>固定收益部</v>
      </c>
      <c r="G141" s="8" t="s">
        <v>73</v>
      </c>
      <c r="H141" s="15"/>
      <c r="I141" s="15"/>
    </row>
    <row r="142" spans="1:9" ht="16.5" customHeight="1">
      <c r="A142" s="7" t="s">
        <v>135</v>
      </c>
      <c r="B142" s="13" t="s">
        <v>115</v>
      </c>
      <c r="C142" s="14">
        <f t="shared" si="21"/>
        <v>-8114.11</v>
      </c>
      <c r="D142" s="14" t="str">
        <f t="shared" si="22"/>
        <v>证券投资部</v>
      </c>
      <c r="E142" s="14">
        <f t="shared" si="24"/>
        <v>8114.11</v>
      </c>
      <c r="F142" s="14" t="str">
        <f t="shared" si="23"/>
        <v>金融衍生品投资部</v>
      </c>
      <c r="G142" s="8" t="s">
        <v>73</v>
      </c>
      <c r="H142" s="15"/>
      <c r="I142" s="15"/>
    </row>
    <row r="143" spans="1:9" ht="16.5" customHeight="1">
      <c r="A143" s="7" t="s">
        <v>136</v>
      </c>
      <c r="B143" s="13" t="s">
        <v>115</v>
      </c>
      <c r="C143" s="14">
        <f t="shared" si="21"/>
        <v>-49561.42</v>
      </c>
      <c r="D143" s="14" t="str">
        <f t="shared" si="22"/>
        <v>证券投资部</v>
      </c>
      <c r="E143" s="14">
        <f>-C143</f>
        <v>49561.42</v>
      </c>
      <c r="F143" s="14" t="str">
        <f t="shared" si="23"/>
        <v>金融工程部</v>
      </c>
      <c r="G143" s="8" t="s">
        <v>73</v>
      </c>
      <c r="H143" s="15"/>
      <c r="I143" s="15"/>
    </row>
    <row r="144" spans="1:9" ht="16.5" customHeight="1">
      <c r="A144" s="7" t="s">
        <v>137</v>
      </c>
      <c r="B144" s="13" t="s">
        <v>115</v>
      </c>
      <c r="C144" s="14">
        <f t="shared" si="21"/>
        <v>-18538.66</v>
      </c>
      <c r="D144" s="14" t="str">
        <f t="shared" si="22"/>
        <v>证券投资部</v>
      </c>
      <c r="E144" s="14">
        <f t="shared" si="24"/>
        <v>18538.66</v>
      </c>
      <c r="F144" s="14" t="str">
        <f t="shared" si="23"/>
        <v>固定收益部</v>
      </c>
      <c r="G144" s="8" t="s">
        <v>73</v>
      </c>
      <c r="H144" s="15"/>
      <c r="I144" s="15"/>
    </row>
    <row r="145" spans="1:9" ht="16.5" customHeight="1">
      <c r="A145" s="7" t="s">
        <v>138</v>
      </c>
      <c r="B145" s="13" t="s">
        <v>115</v>
      </c>
      <c r="C145" s="14">
        <f t="shared" si="21"/>
        <v>2001.41</v>
      </c>
      <c r="D145" s="14" t="str">
        <f t="shared" si="22"/>
        <v>证券投资部</v>
      </c>
      <c r="E145" s="14">
        <f t="shared" si="24"/>
        <v>-2001.41</v>
      </c>
      <c r="F145" s="14" t="str">
        <f t="shared" si="23"/>
        <v>固定收益部</v>
      </c>
      <c r="G145" s="8" t="s">
        <v>73</v>
      </c>
      <c r="H145" s="15"/>
      <c r="I145" s="15"/>
    </row>
    <row r="146" spans="1:9" ht="16.5" customHeight="1">
      <c r="A146" s="7" t="s">
        <v>139</v>
      </c>
      <c r="B146" s="13" t="s">
        <v>115</v>
      </c>
      <c r="C146" s="14">
        <f t="shared" si="21"/>
        <v>-2895.52</v>
      </c>
      <c r="D146" s="14" t="str">
        <f t="shared" si="22"/>
        <v>证券投资部</v>
      </c>
      <c r="E146" s="14">
        <f t="shared" si="24"/>
        <v>2895.52</v>
      </c>
      <c r="F146" s="14" t="str">
        <f t="shared" si="23"/>
        <v>总部中后台</v>
      </c>
      <c r="G146" s="8" t="s">
        <v>73</v>
      </c>
      <c r="H146" s="15"/>
      <c r="I146" s="15"/>
    </row>
    <row r="147" spans="1:9" ht="16.5" customHeight="1">
      <c r="A147" s="7" t="s">
        <v>140</v>
      </c>
      <c r="B147" s="13" t="s">
        <v>115</v>
      </c>
      <c r="C147" s="14">
        <f t="shared" si="21"/>
        <v>0</v>
      </c>
      <c r="D147" s="14" t="str">
        <f t="shared" si="22"/>
        <v>中小企业融资部</v>
      </c>
      <c r="E147" s="14">
        <f t="shared" si="24"/>
        <v>0</v>
      </c>
      <c r="F147" s="14" t="s">
        <v>206</v>
      </c>
      <c r="G147" s="8" t="s">
        <v>73</v>
      </c>
      <c r="H147" s="15"/>
      <c r="I147" s="15"/>
    </row>
    <row r="148" spans="1:9" ht="16.5" customHeight="1">
      <c r="A148" s="7" t="s">
        <v>141</v>
      </c>
      <c r="B148" s="13" t="s">
        <v>115</v>
      </c>
      <c r="C148" s="14">
        <f t="shared" si="21"/>
        <v>-15412.36</v>
      </c>
      <c r="D148" s="14" t="str">
        <f t="shared" si="22"/>
        <v>中小企业融资部</v>
      </c>
      <c r="E148" s="14">
        <f t="shared" si="24"/>
        <v>15412.36</v>
      </c>
      <c r="F148" s="14" t="str">
        <f t="shared" ref="F148:F181" si="25">F61</f>
        <v>综合业务部</v>
      </c>
      <c r="G148" s="8" t="s">
        <v>73</v>
      </c>
      <c r="H148" s="15"/>
      <c r="I148" s="15"/>
    </row>
    <row r="149" spans="1:9" ht="16.5" customHeight="1">
      <c r="A149" s="7" t="s">
        <v>142</v>
      </c>
      <c r="B149" s="13" t="s">
        <v>115</v>
      </c>
      <c r="C149" s="14">
        <f t="shared" si="21"/>
        <v>-30556.34</v>
      </c>
      <c r="D149" s="14" t="str">
        <f t="shared" si="22"/>
        <v>固定收益部</v>
      </c>
      <c r="E149" s="14">
        <f t="shared" si="24"/>
        <v>30556.34</v>
      </c>
      <c r="F149" s="14" t="str">
        <f t="shared" si="25"/>
        <v>其他</v>
      </c>
      <c r="G149" s="8" t="s">
        <v>73</v>
      </c>
      <c r="H149" s="15"/>
      <c r="I149" s="15"/>
    </row>
    <row r="150" spans="1:9" ht="16.5" customHeight="1">
      <c r="A150" s="7" t="s">
        <v>143</v>
      </c>
      <c r="B150" s="13" t="s">
        <v>115</v>
      </c>
      <c r="C150" s="14">
        <f t="shared" si="21"/>
        <v>-66582.66</v>
      </c>
      <c r="D150" s="14" t="str">
        <f t="shared" si="22"/>
        <v>固定收益部</v>
      </c>
      <c r="E150" s="14">
        <f t="shared" si="24"/>
        <v>66582.66</v>
      </c>
      <c r="F150" s="14" t="str">
        <f t="shared" si="25"/>
        <v>总部中后台</v>
      </c>
      <c r="G150" s="8" t="s">
        <v>73</v>
      </c>
      <c r="H150" s="15"/>
      <c r="I150" s="15"/>
    </row>
    <row r="151" spans="1:9" ht="16.5" customHeight="1">
      <c r="A151" s="7" t="s">
        <v>144</v>
      </c>
      <c r="B151" s="13" t="s">
        <v>115</v>
      </c>
      <c r="C151" s="14">
        <f t="shared" si="21"/>
        <v>5720.9</v>
      </c>
      <c r="D151" s="14" t="str">
        <f t="shared" si="22"/>
        <v>固定收益部</v>
      </c>
      <c r="E151" s="14">
        <f t="shared" si="24"/>
        <v>-5720.9</v>
      </c>
      <c r="F151" s="14" t="str">
        <f t="shared" si="25"/>
        <v>其他</v>
      </c>
      <c r="G151" s="8" t="s">
        <v>73</v>
      </c>
      <c r="H151" s="15"/>
      <c r="I151" s="15"/>
    </row>
    <row r="152" spans="1:9" ht="16.5" customHeight="1">
      <c r="A152" s="7" t="s">
        <v>145</v>
      </c>
      <c r="B152" s="13" t="s">
        <v>115</v>
      </c>
      <c r="C152" s="154">
        <v>6609</v>
      </c>
      <c r="D152" s="14" t="str">
        <f t="shared" si="22"/>
        <v>经纪业务部</v>
      </c>
      <c r="E152" s="14">
        <f t="shared" ref="E152:E158" si="26">-C152</f>
        <v>-6609</v>
      </c>
      <c r="F152" s="14" t="str">
        <f t="shared" si="25"/>
        <v>其他</v>
      </c>
      <c r="G152" s="8" t="s">
        <v>73</v>
      </c>
      <c r="H152" s="15" t="s">
        <v>219</v>
      </c>
      <c r="I152" s="15"/>
    </row>
    <row r="153" spans="1:9" ht="16.5" customHeight="1">
      <c r="A153" s="7" t="s">
        <v>146</v>
      </c>
      <c r="B153" s="13" t="s">
        <v>115</v>
      </c>
      <c r="C153" s="14">
        <f t="shared" ref="C153:C160" si="27">ROUND(C66*0.015,2)</f>
        <v>252478.03</v>
      </c>
      <c r="D153" s="14" t="str">
        <f t="shared" si="22"/>
        <v>经纪业务部</v>
      </c>
      <c r="E153" s="14">
        <f t="shared" si="26"/>
        <v>-252478.03</v>
      </c>
      <c r="F153" s="14" t="str">
        <f t="shared" si="25"/>
        <v>总部中后台</v>
      </c>
      <c r="G153" s="8" t="s">
        <v>73</v>
      </c>
      <c r="H153" s="15"/>
      <c r="I153" s="15"/>
    </row>
    <row r="154" spans="1:9" ht="16.5" customHeight="1">
      <c r="A154" s="7" t="s">
        <v>192</v>
      </c>
      <c r="B154" s="13" t="s">
        <v>115</v>
      </c>
      <c r="C154" s="14">
        <f t="shared" si="27"/>
        <v>14450</v>
      </c>
      <c r="D154" s="14" t="str">
        <f t="shared" si="22"/>
        <v>投资银行总部</v>
      </c>
      <c r="E154" s="14">
        <f t="shared" si="26"/>
        <v>-14450</v>
      </c>
      <c r="F154" s="14" t="str">
        <f t="shared" si="25"/>
        <v>总部中后台</v>
      </c>
      <c r="G154" s="8" t="s">
        <v>73</v>
      </c>
      <c r="H154" s="15"/>
      <c r="I154" s="15"/>
    </row>
    <row r="155" spans="1:9" ht="16.5" customHeight="1">
      <c r="A155" s="7" t="s">
        <v>193</v>
      </c>
      <c r="B155" s="13" t="s">
        <v>115</v>
      </c>
      <c r="C155" s="14">
        <f t="shared" si="27"/>
        <v>83.33</v>
      </c>
      <c r="D155" s="14" t="str">
        <f t="shared" si="22"/>
        <v>投资银行总部</v>
      </c>
      <c r="E155" s="14">
        <f t="shared" si="26"/>
        <v>-83.33</v>
      </c>
      <c r="F155" s="14" t="str">
        <f t="shared" si="25"/>
        <v>总部中后台</v>
      </c>
      <c r="G155" s="8" t="s">
        <v>73</v>
      </c>
      <c r="H155" s="15"/>
      <c r="I155" s="15"/>
    </row>
    <row r="156" spans="1:9" ht="16.5" customHeight="1">
      <c r="A156" s="7" t="s">
        <v>194</v>
      </c>
      <c r="B156" s="13" t="s">
        <v>115</v>
      </c>
      <c r="C156" s="14">
        <f t="shared" si="27"/>
        <v>89338</v>
      </c>
      <c r="D156" s="14" t="str">
        <f t="shared" si="22"/>
        <v>资产管理部</v>
      </c>
      <c r="E156" s="14">
        <f t="shared" si="26"/>
        <v>-89338</v>
      </c>
      <c r="F156" s="14" t="str">
        <f t="shared" si="25"/>
        <v>其他</v>
      </c>
      <c r="G156" s="8" t="s">
        <v>73</v>
      </c>
      <c r="H156" s="15"/>
      <c r="I156" s="15"/>
    </row>
    <row r="157" spans="1:9" ht="16.5" customHeight="1">
      <c r="A157" s="7" t="s">
        <v>195</v>
      </c>
      <c r="B157" s="13" t="s">
        <v>115</v>
      </c>
      <c r="C157" s="14">
        <f t="shared" si="27"/>
        <v>-13425.77</v>
      </c>
      <c r="D157" s="14" t="str">
        <f t="shared" si="22"/>
        <v>金融工程部</v>
      </c>
      <c r="E157" s="14">
        <f t="shared" si="26"/>
        <v>13425.77</v>
      </c>
      <c r="F157" s="14" t="str">
        <f t="shared" si="25"/>
        <v>总部中后台</v>
      </c>
      <c r="G157" s="8" t="s">
        <v>73</v>
      </c>
      <c r="H157" s="15"/>
      <c r="I157" s="15"/>
    </row>
    <row r="158" spans="1:9" ht="16.5" customHeight="1">
      <c r="A158" s="7" t="s">
        <v>196</v>
      </c>
      <c r="B158" s="13" t="s">
        <v>115</v>
      </c>
      <c r="C158" s="14">
        <f t="shared" si="27"/>
        <v>-4134.3100000000004</v>
      </c>
      <c r="D158" s="14" t="str">
        <f t="shared" si="22"/>
        <v>证券投资部</v>
      </c>
      <c r="E158" s="14">
        <f t="shared" si="26"/>
        <v>4134.3100000000004</v>
      </c>
      <c r="F158" s="14" t="str">
        <f t="shared" si="25"/>
        <v>金融工程部</v>
      </c>
      <c r="G158" s="8" t="s">
        <v>73</v>
      </c>
      <c r="H158" s="15"/>
      <c r="I158" s="15"/>
    </row>
    <row r="159" spans="1:9" ht="16.5" customHeight="1">
      <c r="A159" s="7" t="s">
        <v>197</v>
      </c>
      <c r="B159" s="13" t="s">
        <v>221</v>
      </c>
      <c r="C159" s="14">
        <f t="shared" si="27"/>
        <v>-23.33</v>
      </c>
      <c r="D159" s="14" t="str">
        <f t="shared" si="22"/>
        <v>金融工程部</v>
      </c>
      <c r="E159" s="14">
        <f t="shared" ref="E159:E164" si="28">-C159</f>
        <v>23.33</v>
      </c>
      <c r="F159" s="14" t="str">
        <f t="shared" si="25"/>
        <v>总部中后台</v>
      </c>
      <c r="G159" s="8" t="s">
        <v>73</v>
      </c>
      <c r="H159" s="166"/>
      <c r="I159" s="166"/>
    </row>
    <row r="160" spans="1:9" ht="16.5" customHeight="1">
      <c r="A160" s="7" t="s">
        <v>198</v>
      </c>
      <c r="B160" s="13" t="s">
        <v>115</v>
      </c>
      <c r="C160" s="14">
        <f t="shared" si="27"/>
        <v>-5141.22</v>
      </c>
      <c r="D160" s="14" t="str">
        <f t="shared" si="22"/>
        <v>金融衍生品投资部</v>
      </c>
      <c r="E160" s="14">
        <f t="shared" si="28"/>
        <v>5141.22</v>
      </c>
      <c r="F160" s="14" t="str">
        <f t="shared" si="25"/>
        <v>总部中后台</v>
      </c>
      <c r="G160" s="8" t="s">
        <v>73</v>
      </c>
      <c r="H160" s="166"/>
      <c r="I160" s="166"/>
    </row>
    <row r="161" spans="1:9" ht="16.5" customHeight="1">
      <c r="A161" s="7" t="s">
        <v>199</v>
      </c>
      <c r="B161" s="13" t="s">
        <v>115</v>
      </c>
      <c r="C161" s="14"/>
      <c r="D161" s="14" t="str">
        <f t="shared" si="22"/>
        <v>经纪业务部</v>
      </c>
      <c r="E161" s="14">
        <f t="shared" si="28"/>
        <v>0</v>
      </c>
      <c r="F161" s="14" t="str">
        <f t="shared" si="25"/>
        <v>其他</v>
      </c>
      <c r="G161" s="8" t="s">
        <v>73</v>
      </c>
      <c r="H161" s="166"/>
      <c r="I161" s="166"/>
    </row>
    <row r="162" spans="1:9" ht="16.5" customHeight="1">
      <c r="A162" s="7" t="s">
        <v>236</v>
      </c>
      <c r="B162" s="13" t="s">
        <v>115</v>
      </c>
      <c r="C162" s="14"/>
      <c r="D162" s="14" t="str">
        <f t="shared" si="22"/>
        <v>经纪业务部</v>
      </c>
      <c r="E162" s="14">
        <f t="shared" si="28"/>
        <v>0</v>
      </c>
      <c r="F162" s="14" t="str">
        <f t="shared" si="25"/>
        <v>其他</v>
      </c>
      <c r="G162" s="8" t="s">
        <v>73</v>
      </c>
      <c r="H162" s="166"/>
      <c r="I162" s="166"/>
    </row>
    <row r="163" spans="1:9" ht="16.5" customHeight="1">
      <c r="A163" s="7" t="s">
        <v>360</v>
      </c>
      <c r="B163" s="13" t="s">
        <v>115</v>
      </c>
      <c r="C163" s="14">
        <f t="shared" ref="C163:C176" si="29">ROUND(C76*0.015,2)</f>
        <v>-2389.5300000000002</v>
      </c>
      <c r="D163" s="14" t="str">
        <f t="shared" si="22"/>
        <v>资产管理部</v>
      </c>
      <c r="E163" s="14">
        <f t="shared" si="28"/>
        <v>2389.5300000000002</v>
      </c>
      <c r="F163" s="14" t="str">
        <f t="shared" si="25"/>
        <v>经纪业务部</v>
      </c>
      <c r="G163" s="8" t="s">
        <v>73</v>
      </c>
      <c r="H163" s="166"/>
      <c r="I163" s="166"/>
    </row>
    <row r="164" spans="1:9" ht="16.5" customHeight="1">
      <c r="A164" s="7" t="s">
        <v>361</v>
      </c>
      <c r="B164" s="13" t="s">
        <v>221</v>
      </c>
      <c r="C164" s="14">
        <f t="shared" si="29"/>
        <v>-89338</v>
      </c>
      <c r="D164" s="14" t="str">
        <f t="shared" si="22"/>
        <v>资产管理部</v>
      </c>
      <c r="E164" s="14">
        <f t="shared" si="28"/>
        <v>89338</v>
      </c>
      <c r="F164" s="14" t="str">
        <f t="shared" si="25"/>
        <v>其他</v>
      </c>
      <c r="G164" s="8" t="s">
        <v>73</v>
      </c>
      <c r="H164" s="166"/>
      <c r="I164" s="166"/>
    </row>
    <row r="165" spans="1:9" ht="16.5" customHeight="1">
      <c r="A165" s="7" t="s">
        <v>362</v>
      </c>
      <c r="B165" s="13" t="s">
        <v>115</v>
      </c>
      <c r="C165" s="14">
        <f t="shared" si="29"/>
        <v>-16867.919999999998</v>
      </c>
      <c r="D165" s="14" t="str">
        <f t="shared" si="22"/>
        <v>债券融资部</v>
      </c>
      <c r="E165" s="14">
        <f t="shared" ref="E165:E167" si="30">-C165</f>
        <v>16867.919999999998</v>
      </c>
      <c r="F165" s="14" t="str">
        <f t="shared" si="25"/>
        <v>投资银行总部</v>
      </c>
      <c r="G165" s="8" t="s">
        <v>73</v>
      </c>
      <c r="H165" s="166"/>
      <c r="I165" s="166"/>
    </row>
    <row r="166" spans="1:9" ht="16.5" customHeight="1">
      <c r="A166" s="7" t="s">
        <v>367</v>
      </c>
      <c r="B166" s="13" t="s">
        <v>115</v>
      </c>
      <c r="C166" s="14">
        <f t="shared" si="29"/>
        <v>-12515.09</v>
      </c>
      <c r="D166" s="14" t="str">
        <f t="shared" si="22"/>
        <v>股权融资部</v>
      </c>
      <c r="E166" s="14">
        <f t="shared" si="30"/>
        <v>12515.09</v>
      </c>
      <c r="F166" s="14" t="str">
        <f t="shared" si="25"/>
        <v>投资银行总部</v>
      </c>
      <c r="G166" s="8" t="s">
        <v>73</v>
      </c>
      <c r="H166" s="166"/>
      <c r="I166" s="166"/>
    </row>
    <row r="167" spans="1:9" ht="16.5" customHeight="1">
      <c r="A167" s="7" t="s">
        <v>370</v>
      </c>
      <c r="B167" s="13" t="s">
        <v>115</v>
      </c>
      <c r="C167" s="14">
        <f t="shared" si="29"/>
        <v>-7725.53</v>
      </c>
      <c r="D167" s="14" t="str">
        <f t="shared" si="22"/>
        <v>资产管理部</v>
      </c>
      <c r="E167" s="14">
        <f t="shared" si="30"/>
        <v>7725.53</v>
      </c>
      <c r="F167" s="14" t="str">
        <f t="shared" si="25"/>
        <v>经纪业务部</v>
      </c>
      <c r="G167" s="8" t="s">
        <v>73</v>
      </c>
      <c r="H167" s="15"/>
      <c r="I167" s="15"/>
    </row>
    <row r="168" spans="1:9" ht="16.5" customHeight="1">
      <c r="A168" s="7" t="s">
        <v>383</v>
      </c>
      <c r="B168" s="13" t="s">
        <v>115</v>
      </c>
      <c r="C168" s="14">
        <f t="shared" si="29"/>
        <v>1594.13</v>
      </c>
      <c r="D168" s="14" t="str">
        <f t="shared" si="22"/>
        <v>证券投资部</v>
      </c>
      <c r="E168" s="14">
        <f t="shared" ref="E168:E169" si="31">-C168</f>
        <v>-1594.13</v>
      </c>
      <c r="F168" s="14" t="str">
        <f t="shared" si="25"/>
        <v>中小企业融资部</v>
      </c>
      <c r="G168" s="8" t="s">
        <v>73</v>
      </c>
      <c r="H168" s="166"/>
      <c r="I168" s="166"/>
    </row>
    <row r="169" spans="1:9" ht="16.5" customHeight="1">
      <c r="A169" s="7" t="s">
        <v>385</v>
      </c>
      <c r="B169" s="13" t="s">
        <v>115</v>
      </c>
      <c r="C169" s="14">
        <f t="shared" si="29"/>
        <v>763.68</v>
      </c>
      <c r="D169" s="14" t="str">
        <f t="shared" si="22"/>
        <v>证券投资部</v>
      </c>
      <c r="E169" s="14">
        <f t="shared" si="31"/>
        <v>-763.68</v>
      </c>
      <c r="F169" s="14" t="str">
        <f t="shared" si="25"/>
        <v>中小企业融资部</v>
      </c>
      <c r="G169" s="8" t="s">
        <v>73</v>
      </c>
      <c r="H169" s="166"/>
      <c r="I169" s="166"/>
    </row>
    <row r="170" spans="1:9" ht="16.5" customHeight="1">
      <c r="A170" s="7" t="s">
        <v>388</v>
      </c>
      <c r="B170" s="13" t="s">
        <v>115</v>
      </c>
      <c r="C170" s="14">
        <f t="shared" si="29"/>
        <v>-4026.67</v>
      </c>
      <c r="D170" s="14" t="str">
        <f t="shared" si="22"/>
        <v>金融工程部</v>
      </c>
      <c r="E170" s="14">
        <f t="shared" ref="E170:E171" si="32">-C170</f>
        <v>4026.67</v>
      </c>
      <c r="F170" s="14" t="str">
        <f t="shared" si="25"/>
        <v>总部中后台</v>
      </c>
      <c r="G170" s="8" t="s">
        <v>73</v>
      </c>
      <c r="H170" s="166"/>
      <c r="I170" s="166"/>
    </row>
    <row r="171" spans="1:9" ht="16.5" customHeight="1">
      <c r="A171" s="7" t="s">
        <v>398</v>
      </c>
      <c r="B171" s="13" t="s">
        <v>115</v>
      </c>
      <c r="C171" s="14">
        <f t="shared" si="29"/>
        <v>-29639.279999999999</v>
      </c>
      <c r="D171" s="14" t="str">
        <f t="shared" si="22"/>
        <v>证券投资部</v>
      </c>
      <c r="E171" s="14">
        <f t="shared" si="32"/>
        <v>29639.279999999999</v>
      </c>
      <c r="F171" s="14" t="str">
        <f t="shared" si="25"/>
        <v>股权融资部</v>
      </c>
      <c r="G171" s="8" t="s">
        <v>73</v>
      </c>
      <c r="H171" s="166"/>
      <c r="I171" s="166"/>
    </row>
    <row r="172" spans="1:9" ht="16.5" customHeight="1">
      <c r="A172" s="7" t="s">
        <v>399</v>
      </c>
      <c r="B172" s="13" t="s">
        <v>115</v>
      </c>
      <c r="C172" s="14">
        <f t="shared" si="29"/>
        <v>9315</v>
      </c>
      <c r="D172" s="14" t="str">
        <f t="shared" si="22"/>
        <v>中小企业融资部</v>
      </c>
      <c r="E172" s="14">
        <f t="shared" ref="E172:E176" si="33">-C172</f>
        <v>-9315</v>
      </c>
      <c r="F172" s="14" t="str">
        <f t="shared" si="25"/>
        <v>其他</v>
      </c>
      <c r="G172" s="8" t="s">
        <v>73</v>
      </c>
      <c r="H172" s="166"/>
      <c r="I172" s="166"/>
    </row>
    <row r="173" spans="1:9" ht="16.5" customHeight="1">
      <c r="A173" s="7" t="s">
        <v>400</v>
      </c>
      <c r="B173" s="13" t="s">
        <v>115</v>
      </c>
      <c r="C173" s="14">
        <f t="shared" si="29"/>
        <v>9562.5</v>
      </c>
      <c r="D173" s="14" t="str">
        <f t="shared" si="22"/>
        <v>证券投资部</v>
      </c>
      <c r="E173" s="14">
        <f t="shared" si="33"/>
        <v>-9562.5</v>
      </c>
      <c r="F173" s="14" t="str">
        <f t="shared" si="25"/>
        <v>固定收益部</v>
      </c>
      <c r="G173" s="8" t="s">
        <v>73</v>
      </c>
      <c r="H173" s="166"/>
      <c r="I173" s="166"/>
    </row>
    <row r="174" spans="1:9" ht="16.5" customHeight="1">
      <c r="A174" s="7" t="s">
        <v>401</v>
      </c>
      <c r="B174" s="13" t="s">
        <v>115</v>
      </c>
      <c r="C174" s="14">
        <f t="shared" si="29"/>
        <v>-15600</v>
      </c>
      <c r="D174" s="14" t="str">
        <f t="shared" si="22"/>
        <v>证券投资部</v>
      </c>
      <c r="E174" s="14">
        <f t="shared" si="33"/>
        <v>15600</v>
      </c>
      <c r="F174" s="14" t="str">
        <f t="shared" si="25"/>
        <v>证券投资部</v>
      </c>
      <c r="G174" s="8" t="s">
        <v>73</v>
      </c>
      <c r="H174" s="166"/>
      <c r="I174" s="166"/>
    </row>
    <row r="175" spans="1:9" ht="16.5" customHeight="1">
      <c r="A175" s="7" t="s">
        <v>403</v>
      </c>
      <c r="B175" s="13" t="s">
        <v>115</v>
      </c>
      <c r="C175" s="14">
        <f t="shared" si="29"/>
        <v>-36010.19</v>
      </c>
      <c r="D175" s="14" t="str">
        <f t="shared" si="22"/>
        <v>金融工程部</v>
      </c>
      <c r="E175" s="14">
        <f t="shared" si="33"/>
        <v>36010.19</v>
      </c>
      <c r="F175" s="14" t="str">
        <f t="shared" si="25"/>
        <v>经纪业务部</v>
      </c>
      <c r="G175" s="8" t="s">
        <v>73</v>
      </c>
      <c r="H175" s="166"/>
      <c r="I175" s="166"/>
    </row>
    <row r="176" spans="1:9" ht="16.5" customHeight="1">
      <c r="A176" s="7" t="s">
        <v>406</v>
      </c>
      <c r="B176" s="13" t="s">
        <v>115</v>
      </c>
      <c r="C176" s="14">
        <f t="shared" si="29"/>
        <v>12550.16</v>
      </c>
      <c r="D176" s="14" t="str">
        <f t="shared" si="22"/>
        <v>金融工程部</v>
      </c>
      <c r="E176" s="14">
        <f t="shared" si="33"/>
        <v>-12550.16</v>
      </c>
      <c r="F176" s="14" t="str">
        <f t="shared" si="25"/>
        <v>经纪业务部</v>
      </c>
      <c r="G176" s="8" t="s">
        <v>73</v>
      </c>
      <c r="H176" s="166"/>
      <c r="I176" s="166"/>
    </row>
    <row r="177" spans="1:9" ht="16.5" customHeight="1">
      <c r="A177" s="7" t="s">
        <v>410</v>
      </c>
      <c r="B177" s="13" t="s">
        <v>115</v>
      </c>
      <c r="C177" s="14"/>
      <c r="D177" s="14" t="str">
        <f t="shared" si="22"/>
        <v>综合业务部</v>
      </c>
      <c r="E177" s="14">
        <f t="shared" ref="E177:E180" si="34">-C177</f>
        <v>0</v>
      </c>
      <c r="F177" s="14" t="str">
        <f t="shared" si="25"/>
        <v>其他</v>
      </c>
      <c r="G177" s="8" t="s">
        <v>73</v>
      </c>
      <c r="H177" s="166"/>
      <c r="I177" s="166"/>
    </row>
    <row r="178" spans="1:9" ht="16.5" customHeight="1">
      <c r="A178" s="7" t="s">
        <v>437</v>
      </c>
      <c r="B178" s="13" t="s">
        <v>115</v>
      </c>
      <c r="C178" s="14">
        <f>ROUND(C91*0.015,2)</f>
        <v>-329.78</v>
      </c>
      <c r="D178" s="14" t="str">
        <f t="shared" si="22"/>
        <v>资产管理部</v>
      </c>
      <c r="E178" s="14">
        <f t="shared" si="34"/>
        <v>329.78</v>
      </c>
      <c r="F178" s="14" t="str">
        <f t="shared" si="25"/>
        <v>经纪业务部</v>
      </c>
      <c r="G178" s="8" t="s">
        <v>73</v>
      </c>
      <c r="H178" s="166"/>
      <c r="I178" s="166"/>
    </row>
    <row r="179" spans="1:9" ht="16.5" customHeight="1">
      <c r="A179" s="7" t="s">
        <v>411</v>
      </c>
      <c r="B179" s="13" t="s">
        <v>115</v>
      </c>
      <c r="C179" s="14">
        <f>ROUND(C92*0.015,2)</f>
        <v>-1415.09</v>
      </c>
      <c r="D179" s="14" t="str">
        <f t="shared" si="22"/>
        <v>资产管理部</v>
      </c>
      <c r="E179" s="14">
        <f t="shared" si="34"/>
        <v>1415.09</v>
      </c>
      <c r="F179" s="14" t="str">
        <f t="shared" si="25"/>
        <v>经纪业务部</v>
      </c>
      <c r="G179" s="8" t="s">
        <v>73</v>
      </c>
      <c r="H179" s="166"/>
      <c r="I179" s="166"/>
    </row>
    <row r="180" spans="1:9" ht="16.5" customHeight="1">
      <c r="A180" s="7" t="s">
        <v>412</v>
      </c>
      <c r="B180" s="13" t="s">
        <v>115</v>
      </c>
      <c r="C180" s="14">
        <f>ROUND(C93*0.015,2)</f>
        <v>-395.61</v>
      </c>
      <c r="D180" s="14" t="str">
        <f t="shared" si="22"/>
        <v>资产管理部</v>
      </c>
      <c r="E180" s="14">
        <f t="shared" si="34"/>
        <v>395.61</v>
      </c>
      <c r="F180" s="14" t="str">
        <f t="shared" si="25"/>
        <v>经纪业务部</v>
      </c>
      <c r="G180" s="8" t="s">
        <v>73</v>
      </c>
      <c r="H180" s="166"/>
      <c r="I180" s="166"/>
    </row>
    <row r="181" spans="1:9" ht="16.5" customHeight="1">
      <c r="A181" s="7" t="s">
        <v>413</v>
      </c>
      <c r="B181" s="13" t="s">
        <v>115</v>
      </c>
      <c r="C181" s="14">
        <f>ROUND(C94*0.015,2)</f>
        <v>1596.08</v>
      </c>
      <c r="D181" s="14" t="str">
        <f t="shared" si="22"/>
        <v>资产管理部</v>
      </c>
      <c r="E181" s="14">
        <f t="shared" ref="E181" si="35">-C181</f>
        <v>-1596.08</v>
      </c>
      <c r="F181" s="14" t="str">
        <f t="shared" si="25"/>
        <v>其他</v>
      </c>
      <c r="G181" s="8" t="s">
        <v>73</v>
      </c>
      <c r="H181" s="166"/>
      <c r="I181" s="166"/>
    </row>
    <row r="182" spans="1:9" ht="16.5" customHeight="1">
      <c r="A182" s="201"/>
      <c r="B182" s="201"/>
      <c r="C182" s="204"/>
      <c r="D182" s="204"/>
      <c r="E182" s="204"/>
      <c r="F182" s="206"/>
      <c r="G182" s="201"/>
      <c r="H182" s="206"/>
      <c r="I182" s="206"/>
    </row>
    <row r="183" spans="1:9" ht="16.5" customHeight="1">
      <c r="A183" s="7" t="s">
        <v>132</v>
      </c>
      <c r="B183" s="7" t="s">
        <v>115</v>
      </c>
      <c r="C183" s="293">
        <f>-32580</f>
        <v>-32580</v>
      </c>
      <c r="D183" s="8" t="s">
        <v>15</v>
      </c>
      <c r="E183" s="14">
        <f t="shared" si="24"/>
        <v>32580</v>
      </c>
      <c r="F183" s="8" t="s">
        <v>6</v>
      </c>
      <c r="G183" s="8" t="s">
        <v>76</v>
      </c>
      <c r="H183" s="15" t="s">
        <v>201</v>
      </c>
      <c r="I183" s="15"/>
    </row>
    <row r="184" spans="1:9" ht="16.5" customHeight="1">
      <c r="A184" s="7" t="s">
        <v>133</v>
      </c>
      <c r="B184" s="7" t="s">
        <v>115</v>
      </c>
      <c r="C184" s="14">
        <v>-59280</v>
      </c>
      <c r="D184" s="8" t="s">
        <v>24</v>
      </c>
      <c r="E184" s="14">
        <f t="shared" si="24"/>
        <v>59280</v>
      </c>
      <c r="F184" s="8" t="s">
        <v>6</v>
      </c>
      <c r="G184" s="8" t="s">
        <v>76</v>
      </c>
      <c r="H184" s="15" t="s">
        <v>201</v>
      </c>
      <c r="I184" s="15"/>
    </row>
    <row r="185" spans="1:9" ht="16.5" customHeight="1">
      <c r="A185" s="7" t="s">
        <v>134</v>
      </c>
      <c r="B185" s="7" t="s">
        <v>115</v>
      </c>
      <c r="C185" s="293">
        <f>-44604-33600+2800</f>
        <v>-75404</v>
      </c>
      <c r="D185" s="8" t="s">
        <v>22</v>
      </c>
      <c r="E185" s="14">
        <f t="shared" si="24"/>
        <v>75404</v>
      </c>
      <c r="F185" s="8" t="s">
        <v>6</v>
      </c>
      <c r="G185" s="8" t="s">
        <v>76</v>
      </c>
      <c r="H185" s="15" t="s">
        <v>201</v>
      </c>
      <c r="I185" s="15"/>
    </row>
    <row r="186" spans="1:9" ht="16.5" customHeight="1">
      <c r="A186" s="7" t="s">
        <v>135</v>
      </c>
      <c r="B186" s="7" t="s">
        <v>115</v>
      </c>
      <c r="C186" s="315">
        <v>0</v>
      </c>
      <c r="D186" s="8" t="s">
        <v>16</v>
      </c>
      <c r="E186" s="14">
        <f t="shared" si="24"/>
        <v>0</v>
      </c>
      <c r="F186" s="8" t="s">
        <v>20</v>
      </c>
      <c r="G186" s="145" t="s">
        <v>86</v>
      </c>
      <c r="H186" s="146" t="s">
        <v>371</v>
      </c>
      <c r="I186" s="15"/>
    </row>
    <row r="187" spans="1:9" ht="16.5" customHeight="1">
      <c r="A187" s="7" t="s">
        <v>136</v>
      </c>
      <c r="B187" s="7" t="s">
        <v>115</v>
      </c>
      <c r="C187" s="315">
        <v>0</v>
      </c>
      <c r="D187" s="8" t="s">
        <v>16</v>
      </c>
      <c r="E187" s="14">
        <f t="shared" si="24"/>
        <v>0</v>
      </c>
      <c r="F187" s="8" t="s">
        <v>20</v>
      </c>
      <c r="G187" s="145" t="s">
        <v>60</v>
      </c>
      <c r="H187" s="146" t="s">
        <v>392</v>
      </c>
      <c r="I187" s="15"/>
    </row>
    <row r="188" spans="1:9" ht="16.5" customHeight="1">
      <c r="A188" s="7" t="s">
        <v>137</v>
      </c>
      <c r="B188" s="7" t="s">
        <v>115</v>
      </c>
      <c r="C188" s="291">
        <v>-204746</v>
      </c>
      <c r="D188" s="8" t="s">
        <v>16</v>
      </c>
      <c r="E188" s="14">
        <f t="shared" si="24"/>
        <v>204746</v>
      </c>
      <c r="F188" s="8" t="s">
        <v>23</v>
      </c>
      <c r="G188" s="145" t="s">
        <v>242</v>
      </c>
      <c r="H188" s="146" t="s">
        <v>391</v>
      </c>
      <c r="I188" s="15"/>
    </row>
    <row r="189" spans="1:9" ht="16.5" customHeight="1">
      <c r="A189" s="263" t="s">
        <v>138</v>
      </c>
      <c r="B189" s="263" t="s">
        <v>115</v>
      </c>
      <c r="C189" s="315">
        <v>0</v>
      </c>
      <c r="D189" s="145" t="s">
        <v>16</v>
      </c>
      <c r="E189" s="146">
        <f t="shared" si="24"/>
        <v>0</v>
      </c>
      <c r="F189" s="145" t="s">
        <v>20</v>
      </c>
      <c r="G189" s="145" t="s">
        <v>97</v>
      </c>
      <c r="H189" s="146" t="s">
        <v>379</v>
      </c>
      <c r="I189" s="166"/>
    </row>
    <row r="190" spans="1:9" ht="16.5" customHeight="1">
      <c r="A190" s="7" t="s">
        <v>139</v>
      </c>
      <c r="B190" s="263" t="s">
        <v>115</v>
      </c>
      <c r="C190" s="315">
        <v>0</v>
      </c>
      <c r="D190" s="145" t="s">
        <v>16</v>
      </c>
      <c r="E190" s="146">
        <f t="shared" si="24"/>
        <v>0</v>
      </c>
      <c r="F190" s="145" t="s">
        <v>20</v>
      </c>
      <c r="G190" s="145" t="s">
        <v>83</v>
      </c>
      <c r="H190" s="146" t="s">
        <v>380</v>
      </c>
      <c r="I190" s="166"/>
    </row>
    <row r="191" spans="1:9" ht="16.5" customHeight="1">
      <c r="A191" s="7" t="s">
        <v>140</v>
      </c>
      <c r="B191" s="7" t="s">
        <v>115</v>
      </c>
      <c r="C191" s="293">
        <v>78000</v>
      </c>
      <c r="D191" s="8" t="s">
        <v>15</v>
      </c>
      <c r="E191" s="14">
        <f t="shared" si="24"/>
        <v>-78000</v>
      </c>
      <c r="F191" s="8" t="s">
        <v>5</v>
      </c>
      <c r="G191" s="8" t="s">
        <v>242</v>
      </c>
      <c r="H191" s="14" t="s">
        <v>189</v>
      </c>
      <c r="I191" s="15"/>
    </row>
    <row r="192" spans="1:9" ht="16.5" customHeight="1">
      <c r="A192" s="263" t="s">
        <v>141</v>
      </c>
      <c r="B192" s="7" t="s">
        <v>115</v>
      </c>
      <c r="C192" s="293">
        <f>-21000-20160+27880+26357</f>
        <v>13077</v>
      </c>
      <c r="D192" s="8" t="s">
        <v>16</v>
      </c>
      <c r="E192" s="14">
        <f t="shared" si="24"/>
        <v>-13077</v>
      </c>
      <c r="F192" s="8" t="s">
        <v>6</v>
      </c>
      <c r="G192" s="8" t="s">
        <v>76</v>
      </c>
      <c r="H192" s="15" t="s">
        <v>201</v>
      </c>
      <c r="I192" s="15"/>
    </row>
    <row r="193" spans="1:9" ht="16.5" customHeight="1">
      <c r="A193" s="7" t="s">
        <v>142</v>
      </c>
      <c r="B193" s="7" t="s">
        <v>115</v>
      </c>
      <c r="C193" s="14">
        <f>10000000/12*8</f>
        <v>6666666.666666667</v>
      </c>
      <c r="D193" s="8" t="s">
        <v>7</v>
      </c>
      <c r="E193" s="14">
        <f t="shared" si="24"/>
        <v>-6666666.666666667</v>
      </c>
      <c r="F193" s="8" t="s">
        <v>5</v>
      </c>
      <c r="G193" s="8" t="s">
        <v>104</v>
      </c>
      <c r="H193" s="14" t="s">
        <v>172</v>
      </c>
      <c r="I193" s="15"/>
    </row>
    <row r="194" spans="1:9" ht="16.5" customHeight="1">
      <c r="A194" s="7" t="s">
        <v>143</v>
      </c>
      <c r="B194" s="7" t="s">
        <v>115</v>
      </c>
      <c r="C194" s="293">
        <f>777940+531845</f>
        <v>1309785</v>
      </c>
      <c r="D194" s="8" t="s">
        <v>19</v>
      </c>
      <c r="E194" s="14">
        <f t="shared" si="24"/>
        <v>-1309785</v>
      </c>
      <c r="F194" s="8" t="s">
        <v>6</v>
      </c>
      <c r="G194" s="8" t="s">
        <v>76</v>
      </c>
      <c r="H194" s="15" t="s">
        <v>201</v>
      </c>
      <c r="I194" s="15"/>
    </row>
    <row r="195" spans="1:9" ht="16.5" customHeight="1">
      <c r="A195" s="263" t="s">
        <v>144</v>
      </c>
      <c r="B195" s="7" t="s">
        <v>115</v>
      </c>
      <c r="C195" s="314">
        <f>-18720+5980+1160</f>
        <v>-11580</v>
      </c>
      <c r="D195" s="14" t="s">
        <v>14</v>
      </c>
      <c r="E195" s="14">
        <f t="shared" si="24"/>
        <v>11580</v>
      </c>
      <c r="F195" s="8" t="s">
        <v>6</v>
      </c>
      <c r="G195" s="8" t="s">
        <v>76</v>
      </c>
      <c r="H195" s="15" t="s">
        <v>201</v>
      </c>
      <c r="I195" s="15"/>
    </row>
    <row r="196" spans="1:9" ht="16.5" customHeight="1">
      <c r="A196" s="7" t="s">
        <v>145</v>
      </c>
      <c r="B196" s="7" t="s">
        <v>115</v>
      </c>
      <c r="C196" s="293">
        <v>77864</v>
      </c>
      <c r="D196" s="14" t="s">
        <v>20</v>
      </c>
      <c r="E196" s="14">
        <f t="shared" si="24"/>
        <v>-77864</v>
      </c>
      <c r="F196" s="8" t="s">
        <v>6</v>
      </c>
      <c r="G196" s="8" t="s">
        <v>76</v>
      </c>
      <c r="H196" s="15" t="s">
        <v>201</v>
      </c>
      <c r="I196" s="15"/>
    </row>
    <row r="197" spans="1:9" ht="16.5" customHeight="1">
      <c r="A197" s="7" t="s">
        <v>146</v>
      </c>
      <c r="B197" s="7" t="s">
        <v>115</v>
      </c>
      <c r="C197" s="146">
        <f>-761132-86710+278007+136132-1257390-C357</f>
        <v>-1293973</v>
      </c>
      <c r="D197" s="8" t="s">
        <v>7</v>
      </c>
      <c r="E197" s="14">
        <f t="shared" si="24"/>
        <v>1293973</v>
      </c>
      <c r="F197" s="8" t="s">
        <v>6</v>
      </c>
      <c r="G197" s="8" t="s">
        <v>76</v>
      </c>
      <c r="H197" s="15" t="s">
        <v>201</v>
      </c>
      <c r="I197" s="15"/>
    </row>
    <row r="198" spans="1:9" ht="16.5" customHeight="1">
      <c r="A198" s="263" t="s">
        <v>192</v>
      </c>
      <c r="B198" s="7" t="s">
        <v>115</v>
      </c>
      <c r="C198" s="14">
        <v>-1046400</v>
      </c>
      <c r="D198" s="8" t="s">
        <v>7</v>
      </c>
      <c r="E198" s="14">
        <f t="shared" si="24"/>
        <v>1046400</v>
      </c>
      <c r="F198" s="8" t="s">
        <v>5</v>
      </c>
      <c r="G198" s="147" t="s">
        <v>84</v>
      </c>
      <c r="H198" s="146" t="s">
        <v>216</v>
      </c>
      <c r="I198" s="15"/>
    </row>
    <row r="199" spans="1:9" ht="16.5" customHeight="1">
      <c r="A199" s="7" t="s">
        <v>193</v>
      </c>
      <c r="B199" s="7" t="s">
        <v>115</v>
      </c>
      <c r="C199" s="14">
        <v>-5710224.2300000004</v>
      </c>
      <c r="D199" s="8" t="s">
        <v>7</v>
      </c>
      <c r="E199" s="14">
        <f t="shared" si="24"/>
        <v>5710224.2300000004</v>
      </c>
      <c r="F199" s="8" t="s">
        <v>5</v>
      </c>
      <c r="G199" s="147" t="s">
        <v>72</v>
      </c>
      <c r="H199" s="146" t="s">
        <v>217</v>
      </c>
      <c r="I199" s="15"/>
    </row>
    <row r="200" spans="1:9" ht="16.5" customHeight="1">
      <c r="A200" s="7" t="s">
        <v>194</v>
      </c>
      <c r="B200" s="7" t="s">
        <v>115</v>
      </c>
      <c r="C200" s="311">
        <f>-30000+33340+22640+8920</f>
        <v>34900</v>
      </c>
      <c r="D200" s="8" t="s">
        <v>11</v>
      </c>
      <c r="E200" s="14">
        <f t="shared" ref="E200:E202" si="36">-C200</f>
        <v>-34900</v>
      </c>
      <c r="F200" s="8" t="s">
        <v>6</v>
      </c>
      <c r="G200" s="8" t="s">
        <v>76</v>
      </c>
      <c r="H200" s="15" t="s">
        <v>201</v>
      </c>
      <c r="I200" s="15"/>
    </row>
    <row r="201" spans="1:9" ht="16.5" customHeight="1">
      <c r="A201" s="263" t="s">
        <v>195</v>
      </c>
      <c r="B201" s="7" t="s">
        <v>115</v>
      </c>
      <c r="C201" s="14">
        <v>-9000</v>
      </c>
      <c r="D201" s="8" t="s">
        <v>8</v>
      </c>
      <c r="E201" s="14">
        <f t="shared" si="36"/>
        <v>9000</v>
      </c>
      <c r="F201" s="8" t="s">
        <v>6</v>
      </c>
      <c r="G201" s="8" t="s">
        <v>90</v>
      </c>
      <c r="H201" s="14" t="s">
        <v>377</v>
      </c>
      <c r="I201" s="15"/>
    </row>
    <row r="202" spans="1:9" ht="16.5" customHeight="1">
      <c r="A202" s="7" t="s">
        <v>196</v>
      </c>
      <c r="B202" s="263" t="s">
        <v>115</v>
      </c>
      <c r="C202" s="146">
        <v>148684</v>
      </c>
      <c r="D202" s="145" t="s">
        <v>8</v>
      </c>
      <c r="E202" s="146">
        <f t="shared" si="36"/>
        <v>-148684</v>
      </c>
      <c r="F202" s="145" t="s">
        <v>6</v>
      </c>
      <c r="G202" s="145" t="s">
        <v>76</v>
      </c>
      <c r="H202" s="166" t="s">
        <v>201</v>
      </c>
      <c r="I202" s="166"/>
    </row>
    <row r="203" spans="1:9" ht="16.5" customHeight="1">
      <c r="A203" s="7" t="s">
        <v>197</v>
      </c>
      <c r="B203" s="16" t="s">
        <v>115</v>
      </c>
      <c r="C203" s="308">
        <f>31436+87816</f>
        <v>119252</v>
      </c>
      <c r="D203" s="18" t="s">
        <v>390</v>
      </c>
      <c r="E203" s="14">
        <f t="shared" si="24"/>
        <v>-119252</v>
      </c>
      <c r="F203" s="8" t="s">
        <v>6</v>
      </c>
      <c r="G203" s="8" t="s">
        <v>76</v>
      </c>
      <c r="H203" s="15" t="s">
        <v>201</v>
      </c>
      <c r="I203" s="24"/>
    </row>
    <row r="204" spans="1:9" ht="16.5" customHeight="1">
      <c r="A204" s="263" t="s">
        <v>198</v>
      </c>
      <c r="B204" s="16" t="s">
        <v>115</v>
      </c>
      <c r="C204" s="312">
        <v>14720</v>
      </c>
      <c r="D204" s="18" t="s">
        <v>12</v>
      </c>
      <c r="E204" s="14">
        <f t="shared" ref="E204" si="37">-C204</f>
        <v>-14720</v>
      </c>
      <c r="F204" s="8" t="s">
        <v>6</v>
      </c>
      <c r="G204" s="8" t="s">
        <v>76</v>
      </c>
      <c r="H204" s="15" t="s">
        <v>201</v>
      </c>
      <c r="I204" s="24"/>
    </row>
    <row r="205" spans="1:9" ht="16.5" customHeight="1">
      <c r="A205" s="7" t="s">
        <v>199</v>
      </c>
      <c r="B205" s="263" t="s">
        <v>115</v>
      </c>
      <c r="C205" s="291">
        <f>14456+6108</f>
        <v>20564</v>
      </c>
      <c r="D205" s="145" t="s">
        <v>275</v>
      </c>
      <c r="E205" s="146">
        <f t="shared" ref="E205:E216" si="38">-C205</f>
        <v>-20564</v>
      </c>
      <c r="F205" s="145" t="s">
        <v>6</v>
      </c>
      <c r="G205" s="145" t="s">
        <v>76</v>
      </c>
      <c r="H205" s="166" t="s">
        <v>201</v>
      </c>
      <c r="I205" s="166"/>
    </row>
    <row r="206" spans="1:9" ht="16.5" customHeight="1">
      <c r="A206" s="7" t="s">
        <v>236</v>
      </c>
      <c r="B206" s="263" t="s">
        <v>115</v>
      </c>
      <c r="C206" s="291">
        <v>4100</v>
      </c>
      <c r="D206" s="145" t="s">
        <v>15</v>
      </c>
      <c r="E206" s="146">
        <f t="shared" si="38"/>
        <v>-4100</v>
      </c>
      <c r="F206" s="145" t="s">
        <v>7</v>
      </c>
      <c r="G206" s="145" t="s">
        <v>71</v>
      </c>
      <c r="H206" s="146" t="s">
        <v>407</v>
      </c>
      <c r="I206" s="166"/>
    </row>
    <row r="207" spans="1:9" ht="16.5" customHeight="1">
      <c r="A207" s="263" t="s">
        <v>360</v>
      </c>
      <c r="B207" s="263" t="s">
        <v>115</v>
      </c>
      <c r="C207" s="291">
        <v>93968.53</v>
      </c>
      <c r="D207" s="145" t="s">
        <v>10</v>
      </c>
      <c r="E207" s="146">
        <f t="shared" si="38"/>
        <v>-93968.53</v>
      </c>
      <c r="F207" s="145" t="s">
        <v>14</v>
      </c>
      <c r="G207" s="145" t="s">
        <v>104</v>
      </c>
      <c r="H207" s="146" t="s">
        <v>408</v>
      </c>
      <c r="I207" s="166"/>
    </row>
    <row r="208" spans="1:9" ht="16.5" customHeight="1">
      <c r="A208" s="7" t="s">
        <v>361</v>
      </c>
      <c r="B208" s="263" t="s">
        <v>115</v>
      </c>
      <c r="C208" s="291">
        <v>49818.49</v>
      </c>
      <c r="D208" s="145" t="s">
        <v>15</v>
      </c>
      <c r="E208" s="146">
        <f t="shared" si="38"/>
        <v>-49818.49</v>
      </c>
      <c r="F208" s="145" t="s">
        <v>14</v>
      </c>
      <c r="G208" s="145" t="s">
        <v>104</v>
      </c>
      <c r="H208" s="146" t="s">
        <v>408</v>
      </c>
      <c r="I208" s="166"/>
    </row>
    <row r="209" spans="1:9" ht="16.5" customHeight="1">
      <c r="A209" s="7" t="s">
        <v>362</v>
      </c>
      <c r="B209" s="263" t="s">
        <v>115</v>
      </c>
      <c r="C209" s="291">
        <v>27082.9</v>
      </c>
      <c r="D209" s="145" t="s">
        <v>12</v>
      </c>
      <c r="E209" s="146">
        <f t="shared" si="38"/>
        <v>-27082.9</v>
      </c>
      <c r="F209" s="145" t="s">
        <v>14</v>
      </c>
      <c r="G209" s="145" t="s">
        <v>104</v>
      </c>
      <c r="H209" s="146" t="s">
        <v>408</v>
      </c>
      <c r="I209" s="166"/>
    </row>
    <row r="210" spans="1:9" ht="16.5" customHeight="1">
      <c r="A210" s="263" t="s">
        <v>367</v>
      </c>
      <c r="B210" s="263" t="s">
        <v>115</v>
      </c>
      <c r="C210" s="291">
        <v>72937.55</v>
      </c>
      <c r="D210" s="145" t="s">
        <v>11</v>
      </c>
      <c r="E210" s="146">
        <f t="shared" si="38"/>
        <v>-72937.55</v>
      </c>
      <c r="F210" s="145" t="s">
        <v>14</v>
      </c>
      <c r="G210" s="145" t="s">
        <v>104</v>
      </c>
      <c r="H210" s="146" t="s">
        <v>408</v>
      </c>
      <c r="I210" s="166"/>
    </row>
    <row r="211" spans="1:9" ht="16.5" customHeight="1">
      <c r="A211" s="7" t="s">
        <v>370</v>
      </c>
      <c r="B211" s="263" t="s">
        <v>115</v>
      </c>
      <c r="C211" s="291">
        <v>406674</v>
      </c>
      <c r="D211" s="145" t="s">
        <v>10</v>
      </c>
      <c r="E211" s="146">
        <f t="shared" si="38"/>
        <v>-406674</v>
      </c>
      <c r="F211" s="145" t="s">
        <v>5</v>
      </c>
      <c r="G211" s="145" t="s">
        <v>105</v>
      </c>
      <c r="H211" s="166" t="s">
        <v>409</v>
      </c>
      <c r="I211" s="166"/>
    </row>
    <row r="212" spans="1:9" ht="16.5" customHeight="1">
      <c r="A212" s="7" t="s">
        <v>383</v>
      </c>
      <c r="B212" s="263" t="s">
        <v>115</v>
      </c>
      <c r="C212" s="291">
        <v>384213</v>
      </c>
      <c r="D212" s="145" t="s">
        <v>15</v>
      </c>
      <c r="E212" s="146">
        <f t="shared" si="38"/>
        <v>-384213</v>
      </c>
      <c r="F212" s="145" t="s">
        <v>5</v>
      </c>
      <c r="G212" s="145" t="s">
        <v>105</v>
      </c>
      <c r="H212" s="166" t="s">
        <v>409</v>
      </c>
      <c r="I212" s="166"/>
    </row>
    <row r="213" spans="1:9" ht="16.5" customHeight="1">
      <c r="A213" s="263" t="s">
        <v>385</v>
      </c>
      <c r="B213" s="263" t="s">
        <v>115</v>
      </c>
      <c r="C213" s="291">
        <v>378069</v>
      </c>
      <c r="D213" s="306" t="s">
        <v>11</v>
      </c>
      <c r="E213" s="146">
        <f t="shared" si="38"/>
        <v>-378069</v>
      </c>
      <c r="F213" s="306" t="s">
        <v>5</v>
      </c>
      <c r="G213" s="145" t="s">
        <v>105</v>
      </c>
      <c r="H213" s="166" t="s">
        <v>409</v>
      </c>
      <c r="I213" s="307"/>
    </row>
    <row r="214" spans="1:9" ht="16.5" customHeight="1">
      <c r="A214" s="7" t="s">
        <v>388</v>
      </c>
      <c r="B214" s="263" t="s">
        <v>115</v>
      </c>
      <c r="C214" s="291">
        <v>254613</v>
      </c>
      <c r="D214" s="306" t="s">
        <v>275</v>
      </c>
      <c r="E214" s="146">
        <f t="shared" si="38"/>
        <v>-254613</v>
      </c>
      <c r="F214" s="306" t="s">
        <v>5</v>
      </c>
      <c r="G214" s="145" t="s">
        <v>105</v>
      </c>
      <c r="H214" s="166" t="s">
        <v>409</v>
      </c>
      <c r="I214" s="307"/>
    </row>
    <row r="215" spans="1:9" ht="16.5" customHeight="1">
      <c r="A215" s="7" t="s">
        <v>398</v>
      </c>
      <c r="B215" s="263" t="s">
        <v>115</v>
      </c>
      <c r="C215" s="291">
        <v>346777</v>
      </c>
      <c r="D215" s="306" t="s">
        <v>12</v>
      </c>
      <c r="E215" s="146">
        <f t="shared" si="38"/>
        <v>-346777</v>
      </c>
      <c r="F215" s="306" t="s">
        <v>5</v>
      </c>
      <c r="G215" s="145" t="s">
        <v>105</v>
      </c>
      <c r="H215" s="166" t="s">
        <v>418</v>
      </c>
      <c r="I215" s="307"/>
    </row>
    <row r="216" spans="1:9" ht="16.5" customHeight="1">
      <c r="A216" s="263" t="s">
        <v>399</v>
      </c>
      <c r="B216" s="263" t="s">
        <v>115</v>
      </c>
      <c r="C216" s="313">
        <v>6118</v>
      </c>
      <c r="D216" s="306" t="s">
        <v>12</v>
      </c>
      <c r="E216" s="146">
        <f t="shared" si="38"/>
        <v>-6118</v>
      </c>
      <c r="F216" s="306" t="s">
        <v>5</v>
      </c>
      <c r="G216" s="145" t="s">
        <v>419</v>
      </c>
      <c r="H216" s="166" t="s">
        <v>420</v>
      </c>
      <c r="I216" s="307"/>
    </row>
    <row r="217" spans="1:9" ht="16.5" customHeight="1">
      <c r="A217" s="7" t="s">
        <v>400</v>
      </c>
      <c r="B217" s="304" t="s">
        <v>115</v>
      </c>
      <c r="C217" s="309">
        <v>-2852.46</v>
      </c>
      <c r="D217" s="306" t="s">
        <v>14</v>
      </c>
      <c r="E217" s="146">
        <v>2852.46</v>
      </c>
      <c r="F217" s="306" t="s">
        <v>7</v>
      </c>
      <c r="G217" s="145" t="s">
        <v>78</v>
      </c>
      <c r="H217" s="166" t="s">
        <v>421</v>
      </c>
      <c r="I217" s="307"/>
    </row>
    <row r="218" spans="1:9" ht="16.5" customHeight="1">
      <c r="A218" s="7" t="s">
        <v>401</v>
      </c>
      <c r="B218" s="304" t="s">
        <v>115</v>
      </c>
      <c r="C218" s="309">
        <v>-447.45</v>
      </c>
      <c r="D218" s="306" t="s">
        <v>14</v>
      </c>
      <c r="E218" s="146">
        <v>447.45</v>
      </c>
      <c r="F218" s="306" t="s">
        <v>278</v>
      </c>
      <c r="G218" s="145" t="s">
        <v>78</v>
      </c>
      <c r="H218" s="166" t="s">
        <v>421</v>
      </c>
      <c r="I218" s="307"/>
    </row>
    <row r="219" spans="1:9" ht="16.5" customHeight="1">
      <c r="A219" s="263" t="s">
        <v>403</v>
      </c>
      <c r="B219" s="304" t="s">
        <v>115</v>
      </c>
      <c r="C219" s="309">
        <v>-346910.24</v>
      </c>
      <c r="D219" s="306" t="s">
        <v>14</v>
      </c>
      <c r="E219" s="146">
        <v>346910.24</v>
      </c>
      <c r="F219" s="306" t="s">
        <v>5</v>
      </c>
      <c r="G219" s="145" t="s">
        <v>103</v>
      </c>
      <c r="H219" s="166" t="s">
        <v>422</v>
      </c>
      <c r="I219" s="307"/>
    </row>
    <row r="220" spans="1:9" ht="16.5" customHeight="1">
      <c r="A220" s="7" t="s">
        <v>406</v>
      </c>
      <c r="B220" s="304" t="s">
        <v>115</v>
      </c>
      <c r="C220" s="309">
        <v>-676011.85</v>
      </c>
      <c r="D220" s="306" t="s">
        <v>14</v>
      </c>
      <c r="E220" s="146">
        <v>676011.85</v>
      </c>
      <c r="F220" s="306" t="s">
        <v>7</v>
      </c>
      <c r="G220" s="145" t="s">
        <v>103</v>
      </c>
      <c r="H220" s="166" t="s">
        <v>423</v>
      </c>
      <c r="I220" s="307"/>
    </row>
    <row r="221" spans="1:9" ht="16.5" customHeight="1">
      <c r="A221" s="7" t="s">
        <v>410</v>
      </c>
      <c r="B221" s="304" t="s">
        <v>115</v>
      </c>
      <c r="C221" s="309">
        <v>-152177.92000000001</v>
      </c>
      <c r="D221" s="306" t="s">
        <v>14</v>
      </c>
      <c r="E221" s="146">
        <v>152177.92000000001</v>
      </c>
      <c r="F221" s="306" t="s">
        <v>278</v>
      </c>
      <c r="G221" s="145" t="s">
        <v>103</v>
      </c>
      <c r="H221" s="166" t="s">
        <v>424</v>
      </c>
      <c r="I221" s="307"/>
    </row>
    <row r="222" spans="1:9" ht="16.5" customHeight="1">
      <c r="A222" s="263" t="s">
        <v>437</v>
      </c>
      <c r="B222" s="304" t="s">
        <v>115</v>
      </c>
      <c r="C222" s="309">
        <v>-291.12</v>
      </c>
      <c r="D222" s="306" t="s">
        <v>14</v>
      </c>
      <c r="E222" s="146">
        <v>291.12</v>
      </c>
      <c r="F222" s="306" t="s">
        <v>278</v>
      </c>
      <c r="G222" s="145" t="s">
        <v>92</v>
      </c>
      <c r="H222" s="166" t="s">
        <v>425</v>
      </c>
      <c r="I222" s="307"/>
    </row>
    <row r="223" spans="1:9" ht="16.5" customHeight="1">
      <c r="A223" s="7" t="s">
        <v>412</v>
      </c>
      <c r="B223" s="263" t="s">
        <v>115</v>
      </c>
      <c r="C223" s="305">
        <v>486760</v>
      </c>
      <c r="D223" s="146" t="s">
        <v>16</v>
      </c>
      <c r="E223" s="146">
        <f t="shared" ref="E223:E233" si="39">-C223</f>
        <v>-486760</v>
      </c>
      <c r="F223" s="145" t="s">
        <v>5</v>
      </c>
      <c r="G223" s="145" t="s">
        <v>106</v>
      </c>
      <c r="H223" s="166" t="s">
        <v>429</v>
      </c>
      <c r="I223" s="307"/>
    </row>
    <row r="224" spans="1:9" ht="16.5" customHeight="1">
      <c r="A224" s="263" t="s">
        <v>413</v>
      </c>
      <c r="B224" s="263" t="s">
        <v>115</v>
      </c>
      <c r="C224" s="305">
        <v>482467</v>
      </c>
      <c r="D224" s="146" t="s">
        <v>19</v>
      </c>
      <c r="E224" s="146">
        <f t="shared" si="39"/>
        <v>-482467</v>
      </c>
      <c r="F224" s="145" t="s">
        <v>5</v>
      </c>
      <c r="G224" s="145" t="s">
        <v>106</v>
      </c>
      <c r="H224" s="166" t="s">
        <v>429</v>
      </c>
      <c r="I224" s="307"/>
    </row>
    <row r="225" spans="1:9" ht="16.5" customHeight="1">
      <c r="A225" s="7" t="s">
        <v>414</v>
      </c>
      <c r="B225" s="263" t="s">
        <v>115</v>
      </c>
      <c r="C225" s="305">
        <v>157675</v>
      </c>
      <c r="D225" s="145" t="s">
        <v>20</v>
      </c>
      <c r="E225" s="146">
        <f t="shared" si="39"/>
        <v>-157675</v>
      </c>
      <c r="F225" s="145" t="s">
        <v>5</v>
      </c>
      <c r="G225" s="145" t="s">
        <v>106</v>
      </c>
      <c r="H225" s="166" t="s">
        <v>429</v>
      </c>
      <c r="I225" s="307"/>
    </row>
    <row r="226" spans="1:9" ht="16.5" customHeight="1">
      <c r="A226" s="7" t="s">
        <v>415</v>
      </c>
      <c r="B226" s="263" t="s">
        <v>115</v>
      </c>
      <c r="C226" s="305">
        <v>177995</v>
      </c>
      <c r="D226" s="146" t="s">
        <v>120</v>
      </c>
      <c r="E226" s="146">
        <f t="shared" si="39"/>
        <v>-177995</v>
      </c>
      <c r="F226" s="145" t="s">
        <v>5</v>
      </c>
      <c r="G226" s="145" t="s">
        <v>106</v>
      </c>
      <c r="H226" s="166" t="s">
        <v>429</v>
      </c>
      <c r="I226" s="307"/>
    </row>
    <row r="227" spans="1:9" ht="16.5" customHeight="1">
      <c r="A227" s="263" t="s">
        <v>416</v>
      </c>
      <c r="B227" s="304" t="s">
        <v>115</v>
      </c>
      <c r="C227" s="305">
        <v>-400000</v>
      </c>
      <c r="D227" s="305" t="s">
        <v>22</v>
      </c>
      <c r="E227" s="146">
        <f t="shared" si="39"/>
        <v>400000</v>
      </c>
      <c r="F227" s="145" t="s">
        <v>5</v>
      </c>
      <c r="G227" s="145" t="s">
        <v>60</v>
      </c>
      <c r="H227" s="166" t="s">
        <v>434</v>
      </c>
      <c r="I227" s="307"/>
    </row>
    <row r="228" spans="1:9" ht="16.5" customHeight="1">
      <c r="A228" s="7" t="s">
        <v>417</v>
      </c>
      <c r="B228" s="304" t="s">
        <v>115</v>
      </c>
      <c r="C228" s="305">
        <v>-8000</v>
      </c>
      <c r="D228" s="305" t="s">
        <v>22</v>
      </c>
      <c r="E228" s="146">
        <f t="shared" si="39"/>
        <v>8000</v>
      </c>
      <c r="F228" s="145" t="s">
        <v>23</v>
      </c>
      <c r="G228" s="145" t="s">
        <v>62</v>
      </c>
      <c r="H228" s="166" t="s">
        <v>435</v>
      </c>
      <c r="I228" s="307"/>
    </row>
    <row r="229" spans="1:9" ht="16.5" customHeight="1">
      <c r="A229" s="263" t="s">
        <v>426</v>
      </c>
      <c r="B229" s="304" t="s">
        <v>115</v>
      </c>
      <c r="C229" s="305">
        <v>10000</v>
      </c>
      <c r="D229" s="305" t="s">
        <v>22</v>
      </c>
      <c r="E229" s="146">
        <f t="shared" si="39"/>
        <v>-10000</v>
      </c>
      <c r="F229" s="145" t="s">
        <v>7</v>
      </c>
      <c r="G229" s="145" t="s">
        <v>90</v>
      </c>
      <c r="H229" s="166" t="s">
        <v>436</v>
      </c>
      <c r="I229" s="307"/>
    </row>
    <row r="230" spans="1:9" ht="16.5" customHeight="1">
      <c r="A230" s="7" t="s">
        <v>553</v>
      </c>
      <c r="B230" s="263" t="s">
        <v>115</v>
      </c>
      <c r="C230" s="146">
        <v>5281.17</v>
      </c>
      <c r="D230" s="145" t="s">
        <v>8</v>
      </c>
      <c r="E230" s="146">
        <f t="shared" si="39"/>
        <v>-5281.17</v>
      </c>
      <c r="F230" s="145" t="s">
        <v>14</v>
      </c>
      <c r="G230" s="147" t="s">
        <v>104</v>
      </c>
      <c r="H230" s="146" t="s">
        <v>441</v>
      </c>
      <c r="I230" s="166"/>
    </row>
    <row r="231" spans="1:9" ht="16.5" customHeight="1">
      <c r="A231" s="263" t="s">
        <v>554</v>
      </c>
      <c r="B231" s="263" t="s">
        <v>115</v>
      </c>
      <c r="C231" s="146">
        <v>802541</v>
      </c>
      <c r="D231" s="145" t="s">
        <v>8</v>
      </c>
      <c r="E231" s="146">
        <f t="shared" si="39"/>
        <v>-802541</v>
      </c>
      <c r="F231" s="145" t="s">
        <v>5</v>
      </c>
      <c r="G231" s="145" t="s">
        <v>104</v>
      </c>
      <c r="H231" s="146" t="s">
        <v>442</v>
      </c>
      <c r="I231" s="166"/>
    </row>
    <row r="232" spans="1:9" ht="16.5" customHeight="1">
      <c r="A232" s="7" t="s">
        <v>555</v>
      </c>
      <c r="B232" s="263" t="s">
        <v>115</v>
      </c>
      <c r="C232" s="146">
        <v>-100000</v>
      </c>
      <c r="D232" s="145" t="s">
        <v>7</v>
      </c>
      <c r="E232" s="146">
        <f t="shared" si="39"/>
        <v>100000</v>
      </c>
      <c r="F232" s="145" t="s">
        <v>24</v>
      </c>
      <c r="G232" s="145" t="s">
        <v>103</v>
      </c>
      <c r="H232" s="146" t="s">
        <v>444</v>
      </c>
      <c r="I232" s="166"/>
    </row>
    <row r="233" spans="1:9" ht="16.5" customHeight="1">
      <c r="A233" s="263" t="s">
        <v>556</v>
      </c>
      <c r="B233" s="263" t="s">
        <v>115</v>
      </c>
      <c r="C233" s="146">
        <v>-18000</v>
      </c>
      <c r="D233" s="145" t="s">
        <v>7</v>
      </c>
      <c r="E233" s="146">
        <f t="shared" si="39"/>
        <v>18000</v>
      </c>
      <c r="F233" s="145" t="s">
        <v>5</v>
      </c>
      <c r="G233" s="145" t="s">
        <v>90</v>
      </c>
      <c r="H233" s="146" t="s">
        <v>445</v>
      </c>
      <c r="I233" s="166"/>
    </row>
    <row r="234" spans="1:9" ht="16.5" customHeight="1">
      <c r="A234" s="7" t="s">
        <v>557</v>
      </c>
      <c r="B234" s="263" t="s">
        <v>115</v>
      </c>
      <c r="C234" s="305">
        <v>403149</v>
      </c>
      <c r="D234" s="146" t="s">
        <v>7</v>
      </c>
      <c r="E234" s="146">
        <f t="shared" ref="E234:E237" si="40">-C234</f>
        <v>-403149</v>
      </c>
      <c r="F234" s="145" t="s">
        <v>5</v>
      </c>
      <c r="G234" s="145" t="s">
        <v>106</v>
      </c>
      <c r="H234" s="166" t="s">
        <v>429</v>
      </c>
      <c r="I234" s="307"/>
    </row>
    <row r="235" spans="1:9" ht="16.5" customHeight="1">
      <c r="A235" s="263" t="s">
        <v>558</v>
      </c>
      <c r="B235" s="263" t="s">
        <v>115</v>
      </c>
      <c r="C235" s="146">
        <v>28809643.68</v>
      </c>
      <c r="D235" s="146" t="s">
        <v>7</v>
      </c>
      <c r="E235" s="146">
        <f t="shared" si="40"/>
        <v>-28809643.68</v>
      </c>
      <c r="F235" s="145" t="s">
        <v>5</v>
      </c>
      <c r="G235" s="145" t="s">
        <v>84</v>
      </c>
      <c r="H235" s="166" t="s">
        <v>550</v>
      </c>
      <c r="I235" s="166"/>
    </row>
    <row r="236" spans="1:9" ht="16.5" customHeight="1">
      <c r="A236" s="7" t="s">
        <v>427</v>
      </c>
      <c r="B236" s="263" t="s">
        <v>115</v>
      </c>
      <c r="C236" s="146">
        <v>-81775.459999999992</v>
      </c>
      <c r="D236" s="146" t="s">
        <v>7</v>
      </c>
      <c r="E236" s="146">
        <f t="shared" si="40"/>
        <v>81775.459999999992</v>
      </c>
      <c r="F236" s="145" t="s">
        <v>6</v>
      </c>
      <c r="G236" s="145" t="s">
        <v>84</v>
      </c>
      <c r="H236" s="166" t="s">
        <v>446</v>
      </c>
      <c r="I236" s="166"/>
    </row>
    <row r="237" spans="1:9" ht="16.5" customHeight="1">
      <c r="A237" s="263" t="s">
        <v>428</v>
      </c>
      <c r="B237" s="263" t="s">
        <v>115</v>
      </c>
      <c r="C237" s="146">
        <v>172065.65</v>
      </c>
      <c r="D237" s="145" t="s">
        <v>7</v>
      </c>
      <c r="E237" s="146">
        <f t="shared" si="40"/>
        <v>-172065.65</v>
      </c>
      <c r="F237" s="145" t="s">
        <v>24</v>
      </c>
      <c r="G237" s="145" t="s">
        <v>84</v>
      </c>
      <c r="H237" s="146" t="s">
        <v>552</v>
      </c>
      <c r="I237" s="166"/>
    </row>
    <row r="238" spans="1:9" ht="16.5" customHeight="1">
      <c r="A238" s="7" t="s">
        <v>559</v>
      </c>
      <c r="B238" s="263" t="s">
        <v>115</v>
      </c>
      <c r="C238" s="146">
        <v>196801</v>
      </c>
      <c r="D238" s="145" t="s">
        <v>7</v>
      </c>
      <c r="E238" s="146">
        <f t="shared" ref="E238:E240" si="41">-C238</f>
        <v>-196801</v>
      </c>
      <c r="F238" s="145" t="s">
        <v>24</v>
      </c>
      <c r="G238" s="145" t="s">
        <v>85</v>
      </c>
      <c r="H238" s="146" t="s">
        <v>552</v>
      </c>
      <c r="I238" s="166"/>
    </row>
    <row r="239" spans="1:9" ht="16.5" customHeight="1">
      <c r="A239" s="263" t="s">
        <v>560</v>
      </c>
      <c r="B239" s="263" t="s">
        <v>115</v>
      </c>
      <c r="C239" s="146">
        <v>306558.52</v>
      </c>
      <c r="D239" s="145" t="s">
        <v>7</v>
      </c>
      <c r="E239" s="146">
        <f t="shared" si="41"/>
        <v>-306558.52</v>
      </c>
      <c r="F239" s="145" t="s">
        <v>24</v>
      </c>
      <c r="G239" s="145" t="s">
        <v>71</v>
      </c>
      <c r="H239" s="146" t="s">
        <v>552</v>
      </c>
      <c r="I239" s="166"/>
    </row>
    <row r="240" spans="1:9" ht="16.5" customHeight="1">
      <c r="A240" s="7" t="s">
        <v>561</v>
      </c>
      <c r="B240" s="263" t="s">
        <v>115</v>
      </c>
      <c r="C240" s="310">
        <v>905822</v>
      </c>
      <c r="D240" s="145" t="s">
        <v>7</v>
      </c>
      <c r="E240" s="14">
        <f t="shared" si="41"/>
        <v>-905822</v>
      </c>
      <c r="F240" s="8" t="s">
        <v>5</v>
      </c>
      <c r="G240" s="8" t="s">
        <v>60</v>
      </c>
      <c r="H240" s="15" t="s">
        <v>563</v>
      </c>
      <c r="I240" s="24"/>
    </row>
    <row r="241" spans="1:9" ht="16.5" customHeight="1">
      <c r="A241" s="263" t="s">
        <v>562</v>
      </c>
      <c r="B241" s="16"/>
      <c r="C241" s="17"/>
      <c r="D241" s="18"/>
      <c r="E241" s="14"/>
      <c r="F241" s="8"/>
      <c r="G241" s="8"/>
      <c r="H241" s="15"/>
      <c r="I241" s="24"/>
    </row>
    <row r="242" spans="1:9" ht="16.5" customHeight="1" thickBot="1">
      <c r="A242" s="207"/>
      <c r="B242" s="207"/>
      <c r="C242" s="208"/>
      <c r="D242" s="208"/>
      <c r="E242" s="208"/>
      <c r="F242" s="209"/>
      <c r="G242" s="207"/>
      <c r="H242" s="209"/>
      <c r="I242" s="209"/>
    </row>
    <row r="243" spans="1:9" ht="16.5" customHeight="1">
      <c r="D243" s="19"/>
      <c r="E243" s="19"/>
      <c r="H243" s="15"/>
      <c r="I243" s="15"/>
    </row>
    <row r="244" spans="1:9" ht="16.5" customHeight="1">
      <c r="A244" s="210"/>
      <c r="B244" s="210" t="s">
        <v>51</v>
      </c>
      <c r="C244" s="146">
        <v>267383419.97999999</v>
      </c>
      <c r="D244" s="211" t="s">
        <v>7</v>
      </c>
      <c r="E244" s="211"/>
      <c r="F244" s="211"/>
      <c r="G244" s="212"/>
      <c r="H244" s="15"/>
      <c r="I244" s="15"/>
    </row>
    <row r="245" spans="1:9" ht="16.5" customHeight="1">
      <c r="A245" s="210"/>
      <c r="B245" s="210" t="s">
        <v>51</v>
      </c>
      <c r="C245" s="14"/>
      <c r="D245" s="211" t="s">
        <v>10</v>
      </c>
      <c r="E245" s="211"/>
      <c r="F245" s="211"/>
      <c r="G245" s="212"/>
      <c r="H245" s="15"/>
      <c r="I245" s="15"/>
    </row>
    <row r="246" spans="1:9" ht="16.5" customHeight="1">
      <c r="A246" s="210"/>
      <c r="B246" s="210" t="s">
        <v>51</v>
      </c>
      <c r="C246" s="14"/>
      <c r="D246" s="213" t="s">
        <v>11</v>
      </c>
      <c r="E246" s="213"/>
      <c r="F246" s="213"/>
      <c r="G246" s="214"/>
      <c r="H246" s="15"/>
      <c r="I246" s="15"/>
    </row>
    <row r="247" spans="1:9" ht="16.5" customHeight="1" thickBot="1">
      <c r="A247" s="215"/>
      <c r="B247" s="215" t="s">
        <v>149</v>
      </c>
      <c r="C247" s="215"/>
      <c r="D247" s="216">
        <f>C242-SUM(D243:D246)</f>
        <v>0</v>
      </c>
      <c r="E247" s="216"/>
      <c r="F247" s="216">
        <f>E242-SUM(F243:F246)</f>
        <v>0</v>
      </c>
      <c r="G247" s="217"/>
      <c r="H247" s="209"/>
      <c r="I247" s="209"/>
    </row>
    <row r="248" spans="1:9" ht="16.5" customHeight="1">
      <c r="A248" s="218"/>
      <c r="B248" s="218"/>
      <c r="C248" s="218"/>
      <c r="D248" s="219"/>
      <c r="E248" s="220"/>
      <c r="F248" s="221"/>
      <c r="G248" s="221"/>
      <c r="H248" s="221"/>
      <c r="I248" s="221"/>
    </row>
    <row r="249" spans="1:9" ht="16.5" customHeight="1" thickBot="1">
      <c r="A249" s="218"/>
      <c r="B249" s="218"/>
      <c r="C249" s="218"/>
      <c r="D249" s="219"/>
      <c r="E249" s="220" t="s">
        <v>150</v>
      </c>
      <c r="F249" s="221"/>
      <c r="G249" s="221"/>
      <c r="H249" s="221"/>
      <c r="I249" s="221"/>
    </row>
    <row r="250" spans="1:9" ht="16.5" customHeight="1">
      <c r="A250" s="199" t="s">
        <v>122</v>
      </c>
      <c r="B250" s="199" t="s">
        <v>3</v>
      </c>
      <c r="C250" s="199" t="s">
        <v>123</v>
      </c>
      <c r="D250" s="199" t="s">
        <v>124</v>
      </c>
      <c r="E250" s="199" t="s">
        <v>125</v>
      </c>
      <c r="F250" s="200" t="s">
        <v>126</v>
      </c>
      <c r="G250" s="200" t="s">
        <v>151</v>
      </c>
      <c r="H250" s="200" t="s">
        <v>128</v>
      </c>
      <c r="I250" s="200" t="s">
        <v>129</v>
      </c>
    </row>
    <row r="251" spans="1:9" ht="16.5" customHeight="1">
      <c r="A251" s="222"/>
      <c r="B251" s="222" t="s">
        <v>152</v>
      </c>
      <c r="C251" s="222">
        <f>SUM(C252:C260)</f>
        <v>-59157218.70000001</v>
      </c>
      <c r="D251" s="222"/>
      <c r="E251" s="222">
        <f>SUM(E252:E260)</f>
        <v>59157218.70000001</v>
      </c>
      <c r="F251" s="223"/>
      <c r="G251" s="223"/>
      <c r="H251" s="223"/>
      <c r="I251" s="223"/>
    </row>
    <row r="252" spans="1:9" ht="16.5" customHeight="1">
      <c r="A252" s="20" t="s">
        <v>132</v>
      </c>
      <c r="B252" s="20" t="s">
        <v>47</v>
      </c>
      <c r="C252" s="164">
        <v>-6045738.2699999902</v>
      </c>
      <c r="D252" s="21" t="s">
        <v>11</v>
      </c>
      <c r="E252" s="21">
        <f t="shared" ref="E252:E259" si="42">-C252</f>
        <v>6045738.2699999902</v>
      </c>
      <c r="F252" s="21" t="s">
        <v>11</v>
      </c>
      <c r="G252" s="21" t="s">
        <v>33</v>
      </c>
      <c r="H252" s="21" t="s">
        <v>160</v>
      </c>
      <c r="I252" s="21"/>
    </row>
    <row r="253" spans="1:9" ht="16.5" customHeight="1">
      <c r="A253" s="20" t="s">
        <v>133</v>
      </c>
      <c r="B253" s="20" t="s">
        <v>47</v>
      </c>
      <c r="C253" s="164">
        <v>-2327715</v>
      </c>
      <c r="D253" s="21" t="s">
        <v>11</v>
      </c>
      <c r="E253" s="21">
        <f t="shared" si="42"/>
        <v>2327715</v>
      </c>
      <c r="F253" s="21" t="s">
        <v>8</v>
      </c>
      <c r="G253" s="21" t="s">
        <v>33</v>
      </c>
      <c r="H253" s="21" t="s">
        <v>161</v>
      </c>
      <c r="I253" s="21"/>
    </row>
    <row r="254" spans="1:9" ht="16.5" customHeight="1">
      <c r="A254" s="20" t="s">
        <v>134</v>
      </c>
      <c r="B254" s="20" t="s">
        <v>47</v>
      </c>
      <c r="C254" s="164">
        <v>609672.66</v>
      </c>
      <c r="D254" s="21" t="s">
        <v>11</v>
      </c>
      <c r="E254" s="21">
        <f t="shared" si="42"/>
        <v>-609672.66</v>
      </c>
      <c r="F254" s="21" t="s">
        <v>15</v>
      </c>
      <c r="G254" s="21" t="s">
        <v>33</v>
      </c>
      <c r="H254" s="104" t="s">
        <v>190</v>
      </c>
      <c r="I254" s="21"/>
    </row>
    <row r="255" spans="1:9" ht="16.5" customHeight="1">
      <c r="A255" s="20" t="s">
        <v>135</v>
      </c>
      <c r="B255" s="20" t="s">
        <v>47</v>
      </c>
      <c r="C255" s="164">
        <v>-4529758.6500000004</v>
      </c>
      <c r="D255" s="21" t="s">
        <v>15</v>
      </c>
      <c r="E255" s="21">
        <f t="shared" si="42"/>
        <v>4529758.6500000004</v>
      </c>
      <c r="F255" s="21" t="s">
        <v>15</v>
      </c>
      <c r="G255" s="21" t="s">
        <v>33</v>
      </c>
      <c r="H255" s="22" t="s">
        <v>163</v>
      </c>
      <c r="I255" s="22"/>
    </row>
    <row r="256" spans="1:9" ht="16.5" customHeight="1">
      <c r="A256" s="20" t="s">
        <v>136</v>
      </c>
      <c r="B256" s="20" t="s">
        <v>47</v>
      </c>
      <c r="C256" s="164">
        <v>26333886.52</v>
      </c>
      <c r="D256" s="21" t="s">
        <v>10</v>
      </c>
      <c r="E256" s="21">
        <f t="shared" si="42"/>
        <v>-26333886.52</v>
      </c>
      <c r="F256" s="21" t="s">
        <v>10</v>
      </c>
      <c r="G256" s="21" t="s">
        <v>33</v>
      </c>
      <c r="H256" s="21" t="s">
        <v>162</v>
      </c>
      <c r="I256" s="21"/>
    </row>
    <row r="257" spans="1:22" ht="16.5" customHeight="1">
      <c r="A257" s="20" t="s">
        <v>137</v>
      </c>
      <c r="B257" s="20" t="s">
        <v>47</v>
      </c>
      <c r="C257" s="163">
        <f>-70843755.93-381945.95-1526728.48</f>
        <v>-72752430.360000014</v>
      </c>
      <c r="D257" s="21" t="s">
        <v>8</v>
      </c>
      <c r="E257" s="21">
        <f t="shared" si="42"/>
        <v>72752430.360000014</v>
      </c>
      <c r="F257" s="21" t="s">
        <v>8</v>
      </c>
      <c r="G257" s="21" t="s">
        <v>33</v>
      </c>
      <c r="H257" s="21" t="s">
        <v>231</v>
      </c>
      <c r="I257" s="21"/>
    </row>
    <row r="258" spans="1:22" ht="16.5" customHeight="1">
      <c r="A258" s="20" t="s">
        <v>138</v>
      </c>
      <c r="B258" s="20" t="s">
        <v>47</v>
      </c>
      <c r="C258" s="163"/>
      <c r="D258" s="21" t="s">
        <v>5</v>
      </c>
      <c r="E258" s="21"/>
      <c r="F258" s="21" t="s">
        <v>8</v>
      </c>
      <c r="G258" s="21" t="s">
        <v>33</v>
      </c>
      <c r="H258" s="22" t="s">
        <v>351</v>
      </c>
      <c r="I258" s="22"/>
    </row>
    <row r="259" spans="1:22" ht="16.5" customHeight="1">
      <c r="A259" s="20" t="s">
        <v>139</v>
      </c>
      <c r="B259" s="20" t="s">
        <v>47</v>
      </c>
      <c r="C259" s="103">
        <f>-累计利润调整表!E58-考核调整事项表!C382</f>
        <v>-445135.59999999974</v>
      </c>
      <c r="D259" s="21" t="s">
        <v>7</v>
      </c>
      <c r="E259" s="21">
        <f t="shared" si="42"/>
        <v>445135.59999999974</v>
      </c>
      <c r="F259" s="21" t="s">
        <v>7</v>
      </c>
      <c r="G259" s="21" t="s">
        <v>33</v>
      </c>
      <c r="H259" s="22" t="s">
        <v>168</v>
      </c>
      <c r="I259" s="22"/>
    </row>
    <row r="260" spans="1:22" ht="16.5" customHeight="1">
      <c r="A260" s="20"/>
      <c r="B260" s="20"/>
      <c r="C260" s="104"/>
      <c r="D260" s="21"/>
      <c r="E260" s="21"/>
      <c r="F260" s="21"/>
      <c r="G260" s="21"/>
      <c r="H260" s="104"/>
      <c r="I260" s="22"/>
    </row>
    <row r="261" spans="1:22" ht="16.5" customHeight="1">
      <c r="A261" s="105"/>
      <c r="B261" s="105"/>
      <c r="C261" s="106"/>
      <c r="D261" s="107"/>
      <c r="E261" s="107"/>
      <c r="F261" s="107"/>
      <c r="G261" s="107"/>
      <c r="H261" s="106"/>
      <c r="I261" s="108"/>
    </row>
    <row r="262" spans="1:22" s="1" customFormat="1" ht="16.5" customHeight="1">
      <c r="A262" s="23"/>
      <c r="B262" s="23" t="s">
        <v>352</v>
      </c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195"/>
      <c r="Q262" s="195"/>
      <c r="R262" s="195"/>
      <c r="S262" s="195"/>
      <c r="T262" s="195"/>
      <c r="U262" s="195"/>
      <c r="V262" s="195"/>
    </row>
    <row r="263" spans="1:22" s="1" customFormat="1" ht="16.5" customHeight="1">
      <c r="A263" s="23"/>
      <c r="B263" s="23" t="s">
        <v>153</v>
      </c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195"/>
      <c r="Q263" s="195"/>
      <c r="R263" s="195"/>
      <c r="S263" s="195"/>
      <c r="T263" s="195"/>
      <c r="U263" s="195"/>
      <c r="V263" s="195"/>
    </row>
    <row r="264" spans="1:22" s="1" customFormat="1" ht="16.5" customHeight="1">
      <c r="A264" s="23"/>
      <c r="B264" s="23" t="s">
        <v>154</v>
      </c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195"/>
      <c r="Q264" s="195"/>
      <c r="R264" s="195"/>
      <c r="S264" s="195"/>
      <c r="T264" s="195"/>
      <c r="U264" s="195"/>
      <c r="V264" s="195"/>
    </row>
    <row r="265" spans="1:22" s="1" customFormat="1" ht="16.5" customHeight="1">
      <c r="A265" s="23"/>
      <c r="B265" s="23" t="s">
        <v>155</v>
      </c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195"/>
      <c r="Q265" s="195"/>
      <c r="R265" s="195"/>
      <c r="S265" s="195"/>
      <c r="T265" s="195"/>
      <c r="U265" s="195"/>
      <c r="V265" s="195"/>
    </row>
    <row r="266" spans="1:22" ht="16.5" customHeight="1">
      <c r="A266" s="23"/>
      <c r="B266" s="23" t="s">
        <v>156</v>
      </c>
      <c r="C266" s="195"/>
      <c r="D266" s="195"/>
      <c r="E266" s="195"/>
      <c r="F266" s="195"/>
      <c r="G266" s="195"/>
      <c r="H266" s="195"/>
    </row>
    <row r="267" spans="1:22" ht="16.5" customHeight="1">
      <c r="A267" s="195"/>
      <c r="B267" s="195"/>
      <c r="C267" s="195"/>
      <c r="D267" s="195"/>
      <c r="E267" s="195"/>
      <c r="F267" s="195"/>
      <c r="G267" s="195"/>
      <c r="H267" s="195"/>
    </row>
    <row r="268" spans="1:22" ht="16.5" customHeight="1">
      <c r="A268" s="195"/>
      <c r="B268" s="195" t="s">
        <v>169</v>
      </c>
      <c r="C268" s="21">
        <f>C251+累计利润调整表!B58+C374</f>
        <v>5.6666642427444458E-2</v>
      </c>
      <c r="D268" s="195"/>
      <c r="E268" s="195"/>
      <c r="F268" s="195"/>
      <c r="G268" s="195"/>
      <c r="H268" s="195"/>
    </row>
    <row r="269" spans="1:22" ht="16.5" customHeight="1" thickBot="1">
      <c r="A269" s="329" t="s">
        <v>212</v>
      </c>
      <c r="B269" s="329"/>
      <c r="C269" s="329"/>
      <c r="D269" s="329"/>
      <c r="E269" s="329"/>
      <c r="F269" s="329"/>
      <c r="G269" s="329"/>
      <c r="H269" s="329"/>
      <c r="I269" s="329"/>
    </row>
    <row r="270" spans="1:22" ht="16.5" customHeight="1">
      <c r="A270" s="224" t="s">
        <v>122</v>
      </c>
      <c r="B270" s="224" t="s">
        <v>3</v>
      </c>
      <c r="C270" s="224" t="s">
        <v>123</v>
      </c>
      <c r="D270" s="224" t="s">
        <v>124</v>
      </c>
      <c r="E270" s="224" t="s">
        <v>125</v>
      </c>
      <c r="F270" s="225" t="s">
        <v>126</v>
      </c>
      <c r="G270" s="225" t="s">
        <v>127</v>
      </c>
      <c r="H270" s="225" t="s">
        <v>128</v>
      </c>
      <c r="I270" s="225" t="s">
        <v>129</v>
      </c>
    </row>
    <row r="271" spans="1:22" ht="16.5" customHeight="1">
      <c r="A271" s="226"/>
      <c r="B271" s="226" t="s">
        <v>130</v>
      </c>
      <c r="C271" s="227"/>
      <c r="D271" s="227"/>
      <c r="E271" s="227"/>
      <c r="F271" s="228"/>
      <c r="G271" s="228"/>
      <c r="H271" s="228"/>
      <c r="I271" s="228"/>
    </row>
    <row r="272" spans="1:22" ht="16.5" customHeight="1">
      <c r="A272" s="226"/>
      <c r="B272" s="226" t="s">
        <v>131</v>
      </c>
      <c r="C272" s="229">
        <f>SUM(C273:C295)</f>
        <v>37094467.149999991</v>
      </c>
      <c r="D272" s="229"/>
      <c r="E272" s="229">
        <f>SUM(E273:E295)</f>
        <v>-37094467.149999991</v>
      </c>
      <c r="F272" s="228"/>
      <c r="G272" s="228"/>
      <c r="H272" s="228"/>
      <c r="I272" s="228"/>
    </row>
    <row r="273" spans="1:9" ht="16.5" customHeight="1">
      <c r="A273" s="109" t="s">
        <v>132</v>
      </c>
      <c r="B273" s="109" t="s">
        <v>111</v>
      </c>
      <c r="C273" s="110">
        <v>-1567775.32</v>
      </c>
      <c r="D273" s="111" t="s">
        <v>11</v>
      </c>
      <c r="E273" s="111">
        <f>-C273</f>
        <v>1567775.32</v>
      </c>
      <c r="F273" s="111" t="s">
        <v>6</v>
      </c>
      <c r="G273" s="111"/>
      <c r="H273" s="111" t="s">
        <v>348</v>
      </c>
      <c r="I273" s="111"/>
    </row>
    <row r="274" spans="1:9" ht="16.5" customHeight="1">
      <c r="A274" s="109" t="s">
        <v>133</v>
      </c>
      <c r="B274" s="109" t="s">
        <v>111</v>
      </c>
      <c r="C274" s="110">
        <v>-77230.12</v>
      </c>
      <c r="D274" s="111" t="s">
        <v>11</v>
      </c>
      <c r="E274" s="111">
        <f>-C274</f>
        <v>77230.12</v>
      </c>
      <c r="F274" s="111" t="s">
        <v>10</v>
      </c>
      <c r="G274" s="111"/>
      <c r="H274" s="111" t="s">
        <v>349</v>
      </c>
      <c r="I274" s="111"/>
    </row>
    <row r="275" spans="1:9" ht="16.5" customHeight="1">
      <c r="A275" s="109" t="s">
        <v>134</v>
      </c>
      <c r="B275" s="109" t="s">
        <v>33</v>
      </c>
      <c r="C275" s="111">
        <v>1462890</v>
      </c>
      <c r="D275" s="111" t="s">
        <v>11</v>
      </c>
      <c r="E275" s="111">
        <f>-C275</f>
        <v>-1462890</v>
      </c>
      <c r="F275" s="111" t="s">
        <v>10</v>
      </c>
      <c r="G275" s="111"/>
      <c r="H275" s="111" t="s">
        <v>157</v>
      </c>
      <c r="I275" s="111" t="s">
        <v>202</v>
      </c>
    </row>
    <row r="276" spans="1:9" ht="16.5" customHeight="1">
      <c r="A276" s="109" t="s">
        <v>135</v>
      </c>
      <c r="B276" s="109" t="s">
        <v>33</v>
      </c>
      <c r="C276" s="111">
        <v>-1093917.18</v>
      </c>
      <c r="D276" s="111" t="s">
        <v>11</v>
      </c>
      <c r="E276" s="111">
        <f>-C276</f>
        <v>1093917.18</v>
      </c>
      <c r="F276" s="111" t="s">
        <v>15</v>
      </c>
      <c r="G276" s="111"/>
      <c r="H276" s="111" t="s">
        <v>158</v>
      </c>
      <c r="I276" s="111" t="s">
        <v>202</v>
      </c>
    </row>
    <row r="277" spans="1:9" ht="16.5" customHeight="1">
      <c r="A277" s="109" t="s">
        <v>136</v>
      </c>
      <c r="B277" s="109" t="s">
        <v>33</v>
      </c>
      <c r="C277" s="111">
        <v>15487.39</v>
      </c>
      <c r="D277" s="111" t="s">
        <v>11</v>
      </c>
      <c r="E277" s="111">
        <f>-C277</f>
        <v>-15487.39</v>
      </c>
      <c r="F277" s="111" t="s">
        <v>12</v>
      </c>
      <c r="G277" s="111"/>
      <c r="H277" s="111" t="s">
        <v>210</v>
      </c>
      <c r="I277" s="111"/>
    </row>
    <row r="278" spans="1:9" ht="16.5" customHeight="1">
      <c r="A278" s="109" t="s">
        <v>137</v>
      </c>
      <c r="B278" s="109" t="s">
        <v>31</v>
      </c>
      <c r="C278" s="111">
        <v>-624966.76</v>
      </c>
      <c r="D278" s="111" t="s">
        <v>11</v>
      </c>
      <c r="E278" s="111">
        <f t="shared" ref="E278:E295" si="43">-C278</f>
        <v>624966.76</v>
      </c>
      <c r="F278" s="111" t="s">
        <v>10</v>
      </c>
      <c r="G278" s="111"/>
      <c r="H278" s="111" t="s">
        <v>350</v>
      </c>
      <c r="I278" s="111"/>
    </row>
    <row r="279" spans="1:9" ht="16.5" customHeight="1">
      <c r="A279" s="109" t="s">
        <v>138</v>
      </c>
      <c r="B279" s="109" t="s">
        <v>33</v>
      </c>
      <c r="C279" s="111">
        <v>176932.86</v>
      </c>
      <c r="D279" s="111" t="s">
        <v>11</v>
      </c>
      <c r="E279" s="111">
        <f t="shared" si="43"/>
        <v>-176932.86</v>
      </c>
      <c r="F279" s="111" t="s">
        <v>10</v>
      </c>
      <c r="G279" s="112"/>
      <c r="H279" s="111" t="s">
        <v>159</v>
      </c>
      <c r="I279" s="111"/>
    </row>
    <row r="280" spans="1:9" ht="16.5" customHeight="1">
      <c r="A280" s="109" t="s">
        <v>139</v>
      </c>
      <c r="B280" s="109" t="s">
        <v>31</v>
      </c>
      <c r="C280" s="111">
        <v>-4205015.8000000119</v>
      </c>
      <c r="D280" s="111" t="s">
        <v>11</v>
      </c>
      <c r="E280" s="111">
        <f t="shared" si="43"/>
        <v>4205015.8000000119</v>
      </c>
      <c r="F280" s="111" t="s">
        <v>6</v>
      </c>
      <c r="G280" s="111"/>
      <c r="H280" s="111" t="s">
        <v>188</v>
      </c>
      <c r="I280" s="111" t="s">
        <v>203</v>
      </c>
    </row>
    <row r="281" spans="1:9" ht="16.5" customHeight="1">
      <c r="A281" s="109" t="s">
        <v>140</v>
      </c>
      <c r="B281" s="109" t="s">
        <v>28</v>
      </c>
      <c r="C281" s="111"/>
      <c r="D281" s="111" t="s">
        <v>16</v>
      </c>
      <c r="E281" s="111">
        <f t="shared" si="43"/>
        <v>0</v>
      </c>
      <c r="F281" s="111" t="s">
        <v>20</v>
      </c>
      <c r="G281" s="111"/>
      <c r="H281" s="111" t="s">
        <v>200</v>
      </c>
      <c r="I281" s="111" t="s">
        <v>204</v>
      </c>
    </row>
    <row r="282" spans="1:9" ht="16.5" customHeight="1">
      <c r="A282" s="109" t="s">
        <v>141</v>
      </c>
      <c r="B282" s="109" t="s">
        <v>28</v>
      </c>
      <c r="C282" s="113">
        <v>600000</v>
      </c>
      <c r="D282" s="111" t="s">
        <v>11</v>
      </c>
      <c r="E282" s="111">
        <f t="shared" si="43"/>
        <v>-600000</v>
      </c>
      <c r="F282" s="111" t="s">
        <v>16</v>
      </c>
      <c r="G282" s="111"/>
      <c r="H282" s="111" t="s">
        <v>184</v>
      </c>
      <c r="I282" s="111" t="s">
        <v>191</v>
      </c>
    </row>
    <row r="283" spans="1:9" ht="16.5" customHeight="1">
      <c r="A283" s="109" t="s">
        <v>142</v>
      </c>
      <c r="B283" s="109" t="s">
        <v>31</v>
      </c>
      <c r="C283" s="111">
        <v>2762750</v>
      </c>
      <c r="D283" s="111" t="s">
        <v>10</v>
      </c>
      <c r="E283" s="111">
        <f t="shared" si="43"/>
        <v>-2762750</v>
      </c>
      <c r="F283" s="111" t="s">
        <v>5</v>
      </c>
      <c r="G283" s="111"/>
      <c r="H283" s="111" t="s">
        <v>164</v>
      </c>
      <c r="I283" s="111"/>
    </row>
    <row r="284" spans="1:9" ht="16.5" customHeight="1">
      <c r="A284" s="109" t="s">
        <v>143</v>
      </c>
      <c r="B284" s="109" t="s">
        <v>31</v>
      </c>
      <c r="C284" s="111">
        <v>-4247916.67</v>
      </c>
      <c r="D284" s="111" t="s">
        <v>10</v>
      </c>
      <c r="E284" s="111">
        <f t="shared" si="43"/>
        <v>4247916.67</v>
      </c>
      <c r="F284" s="111" t="s">
        <v>6</v>
      </c>
      <c r="G284" s="111"/>
      <c r="H284" s="111" t="s">
        <v>165</v>
      </c>
      <c r="I284" s="111"/>
    </row>
    <row r="285" spans="1:9" ht="16.5" customHeight="1">
      <c r="A285" s="109" t="s">
        <v>144</v>
      </c>
      <c r="B285" s="109" t="s">
        <v>33</v>
      </c>
      <c r="C285" s="147">
        <v>30540797.66</v>
      </c>
      <c r="D285" s="111" t="s">
        <v>10</v>
      </c>
      <c r="E285" s="111">
        <f t="shared" si="43"/>
        <v>-30540797.66</v>
      </c>
      <c r="F285" s="111" t="s">
        <v>5</v>
      </c>
      <c r="G285" s="111"/>
      <c r="H285" s="111" t="s">
        <v>166</v>
      </c>
      <c r="I285" s="111"/>
    </row>
    <row r="286" spans="1:9" ht="16.5" customHeight="1">
      <c r="A286" s="109" t="s">
        <v>145</v>
      </c>
      <c r="B286" s="109" t="s">
        <v>27</v>
      </c>
      <c r="C286" s="111">
        <v>824350.51</v>
      </c>
      <c r="D286" s="111" t="s">
        <v>7</v>
      </c>
      <c r="E286" s="111">
        <f t="shared" si="43"/>
        <v>-824350.51</v>
      </c>
      <c r="F286" s="111" t="s">
        <v>5</v>
      </c>
      <c r="G286" s="111"/>
      <c r="H286" s="111" t="s">
        <v>185</v>
      </c>
      <c r="I286" s="111"/>
    </row>
    <row r="287" spans="1:9" ht="16.5" customHeight="1">
      <c r="A287" s="109" t="s">
        <v>146</v>
      </c>
      <c r="B287" s="109" t="s">
        <v>111</v>
      </c>
      <c r="C287" s="111">
        <v>10984424.310000001</v>
      </c>
      <c r="D287" s="111" t="s">
        <v>7</v>
      </c>
      <c r="E287" s="111">
        <f t="shared" si="43"/>
        <v>-10984424.310000001</v>
      </c>
      <c r="F287" s="111" t="s">
        <v>5</v>
      </c>
      <c r="G287" s="111"/>
      <c r="H287" s="111" t="s">
        <v>170</v>
      </c>
      <c r="I287" s="111"/>
    </row>
    <row r="288" spans="1:9" ht="16.5" customHeight="1">
      <c r="A288" s="109" t="s">
        <v>192</v>
      </c>
      <c r="B288" s="109" t="s">
        <v>111</v>
      </c>
      <c r="C288" s="111">
        <v>1900000</v>
      </c>
      <c r="D288" s="111" t="s">
        <v>120</v>
      </c>
      <c r="E288" s="111">
        <f t="shared" si="43"/>
        <v>-1900000</v>
      </c>
      <c r="F288" s="111" t="s">
        <v>6</v>
      </c>
      <c r="G288" s="111"/>
      <c r="H288" s="111" t="s">
        <v>183</v>
      </c>
      <c r="I288" s="111"/>
    </row>
    <row r="289" spans="1:9" ht="16.5" customHeight="1">
      <c r="A289" s="109" t="s">
        <v>193</v>
      </c>
      <c r="B289" s="109" t="s">
        <v>111</v>
      </c>
      <c r="C289" s="111">
        <v>155555.56</v>
      </c>
      <c r="D289" s="111" t="s">
        <v>120</v>
      </c>
      <c r="E289" s="111">
        <f t="shared" si="43"/>
        <v>-155555.56</v>
      </c>
      <c r="F289" s="111" t="s">
        <v>6</v>
      </c>
      <c r="G289" s="111"/>
      <c r="H289" s="111" t="s">
        <v>183</v>
      </c>
      <c r="I289" s="111"/>
    </row>
    <row r="290" spans="1:9" ht="16.5" customHeight="1">
      <c r="A290" s="109" t="s">
        <v>194</v>
      </c>
      <c r="B290" s="111" t="s">
        <v>31</v>
      </c>
      <c r="C290" s="111"/>
      <c r="D290" s="111" t="s">
        <v>8</v>
      </c>
      <c r="E290" s="111"/>
      <c r="F290" s="111" t="s">
        <v>5</v>
      </c>
      <c r="G290" s="111"/>
      <c r="H290" s="111" t="s">
        <v>233</v>
      </c>
      <c r="I290" s="111"/>
    </row>
    <row r="291" spans="1:9" ht="16.5" customHeight="1">
      <c r="A291" s="109" t="s">
        <v>195</v>
      </c>
      <c r="B291" s="111" t="s">
        <v>111</v>
      </c>
      <c r="C291" s="147">
        <v>-237989.03</v>
      </c>
      <c r="D291" s="111" t="s">
        <v>15</v>
      </c>
      <c r="E291" s="111">
        <f t="shared" si="43"/>
        <v>237989.03</v>
      </c>
      <c r="F291" s="111" t="s">
        <v>6</v>
      </c>
      <c r="G291" s="111"/>
      <c r="H291" s="111" t="s">
        <v>234</v>
      </c>
      <c r="I291" s="111"/>
    </row>
    <row r="292" spans="1:9" ht="16.5" customHeight="1">
      <c r="A292" s="109" t="s">
        <v>196</v>
      </c>
      <c r="B292" s="111" t="s">
        <v>31</v>
      </c>
      <c r="C292" s="145"/>
      <c r="D292" s="111" t="s">
        <v>15</v>
      </c>
      <c r="E292" s="111">
        <f t="shared" si="43"/>
        <v>0</v>
      </c>
      <c r="F292" s="111" t="s">
        <v>6</v>
      </c>
      <c r="G292" s="111"/>
      <c r="H292" s="111" t="s">
        <v>235</v>
      </c>
      <c r="I292" s="111"/>
    </row>
    <row r="293" spans="1:9" ht="16.5" customHeight="1">
      <c r="A293" s="109" t="s">
        <v>197</v>
      </c>
      <c r="B293" s="111" t="s">
        <v>28</v>
      </c>
      <c r="C293" s="111">
        <v>-130000</v>
      </c>
      <c r="D293" s="111" t="s">
        <v>16</v>
      </c>
      <c r="E293" s="111">
        <f t="shared" si="43"/>
        <v>130000</v>
      </c>
      <c r="F293" s="111" t="s">
        <v>23</v>
      </c>
      <c r="G293" s="111"/>
      <c r="H293" s="147" t="s">
        <v>228</v>
      </c>
      <c r="I293" s="111"/>
    </row>
    <row r="294" spans="1:9" ht="16.5" customHeight="1">
      <c r="A294" s="109" t="s">
        <v>198</v>
      </c>
      <c r="B294" s="111" t="s">
        <v>28</v>
      </c>
      <c r="C294" s="111">
        <v>-143910.26</v>
      </c>
      <c r="D294" s="111" t="s">
        <v>16</v>
      </c>
      <c r="E294" s="111">
        <f t="shared" si="43"/>
        <v>143910.26</v>
      </c>
      <c r="F294" s="111" t="s">
        <v>7</v>
      </c>
      <c r="G294" s="111"/>
      <c r="H294" s="147" t="s">
        <v>229</v>
      </c>
      <c r="I294" s="111"/>
    </row>
    <row r="295" spans="1:9" ht="16.5" customHeight="1">
      <c r="A295" s="109" t="s">
        <v>199</v>
      </c>
      <c r="B295" s="111"/>
      <c r="C295" s="111"/>
      <c r="D295" s="111"/>
      <c r="E295" s="111">
        <f t="shared" si="43"/>
        <v>0</v>
      </c>
      <c r="F295" s="111"/>
      <c r="G295" s="111"/>
      <c r="H295" s="111"/>
      <c r="I295" s="111"/>
    </row>
    <row r="296" spans="1:9" ht="16.5" customHeight="1">
      <c r="A296" s="226"/>
      <c r="B296" s="226" t="s">
        <v>147</v>
      </c>
      <c r="C296" s="229">
        <f>SUM(C297:C313)</f>
        <v>424764.79</v>
      </c>
      <c r="D296" s="229"/>
      <c r="E296" s="229">
        <f>SUM(E297:E313)</f>
        <v>-424764.79</v>
      </c>
      <c r="F296" s="228"/>
      <c r="G296" s="228"/>
      <c r="H296" s="228"/>
      <c r="I296" s="228"/>
    </row>
    <row r="297" spans="1:9" ht="16.5" customHeight="1">
      <c r="A297" s="109" t="s">
        <v>132</v>
      </c>
      <c r="B297" s="109" t="s">
        <v>114</v>
      </c>
      <c r="C297" s="114">
        <f>ROUND(-C321*0.056,2)</f>
        <v>1316.93</v>
      </c>
      <c r="D297" s="111" t="str">
        <f>D273</f>
        <v>证券投资部</v>
      </c>
      <c r="E297" s="111">
        <f>-C297</f>
        <v>-1316.93</v>
      </c>
      <c r="F297" s="111" t="str">
        <f>F273</f>
        <v>总部中后台</v>
      </c>
      <c r="G297" s="115"/>
      <c r="H297" s="116" t="s">
        <v>207</v>
      </c>
      <c r="I297" s="115"/>
    </row>
    <row r="298" spans="1:9" ht="16.5" customHeight="1">
      <c r="A298" s="109" t="s">
        <v>133</v>
      </c>
      <c r="B298" s="109" t="s">
        <v>114</v>
      </c>
      <c r="C298" s="114">
        <f>ROUND(-C322*0.056,2)</f>
        <v>64.87</v>
      </c>
      <c r="D298" s="111" t="str">
        <f>D274</f>
        <v>证券投资部</v>
      </c>
      <c r="E298" s="111">
        <f>-C298</f>
        <v>-64.87</v>
      </c>
      <c r="F298" s="111" t="s">
        <v>10</v>
      </c>
      <c r="G298" s="115"/>
      <c r="H298" s="116" t="s">
        <v>208</v>
      </c>
      <c r="I298" s="115"/>
    </row>
    <row r="299" spans="1:9" ht="16.5" customHeight="1">
      <c r="A299" s="109" t="s">
        <v>134</v>
      </c>
      <c r="B299" s="109" t="s">
        <v>114</v>
      </c>
      <c r="C299" s="117">
        <f>ROUND(IF(LEFT(B275,1)="4",-C323*0.056,(C275-C323)*0.056),2)</f>
        <v>-1228.83</v>
      </c>
      <c r="D299" s="111" t="str">
        <f>D275</f>
        <v>证券投资部</v>
      </c>
      <c r="E299" s="111">
        <f>-C299</f>
        <v>1228.83</v>
      </c>
      <c r="F299" s="111" t="str">
        <f>F275</f>
        <v>固定收益部</v>
      </c>
      <c r="G299" s="115"/>
      <c r="H299" s="115"/>
      <c r="I299" s="115"/>
    </row>
    <row r="300" spans="1:9" ht="16.5" customHeight="1">
      <c r="A300" s="109" t="s">
        <v>135</v>
      </c>
      <c r="B300" s="109" t="s">
        <v>114</v>
      </c>
      <c r="C300" s="117">
        <f t="shared" ref="C300:C313" si="44">ROUND(IF(LEFT(B276,1)="4",-C324*0.056,(C276-C324)*0.056),2)</f>
        <v>918.89</v>
      </c>
      <c r="D300" s="111" t="str">
        <f>D276</f>
        <v>证券投资部</v>
      </c>
      <c r="E300" s="111">
        <f t="shared" ref="E300:E313" si="45">-C300</f>
        <v>-918.89</v>
      </c>
      <c r="F300" s="111" t="str">
        <f>F276</f>
        <v>金融工程部</v>
      </c>
      <c r="G300" s="115"/>
      <c r="H300" s="115"/>
      <c r="I300" s="115"/>
    </row>
    <row r="301" spans="1:9" ht="16.5" customHeight="1">
      <c r="A301" s="109" t="s">
        <v>136</v>
      </c>
      <c r="B301" s="109" t="s">
        <v>114</v>
      </c>
      <c r="C301" s="117">
        <f t="shared" si="44"/>
        <v>-13.01</v>
      </c>
      <c r="D301" s="111" t="str">
        <f t="shared" ref="D301:D312" si="46">D277</f>
        <v>证券投资部</v>
      </c>
      <c r="E301" s="111">
        <f t="shared" si="45"/>
        <v>13.01</v>
      </c>
      <c r="F301" s="111" t="str">
        <f t="shared" ref="F301:F312" si="47">F277</f>
        <v>金融衍生品投资部</v>
      </c>
      <c r="G301" s="115"/>
      <c r="H301" s="115"/>
      <c r="I301" s="115"/>
    </row>
    <row r="302" spans="1:9" ht="16.5" customHeight="1">
      <c r="A302" s="109" t="s">
        <v>137</v>
      </c>
      <c r="B302" s="109" t="s">
        <v>114</v>
      </c>
      <c r="C302" s="117">
        <f t="shared" si="44"/>
        <v>-34473.17</v>
      </c>
      <c r="D302" s="111" t="str">
        <f t="shared" si="46"/>
        <v>证券投资部</v>
      </c>
      <c r="E302" s="111">
        <f t="shared" si="45"/>
        <v>34473.17</v>
      </c>
      <c r="F302" s="111" t="str">
        <f t="shared" si="47"/>
        <v>固定收益部</v>
      </c>
      <c r="G302" s="115"/>
      <c r="H302" s="115"/>
      <c r="I302" s="115"/>
    </row>
    <row r="303" spans="1:9" ht="16.5" customHeight="1">
      <c r="A303" s="109" t="s">
        <v>138</v>
      </c>
      <c r="B303" s="109" t="s">
        <v>114</v>
      </c>
      <c r="C303" s="117">
        <f t="shared" si="44"/>
        <v>-148.62</v>
      </c>
      <c r="D303" s="111" t="str">
        <f t="shared" si="46"/>
        <v>证券投资部</v>
      </c>
      <c r="E303" s="111">
        <f t="shared" si="45"/>
        <v>148.62</v>
      </c>
      <c r="F303" s="111" t="str">
        <f t="shared" si="47"/>
        <v>固定收益部</v>
      </c>
      <c r="G303" s="115"/>
      <c r="H303" s="115"/>
      <c r="I303" s="115"/>
    </row>
    <row r="304" spans="1:9" ht="16.5" customHeight="1">
      <c r="A304" s="109" t="s">
        <v>139</v>
      </c>
      <c r="B304" s="109" t="s">
        <v>114</v>
      </c>
      <c r="C304" s="117">
        <f t="shared" si="44"/>
        <v>-231948.67</v>
      </c>
      <c r="D304" s="111" t="str">
        <f t="shared" si="46"/>
        <v>证券投资部</v>
      </c>
      <c r="E304" s="111">
        <f t="shared" si="45"/>
        <v>231948.67</v>
      </c>
      <c r="F304" s="111" t="str">
        <f t="shared" si="47"/>
        <v>总部中后台</v>
      </c>
      <c r="G304" s="115"/>
      <c r="H304" s="115"/>
      <c r="I304" s="115"/>
    </row>
    <row r="305" spans="1:9" ht="16.5" customHeight="1">
      <c r="A305" s="109" t="s">
        <v>140</v>
      </c>
      <c r="B305" s="109" t="s">
        <v>114</v>
      </c>
      <c r="C305" s="117">
        <f t="shared" si="44"/>
        <v>0</v>
      </c>
      <c r="D305" s="111" t="str">
        <f t="shared" si="46"/>
        <v>中小企业融资部</v>
      </c>
      <c r="E305" s="111">
        <f t="shared" si="45"/>
        <v>0</v>
      </c>
      <c r="F305" s="111" t="str">
        <f t="shared" si="47"/>
        <v>股权融资部</v>
      </c>
      <c r="G305" s="115"/>
      <c r="H305" s="115"/>
      <c r="I305" s="115"/>
    </row>
    <row r="306" spans="1:9" ht="16.5" customHeight="1">
      <c r="A306" s="109" t="s">
        <v>141</v>
      </c>
      <c r="B306" s="109" t="s">
        <v>114</v>
      </c>
      <c r="C306" s="117">
        <f t="shared" si="44"/>
        <v>33096</v>
      </c>
      <c r="D306" s="111" t="str">
        <f t="shared" si="46"/>
        <v>证券投资部</v>
      </c>
      <c r="E306" s="111">
        <f t="shared" si="45"/>
        <v>-33096</v>
      </c>
      <c r="F306" s="111" t="str">
        <f t="shared" si="47"/>
        <v>中小企业融资部</v>
      </c>
      <c r="G306" s="115"/>
      <c r="H306" s="115"/>
      <c r="I306" s="115"/>
    </row>
    <row r="307" spans="1:9" ht="16.5" customHeight="1">
      <c r="A307" s="109" t="s">
        <v>142</v>
      </c>
      <c r="B307" s="109" t="s">
        <v>114</v>
      </c>
      <c r="C307" s="117">
        <f t="shared" si="44"/>
        <v>152393.29</v>
      </c>
      <c r="D307" s="111" t="str">
        <f t="shared" si="46"/>
        <v>固定收益部</v>
      </c>
      <c r="E307" s="111">
        <f t="shared" si="45"/>
        <v>-152393.29</v>
      </c>
      <c r="F307" s="111" t="str">
        <f t="shared" si="47"/>
        <v>其他</v>
      </c>
      <c r="G307" s="115"/>
      <c r="H307" s="115"/>
      <c r="I307" s="115"/>
    </row>
    <row r="308" spans="1:9" ht="16.5" customHeight="1">
      <c r="A308" s="109" t="s">
        <v>143</v>
      </c>
      <c r="B308" s="109" t="s">
        <v>114</v>
      </c>
      <c r="C308" s="117">
        <f t="shared" si="44"/>
        <v>-234315.08</v>
      </c>
      <c r="D308" s="111" t="str">
        <f t="shared" si="46"/>
        <v>固定收益部</v>
      </c>
      <c r="E308" s="111">
        <f t="shared" si="45"/>
        <v>234315.08</v>
      </c>
      <c r="F308" s="111" t="str">
        <f t="shared" si="47"/>
        <v>总部中后台</v>
      </c>
      <c r="G308" s="115"/>
      <c r="H308" s="118"/>
      <c r="I308" s="118"/>
    </row>
    <row r="309" spans="1:9" ht="16.5" customHeight="1">
      <c r="A309" s="109" t="s">
        <v>144</v>
      </c>
      <c r="B309" s="109" t="s">
        <v>114</v>
      </c>
      <c r="C309" s="117">
        <f t="shared" si="44"/>
        <v>-25654.27</v>
      </c>
      <c r="D309" s="111" t="str">
        <f t="shared" si="46"/>
        <v>固定收益部</v>
      </c>
      <c r="E309" s="111">
        <f t="shared" si="45"/>
        <v>25654.27</v>
      </c>
      <c r="F309" s="111" t="str">
        <f t="shared" si="47"/>
        <v>其他</v>
      </c>
      <c r="G309" s="115"/>
      <c r="H309" s="118"/>
      <c r="I309" s="118"/>
    </row>
    <row r="310" spans="1:9" ht="16.5" customHeight="1">
      <c r="A310" s="109" t="s">
        <v>145</v>
      </c>
      <c r="B310" s="109" t="s">
        <v>114</v>
      </c>
      <c r="C310" s="117">
        <f t="shared" si="44"/>
        <v>45471.17</v>
      </c>
      <c r="D310" s="111" t="str">
        <f t="shared" si="46"/>
        <v>经纪业务部</v>
      </c>
      <c r="E310" s="111">
        <f t="shared" si="45"/>
        <v>-45471.17</v>
      </c>
      <c r="F310" s="111" t="str">
        <f t="shared" si="47"/>
        <v>其他</v>
      </c>
      <c r="G310" s="115"/>
      <c r="H310" s="118"/>
      <c r="I310" s="118"/>
    </row>
    <row r="311" spans="1:9" ht="16.5" customHeight="1">
      <c r="A311" s="109" t="s">
        <v>146</v>
      </c>
      <c r="B311" s="109" t="s">
        <v>114</v>
      </c>
      <c r="C311" s="117">
        <f t="shared" si="44"/>
        <v>605900.85</v>
      </c>
      <c r="D311" s="111" t="str">
        <f t="shared" si="46"/>
        <v>经纪业务部</v>
      </c>
      <c r="E311" s="111">
        <f t="shared" si="45"/>
        <v>-605900.85</v>
      </c>
      <c r="F311" s="111" t="str">
        <f t="shared" si="47"/>
        <v>其他</v>
      </c>
      <c r="G311" s="115"/>
      <c r="H311" s="118"/>
      <c r="I311" s="118"/>
    </row>
    <row r="312" spans="1:9" ht="16.5" customHeight="1">
      <c r="A312" s="109" t="s">
        <v>192</v>
      </c>
      <c r="B312" s="109" t="s">
        <v>114</v>
      </c>
      <c r="C312" s="117">
        <f t="shared" si="44"/>
        <v>104804</v>
      </c>
      <c r="D312" s="111" t="str">
        <f t="shared" si="46"/>
        <v>投资银行总部</v>
      </c>
      <c r="E312" s="111">
        <f t="shared" si="45"/>
        <v>-104804</v>
      </c>
      <c r="F312" s="111" t="str">
        <f t="shared" si="47"/>
        <v>总部中后台</v>
      </c>
      <c r="G312" s="115"/>
      <c r="H312" s="118"/>
      <c r="I312" s="118"/>
    </row>
    <row r="313" spans="1:9" ht="16.5" customHeight="1">
      <c r="A313" s="109" t="s">
        <v>193</v>
      </c>
      <c r="B313" s="109" t="s">
        <v>114</v>
      </c>
      <c r="C313" s="117">
        <f t="shared" si="44"/>
        <v>8580.44</v>
      </c>
      <c r="D313" s="111" t="str">
        <f>D289</f>
        <v>投资银行总部</v>
      </c>
      <c r="E313" s="111">
        <f t="shared" si="45"/>
        <v>-8580.44</v>
      </c>
      <c r="F313" s="111" t="str">
        <f>F289</f>
        <v>总部中后台</v>
      </c>
      <c r="G313" s="115"/>
      <c r="H313" s="118"/>
      <c r="I313" s="118"/>
    </row>
    <row r="314" spans="1:9" ht="16.5" customHeight="1">
      <c r="A314" s="109" t="s">
        <v>194</v>
      </c>
      <c r="B314" s="109" t="s">
        <v>114</v>
      </c>
      <c r="C314" s="114"/>
      <c r="D314" s="119" t="str">
        <f>D290</f>
        <v>资产管理部</v>
      </c>
      <c r="E314" s="119">
        <f>-C314</f>
        <v>0</v>
      </c>
      <c r="F314" s="111" t="str">
        <f>F290</f>
        <v>其他</v>
      </c>
      <c r="G314" s="115"/>
      <c r="H314" s="116" t="s">
        <v>208</v>
      </c>
      <c r="I314" s="118"/>
    </row>
    <row r="315" spans="1:9" ht="16.5" customHeight="1">
      <c r="A315" s="109" t="s">
        <v>195</v>
      </c>
      <c r="B315" s="109" t="s">
        <v>114</v>
      </c>
      <c r="C315" s="117">
        <f>ROUND(IF(LEFT(B291,1)="4",-C339*0.056,(C291-C339)*0.056),2)</f>
        <v>-13127.47</v>
      </c>
      <c r="D315" s="111" t="str">
        <f>D291</f>
        <v>金融工程部</v>
      </c>
      <c r="E315" s="111">
        <f>-C315</f>
        <v>13127.47</v>
      </c>
      <c r="F315" s="111" t="str">
        <f>F291</f>
        <v>总部中后台</v>
      </c>
      <c r="G315" s="115"/>
      <c r="H315" s="118"/>
      <c r="I315" s="118"/>
    </row>
    <row r="316" spans="1:9" ht="16.5" customHeight="1">
      <c r="A316" s="109" t="s">
        <v>196</v>
      </c>
      <c r="B316" s="109" t="s">
        <v>114</v>
      </c>
      <c r="C316" s="117">
        <f>ROUND(IF(LEFT(B292,1)="4",-C340*0.056,(C292-C340)*0.056),2)</f>
        <v>0</v>
      </c>
      <c r="D316" s="111" t="str">
        <f>D292</f>
        <v>金融工程部</v>
      </c>
      <c r="E316" s="111">
        <f>-C316</f>
        <v>0</v>
      </c>
      <c r="F316" s="111" t="str">
        <f>F292</f>
        <v>总部中后台</v>
      </c>
      <c r="G316" s="115"/>
      <c r="H316" s="118"/>
      <c r="I316" s="118"/>
    </row>
    <row r="317" spans="1:9" ht="16.5" customHeight="1">
      <c r="A317" s="109" t="s">
        <v>197</v>
      </c>
      <c r="B317" s="109" t="s">
        <v>114</v>
      </c>
      <c r="C317" s="114">
        <f>--52570.5</f>
        <v>52570.5</v>
      </c>
      <c r="D317" s="114" t="s">
        <v>15</v>
      </c>
      <c r="E317" s="119">
        <f>-C317</f>
        <v>-52570.5</v>
      </c>
      <c r="F317" s="111" t="s">
        <v>5</v>
      </c>
      <c r="G317" s="116"/>
      <c r="H317" s="120" t="s">
        <v>209</v>
      </c>
      <c r="I317" s="118"/>
    </row>
    <row r="318" spans="1:9" ht="16.5" customHeight="1">
      <c r="A318" s="109" t="s">
        <v>198</v>
      </c>
      <c r="B318" s="109" t="s">
        <v>114</v>
      </c>
      <c r="C318" s="117">
        <f>ROUND(IF(LEFT(B293,1)="4",-C341*0.056,(C293-C341)*0.056),2)</f>
        <v>-7170.8</v>
      </c>
      <c r="D318" s="114" t="s">
        <v>16</v>
      </c>
      <c r="E318" s="119">
        <f t="shared" ref="E318:E319" si="48">-C318</f>
        <v>7170.8</v>
      </c>
      <c r="F318" s="111" t="s">
        <v>23</v>
      </c>
      <c r="G318" s="168"/>
      <c r="H318" s="169"/>
      <c r="I318" s="170"/>
    </row>
    <row r="319" spans="1:9" ht="16.5" customHeight="1">
      <c r="A319" s="109" t="s">
        <v>199</v>
      </c>
      <c r="B319" s="109" t="s">
        <v>114</v>
      </c>
      <c r="C319" s="117">
        <f>ROUND(IF(LEFT(B294,1)="4",-C342*0.056,(C294-C342)*0.056),2)</f>
        <v>-7938.09</v>
      </c>
      <c r="D319" s="114" t="s">
        <v>16</v>
      </c>
      <c r="E319" s="119">
        <f t="shared" si="48"/>
        <v>7938.09</v>
      </c>
      <c r="F319" s="111" t="s">
        <v>7</v>
      </c>
      <c r="G319" s="168"/>
      <c r="H319" s="169"/>
      <c r="I319" s="170"/>
    </row>
    <row r="320" spans="1:9" ht="16.5" customHeight="1">
      <c r="A320" s="226"/>
      <c r="B320" s="226" t="s">
        <v>148</v>
      </c>
      <c r="C320" s="229">
        <f>SUM(C321:C364)</f>
        <v>-21926123.916666672</v>
      </c>
      <c r="D320" s="229"/>
      <c r="E320" s="229">
        <f>SUM(E321:E364)</f>
        <v>-10154651.053333331</v>
      </c>
      <c r="F320" s="230"/>
      <c r="G320" s="226" t="s">
        <v>127</v>
      </c>
      <c r="H320" s="230" t="s">
        <v>128</v>
      </c>
      <c r="I320" s="230" t="s">
        <v>129</v>
      </c>
    </row>
    <row r="321" spans="1:9" ht="16.5" customHeight="1">
      <c r="A321" s="109" t="s">
        <v>132</v>
      </c>
      <c r="B321" s="121" t="s">
        <v>115</v>
      </c>
      <c r="C321" s="122">
        <f>ROUND(C273*0.015,2)</f>
        <v>-23516.63</v>
      </c>
      <c r="D321" s="122" t="str">
        <f t="shared" ref="D321:D340" si="49">D273</f>
        <v>证券投资部</v>
      </c>
      <c r="E321" s="122">
        <f>-C321</f>
        <v>23516.63</v>
      </c>
      <c r="F321" s="122" t="str">
        <f t="shared" ref="F321:F328" si="50">F273</f>
        <v>总部中后台</v>
      </c>
      <c r="G321" s="111" t="s">
        <v>73</v>
      </c>
      <c r="H321" s="123"/>
      <c r="I321" s="123"/>
    </row>
    <row r="322" spans="1:9" ht="16.5" customHeight="1">
      <c r="A322" s="109" t="s">
        <v>133</v>
      </c>
      <c r="B322" s="121" t="s">
        <v>115</v>
      </c>
      <c r="C322" s="122">
        <f t="shared" ref="C322:C342" si="51">ROUND(C274*0.015,2)</f>
        <v>-1158.45</v>
      </c>
      <c r="D322" s="122" t="str">
        <f t="shared" si="49"/>
        <v>证券投资部</v>
      </c>
      <c r="E322" s="122">
        <f>-C322</f>
        <v>1158.45</v>
      </c>
      <c r="F322" s="122" t="str">
        <f t="shared" si="50"/>
        <v>固定收益部</v>
      </c>
      <c r="G322" s="111" t="s">
        <v>73</v>
      </c>
      <c r="H322" s="123"/>
      <c r="I322" s="123"/>
    </row>
    <row r="323" spans="1:9" ht="16.5" customHeight="1">
      <c r="A323" s="109" t="s">
        <v>134</v>
      </c>
      <c r="B323" s="121" t="s">
        <v>115</v>
      </c>
      <c r="C323" s="122">
        <f t="shared" si="51"/>
        <v>21943.35</v>
      </c>
      <c r="D323" s="122" t="str">
        <f t="shared" si="49"/>
        <v>证券投资部</v>
      </c>
      <c r="E323" s="122">
        <f t="shared" ref="E323:E342" si="52">-C323</f>
        <v>-21943.35</v>
      </c>
      <c r="F323" s="122" t="str">
        <f t="shared" si="50"/>
        <v>固定收益部</v>
      </c>
      <c r="G323" s="111" t="s">
        <v>73</v>
      </c>
      <c r="H323" s="123"/>
      <c r="I323" s="123"/>
    </row>
    <row r="324" spans="1:9" ht="16.5" customHeight="1">
      <c r="A324" s="109" t="s">
        <v>135</v>
      </c>
      <c r="B324" s="121" t="s">
        <v>115</v>
      </c>
      <c r="C324" s="122">
        <f t="shared" si="51"/>
        <v>-16408.759999999998</v>
      </c>
      <c r="D324" s="122" t="str">
        <f t="shared" si="49"/>
        <v>证券投资部</v>
      </c>
      <c r="E324" s="122">
        <f t="shared" si="52"/>
        <v>16408.759999999998</v>
      </c>
      <c r="F324" s="122" t="str">
        <f t="shared" si="50"/>
        <v>金融工程部</v>
      </c>
      <c r="G324" s="111" t="s">
        <v>73</v>
      </c>
      <c r="H324" s="123"/>
      <c r="I324" s="123"/>
    </row>
    <row r="325" spans="1:9" ht="16.5" customHeight="1">
      <c r="A325" s="109" t="s">
        <v>136</v>
      </c>
      <c r="B325" s="121" t="s">
        <v>115</v>
      </c>
      <c r="C325" s="122">
        <f t="shared" si="51"/>
        <v>232.31</v>
      </c>
      <c r="D325" s="122" t="str">
        <f t="shared" si="49"/>
        <v>证券投资部</v>
      </c>
      <c r="E325" s="122">
        <f t="shared" si="52"/>
        <v>-232.31</v>
      </c>
      <c r="F325" s="122" t="str">
        <f t="shared" si="50"/>
        <v>金融衍生品投资部</v>
      </c>
      <c r="G325" s="111" t="s">
        <v>73</v>
      </c>
      <c r="H325" s="123"/>
      <c r="I325" s="123"/>
    </row>
    <row r="326" spans="1:9" ht="16.5" customHeight="1">
      <c r="A326" s="109" t="s">
        <v>137</v>
      </c>
      <c r="B326" s="121" t="s">
        <v>115</v>
      </c>
      <c r="C326" s="122">
        <f t="shared" si="51"/>
        <v>-9374.5</v>
      </c>
      <c r="D326" s="122" t="str">
        <f t="shared" si="49"/>
        <v>证券投资部</v>
      </c>
      <c r="E326" s="122">
        <f t="shared" si="52"/>
        <v>9374.5</v>
      </c>
      <c r="F326" s="122" t="str">
        <f t="shared" si="50"/>
        <v>固定收益部</v>
      </c>
      <c r="G326" s="111" t="s">
        <v>73</v>
      </c>
      <c r="H326" s="123"/>
      <c r="I326" s="123"/>
    </row>
    <row r="327" spans="1:9" ht="16.5" customHeight="1">
      <c r="A327" s="109" t="s">
        <v>138</v>
      </c>
      <c r="B327" s="121" t="s">
        <v>115</v>
      </c>
      <c r="C327" s="122">
        <f t="shared" si="51"/>
        <v>2653.99</v>
      </c>
      <c r="D327" s="122" t="str">
        <f t="shared" si="49"/>
        <v>证券投资部</v>
      </c>
      <c r="E327" s="122">
        <f t="shared" si="52"/>
        <v>-2653.99</v>
      </c>
      <c r="F327" s="122" t="str">
        <f t="shared" si="50"/>
        <v>固定收益部</v>
      </c>
      <c r="G327" s="111" t="s">
        <v>73</v>
      </c>
      <c r="H327" s="123"/>
      <c r="I327" s="123"/>
    </row>
    <row r="328" spans="1:9" ht="16.5" customHeight="1">
      <c r="A328" s="109" t="s">
        <v>139</v>
      </c>
      <c r="B328" s="121" t="s">
        <v>115</v>
      </c>
      <c r="C328" s="122">
        <f t="shared" si="51"/>
        <v>-63075.24</v>
      </c>
      <c r="D328" s="122" t="str">
        <f t="shared" si="49"/>
        <v>证券投资部</v>
      </c>
      <c r="E328" s="122">
        <f t="shared" si="52"/>
        <v>63075.24</v>
      </c>
      <c r="F328" s="122" t="str">
        <f t="shared" si="50"/>
        <v>总部中后台</v>
      </c>
      <c r="G328" s="111" t="s">
        <v>73</v>
      </c>
      <c r="H328" s="123"/>
      <c r="I328" s="123"/>
    </row>
    <row r="329" spans="1:9" ht="16.5" customHeight="1">
      <c r="A329" s="109" t="s">
        <v>140</v>
      </c>
      <c r="B329" s="121" t="s">
        <v>115</v>
      </c>
      <c r="C329" s="122">
        <f t="shared" si="51"/>
        <v>0</v>
      </c>
      <c r="D329" s="122" t="str">
        <f t="shared" si="49"/>
        <v>中小企业融资部</v>
      </c>
      <c r="E329" s="122">
        <f t="shared" si="52"/>
        <v>0</v>
      </c>
      <c r="F329" s="122" t="s">
        <v>206</v>
      </c>
      <c r="G329" s="111" t="s">
        <v>73</v>
      </c>
      <c r="H329" s="123"/>
      <c r="I329" s="123"/>
    </row>
    <row r="330" spans="1:9" ht="16.5" customHeight="1">
      <c r="A330" s="109" t="s">
        <v>141</v>
      </c>
      <c r="B330" s="121" t="s">
        <v>115</v>
      </c>
      <c r="C330" s="122">
        <f t="shared" si="51"/>
        <v>9000</v>
      </c>
      <c r="D330" s="122" t="str">
        <f t="shared" si="49"/>
        <v>证券投资部</v>
      </c>
      <c r="E330" s="122">
        <f t="shared" si="52"/>
        <v>-9000</v>
      </c>
      <c r="F330" s="122" t="str">
        <f t="shared" ref="F330:F340" si="53">F282</f>
        <v>中小企业融资部</v>
      </c>
      <c r="G330" s="111" t="s">
        <v>73</v>
      </c>
      <c r="H330" s="123"/>
      <c r="I330" s="123"/>
    </row>
    <row r="331" spans="1:9" ht="16.5" customHeight="1">
      <c r="A331" s="109" t="s">
        <v>142</v>
      </c>
      <c r="B331" s="121" t="s">
        <v>115</v>
      </c>
      <c r="C331" s="122">
        <f t="shared" si="51"/>
        <v>41441.25</v>
      </c>
      <c r="D331" s="122" t="str">
        <f t="shared" si="49"/>
        <v>固定收益部</v>
      </c>
      <c r="E331" s="122">
        <f t="shared" si="52"/>
        <v>-41441.25</v>
      </c>
      <c r="F331" s="122" t="str">
        <f t="shared" si="53"/>
        <v>其他</v>
      </c>
      <c r="G331" s="111" t="s">
        <v>73</v>
      </c>
      <c r="H331" s="123"/>
      <c r="I331" s="123"/>
    </row>
    <row r="332" spans="1:9" ht="16.5" customHeight="1">
      <c r="A332" s="109" t="s">
        <v>143</v>
      </c>
      <c r="B332" s="121" t="s">
        <v>115</v>
      </c>
      <c r="C332" s="122">
        <f t="shared" si="51"/>
        <v>-63718.75</v>
      </c>
      <c r="D332" s="122" t="str">
        <f t="shared" si="49"/>
        <v>固定收益部</v>
      </c>
      <c r="E332" s="122">
        <f t="shared" si="52"/>
        <v>63718.75</v>
      </c>
      <c r="F332" s="122" t="str">
        <f t="shared" si="53"/>
        <v>总部中后台</v>
      </c>
      <c r="G332" s="111" t="s">
        <v>73</v>
      </c>
      <c r="H332" s="123"/>
      <c r="I332" s="123"/>
    </row>
    <row r="333" spans="1:9" ht="16.5" customHeight="1">
      <c r="A333" s="109" t="s">
        <v>144</v>
      </c>
      <c r="B333" s="121" t="s">
        <v>115</v>
      </c>
      <c r="C333" s="122">
        <f t="shared" si="51"/>
        <v>458111.96</v>
      </c>
      <c r="D333" s="122" t="str">
        <f t="shared" si="49"/>
        <v>固定收益部</v>
      </c>
      <c r="E333" s="122">
        <f t="shared" si="52"/>
        <v>-458111.96</v>
      </c>
      <c r="F333" s="122" t="str">
        <f t="shared" si="53"/>
        <v>其他</v>
      </c>
      <c r="G333" s="111" t="s">
        <v>73</v>
      </c>
      <c r="H333" s="123"/>
      <c r="I333" s="123"/>
    </row>
    <row r="334" spans="1:9" ht="16.5" customHeight="1">
      <c r="A334" s="109" t="s">
        <v>145</v>
      </c>
      <c r="B334" s="121" t="s">
        <v>115</v>
      </c>
      <c r="C334" s="122">
        <f t="shared" si="51"/>
        <v>12365.26</v>
      </c>
      <c r="D334" s="122" t="str">
        <f t="shared" si="49"/>
        <v>经纪业务部</v>
      </c>
      <c r="E334" s="122">
        <f t="shared" si="52"/>
        <v>-12365.26</v>
      </c>
      <c r="F334" s="122" t="str">
        <f t="shared" si="53"/>
        <v>其他</v>
      </c>
      <c r="G334" s="111" t="s">
        <v>73</v>
      </c>
      <c r="H334" s="123"/>
      <c r="I334" s="123"/>
    </row>
    <row r="335" spans="1:9" ht="16.5" customHeight="1">
      <c r="A335" s="109" t="s">
        <v>146</v>
      </c>
      <c r="B335" s="121" t="s">
        <v>115</v>
      </c>
      <c r="C335" s="122">
        <f t="shared" si="51"/>
        <v>164766.35999999999</v>
      </c>
      <c r="D335" s="122" t="str">
        <f t="shared" si="49"/>
        <v>经纪业务部</v>
      </c>
      <c r="E335" s="122">
        <f t="shared" si="52"/>
        <v>-164766.35999999999</v>
      </c>
      <c r="F335" s="122" t="str">
        <f t="shared" si="53"/>
        <v>其他</v>
      </c>
      <c r="G335" s="111" t="s">
        <v>73</v>
      </c>
      <c r="H335" s="123"/>
      <c r="I335" s="123"/>
    </row>
    <row r="336" spans="1:9" ht="16.5" customHeight="1">
      <c r="A336" s="109" t="s">
        <v>192</v>
      </c>
      <c r="B336" s="121" t="s">
        <v>115</v>
      </c>
      <c r="C336" s="122">
        <f t="shared" si="51"/>
        <v>28500</v>
      </c>
      <c r="D336" s="122" t="str">
        <f t="shared" si="49"/>
        <v>投资银行总部</v>
      </c>
      <c r="E336" s="122">
        <f t="shared" si="52"/>
        <v>-28500</v>
      </c>
      <c r="F336" s="122" t="str">
        <f t="shared" si="53"/>
        <v>总部中后台</v>
      </c>
      <c r="G336" s="111" t="s">
        <v>73</v>
      </c>
      <c r="H336" s="123"/>
      <c r="I336" s="123"/>
    </row>
    <row r="337" spans="1:9" ht="16.5" customHeight="1">
      <c r="A337" s="109" t="s">
        <v>193</v>
      </c>
      <c r="B337" s="121" t="s">
        <v>115</v>
      </c>
      <c r="C337" s="122">
        <f t="shared" si="51"/>
        <v>2333.33</v>
      </c>
      <c r="D337" s="122" t="str">
        <f t="shared" si="49"/>
        <v>投资银行总部</v>
      </c>
      <c r="E337" s="122">
        <f t="shared" si="52"/>
        <v>-2333.33</v>
      </c>
      <c r="F337" s="122" t="str">
        <f t="shared" si="53"/>
        <v>总部中后台</v>
      </c>
      <c r="G337" s="111" t="s">
        <v>73</v>
      </c>
      <c r="H337" s="123"/>
      <c r="I337" s="123"/>
    </row>
    <row r="338" spans="1:9" ht="16.5" customHeight="1">
      <c r="A338" s="109" t="s">
        <v>194</v>
      </c>
      <c r="B338" s="121" t="s">
        <v>115</v>
      </c>
      <c r="C338" s="122">
        <f>ROUND(C290*0.015,2)</f>
        <v>0</v>
      </c>
      <c r="D338" s="122" t="str">
        <f t="shared" si="49"/>
        <v>资产管理部</v>
      </c>
      <c r="E338" s="122">
        <f t="shared" si="52"/>
        <v>0</v>
      </c>
      <c r="F338" s="122" t="str">
        <f t="shared" si="53"/>
        <v>其他</v>
      </c>
      <c r="G338" s="111" t="s">
        <v>73</v>
      </c>
      <c r="H338" s="123"/>
      <c r="I338" s="123"/>
    </row>
    <row r="339" spans="1:9" ht="16.5" customHeight="1">
      <c r="A339" s="109" t="s">
        <v>195</v>
      </c>
      <c r="B339" s="121" t="s">
        <v>115</v>
      </c>
      <c r="C339" s="122">
        <f t="shared" si="51"/>
        <v>-3569.84</v>
      </c>
      <c r="D339" s="122" t="str">
        <f t="shared" si="49"/>
        <v>金融工程部</v>
      </c>
      <c r="E339" s="122">
        <f t="shared" si="52"/>
        <v>3569.84</v>
      </c>
      <c r="F339" s="122" t="str">
        <f t="shared" si="53"/>
        <v>总部中后台</v>
      </c>
      <c r="G339" s="111" t="s">
        <v>73</v>
      </c>
      <c r="H339" s="123"/>
      <c r="I339" s="123"/>
    </row>
    <row r="340" spans="1:9" ht="16.5" customHeight="1">
      <c r="A340" s="109"/>
      <c r="B340" s="121" t="s">
        <v>115</v>
      </c>
      <c r="C340" s="122">
        <f t="shared" si="51"/>
        <v>0</v>
      </c>
      <c r="D340" s="122" t="str">
        <f t="shared" si="49"/>
        <v>金融工程部</v>
      </c>
      <c r="E340" s="122">
        <f t="shared" si="52"/>
        <v>0</v>
      </c>
      <c r="F340" s="122" t="str">
        <f t="shared" si="53"/>
        <v>总部中后台</v>
      </c>
      <c r="G340" s="111" t="s">
        <v>73</v>
      </c>
      <c r="H340" s="123"/>
      <c r="I340" s="123"/>
    </row>
    <row r="341" spans="1:9" ht="16.5" customHeight="1">
      <c r="A341" s="167"/>
      <c r="B341" s="121" t="s">
        <v>115</v>
      </c>
      <c r="C341" s="122">
        <f t="shared" si="51"/>
        <v>-1950</v>
      </c>
      <c r="D341" s="122" t="str">
        <f t="shared" ref="D341:D343" si="54">D293</f>
        <v>中小企业融资部</v>
      </c>
      <c r="E341" s="122">
        <f t="shared" si="52"/>
        <v>1950</v>
      </c>
      <c r="F341" s="171" t="s">
        <v>23</v>
      </c>
      <c r="G341" s="111" t="s">
        <v>73</v>
      </c>
      <c r="H341" s="171"/>
      <c r="I341" s="171"/>
    </row>
    <row r="342" spans="1:9" ht="16.5" customHeight="1">
      <c r="A342" s="167"/>
      <c r="B342" s="121" t="s">
        <v>115</v>
      </c>
      <c r="C342" s="122">
        <f t="shared" si="51"/>
        <v>-2158.65</v>
      </c>
      <c r="D342" s="122" t="str">
        <f t="shared" si="54"/>
        <v>中小企业融资部</v>
      </c>
      <c r="E342" s="122">
        <f t="shared" si="52"/>
        <v>2158.65</v>
      </c>
      <c r="F342" s="171" t="s">
        <v>7</v>
      </c>
      <c r="G342" s="111" t="s">
        <v>73</v>
      </c>
      <c r="H342" s="171"/>
      <c r="I342" s="171"/>
    </row>
    <row r="343" spans="1:9" ht="16.5" customHeight="1">
      <c r="A343" s="109"/>
      <c r="B343" s="121"/>
      <c r="C343" s="122"/>
      <c r="D343" s="122">
        <f t="shared" si="54"/>
        <v>0</v>
      </c>
      <c r="E343" s="122"/>
      <c r="F343" s="123"/>
      <c r="G343" s="111"/>
      <c r="H343" s="123"/>
      <c r="I343" s="123"/>
    </row>
    <row r="344" spans="1:9" ht="16.5" customHeight="1">
      <c r="A344" s="226"/>
      <c r="B344" s="226"/>
      <c r="C344" s="229"/>
      <c r="D344" s="229"/>
      <c r="E344" s="229"/>
      <c r="F344" s="230"/>
      <c r="G344" s="226"/>
      <c r="H344" s="230"/>
      <c r="I344" s="230"/>
    </row>
    <row r="345" spans="1:9" ht="16.5" customHeight="1">
      <c r="A345" s="109" t="s">
        <v>132</v>
      </c>
      <c r="B345" s="109" t="s">
        <v>115</v>
      </c>
      <c r="C345" s="122">
        <v>-19750</v>
      </c>
      <c r="D345" s="111" t="s">
        <v>205</v>
      </c>
      <c r="E345" s="122">
        <f t="shared" ref="E345:E359" si="55">-C345</f>
        <v>19750</v>
      </c>
      <c r="F345" s="111" t="s">
        <v>6</v>
      </c>
      <c r="G345" s="111" t="s">
        <v>76</v>
      </c>
      <c r="H345" s="123" t="s">
        <v>201</v>
      </c>
      <c r="I345" s="123"/>
    </row>
    <row r="346" spans="1:9" ht="16.5" customHeight="1">
      <c r="A346" s="109" t="s">
        <v>133</v>
      </c>
      <c r="B346" s="109" t="s">
        <v>115</v>
      </c>
      <c r="C346" s="122">
        <v>-19590</v>
      </c>
      <c r="D346" s="111" t="s">
        <v>24</v>
      </c>
      <c r="E346" s="122">
        <f t="shared" si="55"/>
        <v>19590</v>
      </c>
      <c r="F346" s="111" t="s">
        <v>6</v>
      </c>
      <c r="G346" s="111" t="s">
        <v>76</v>
      </c>
      <c r="H346" s="123" t="s">
        <v>201</v>
      </c>
      <c r="I346" s="123"/>
    </row>
    <row r="347" spans="1:9" ht="16.5" customHeight="1">
      <c r="A347" s="109" t="s">
        <v>134</v>
      </c>
      <c r="B347" s="109" t="s">
        <v>115</v>
      </c>
      <c r="C347" s="122">
        <v>-24920</v>
      </c>
      <c r="D347" s="111" t="s">
        <v>22</v>
      </c>
      <c r="E347" s="122">
        <f t="shared" si="55"/>
        <v>24920</v>
      </c>
      <c r="F347" s="111" t="s">
        <v>6</v>
      </c>
      <c r="G347" s="111" t="s">
        <v>76</v>
      </c>
      <c r="H347" s="123" t="s">
        <v>201</v>
      </c>
      <c r="I347" s="123"/>
    </row>
    <row r="348" spans="1:9" ht="16.5" customHeight="1">
      <c r="A348" s="109" t="s">
        <v>135</v>
      </c>
      <c r="B348" s="109" t="s">
        <v>115</v>
      </c>
      <c r="C348" s="122">
        <v>377</v>
      </c>
      <c r="D348" s="111" t="s">
        <v>10</v>
      </c>
      <c r="E348" s="122">
        <f t="shared" si="55"/>
        <v>-377</v>
      </c>
      <c r="F348" s="111" t="s">
        <v>7</v>
      </c>
      <c r="G348" s="111" t="s">
        <v>79</v>
      </c>
      <c r="H348" s="122" t="s">
        <v>189</v>
      </c>
      <c r="I348" s="123"/>
    </row>
    <row r="349" spans="1:9" ht="16.5" customHeight="1">
      <c r="A349" s="109" t="s">
        <v>136</v>
      </c>
      <c r="B349" s="109" t="s">
        <v>115</v>
      </c>
      <c r="C349" s="122">
        <v>1261</v>
      </c>
      <c r="D349" s="111" t="s">
        <v>10</v>
      </c>
      <c r="E349" s="122">
        <f t="shared" si="55"/>
        <v>-1261</v>
      </c>
      <c r="F349" s="111" t="s">
        <v>7</v>
      </c>
      <c r="G349" s="111" t="s">
        <v>89</v>
      </c>
      <c r="H349" s="122" t="s">
        <v>189</v>
      </c>
      <c r="I349" s="123"/>
    </row>
    <row r="350" spans="1:9" ht="16.5" customHeight="1">
      <c r="A350" s="109" t="s">
        <v>137</v>
      </c>
      <c r="B350" s="109" t="s">
        <v>115</v>
      </c>
      <c r="C350" s="122">
        <v>21462.5</v>
      </c>
      <c r="D350" s="111" t="s">
        <v>10</v>
      </c>
      <c r="E350" s="122">
        <f t="shared" si="55"/>
        <v>-21462.5</v>
      </c>
      <c r="F350" s="111" t="s">
        <v>7</v>
      </c>
      <c r="G350" s="111" t="s">
        <v>77</v>
      </c>
      <c r="H350" s="122" t="s">
        <v>189</v>
      </c>
      <c r="I350" s="123"/>
    </row>
    <row r="351" spans="1:9" ht="16.5" customHeight="1">
      <c r="A351" s="109" t="s">
        <v>138</v>
      </c>
      <c r="B351" s="109" t="s">
        <v>115</v>
      </c>
      <c r="C351" s="122">
        <v>5290</v>
      </c>
      <c r="D351" s="111" t="s">
        <v>10</v>
      </c>
      <c r="E351" s="122">
        <f t="shared" si="55"/>
        <v>-5290</v>
      </c>
      <c r="F351" s="111" t="s">
        <v>7</v>
      </c>
      <c r="G351" s="111" t="s">
        <v>76</v>
      </c>
      <c r="H351" s="122" t="s">
        <v>189</v>
      </c>
      <c r="I351" s="123"/>
    </row>
    <row r="352" spans="1:9" ht="16.5" customHeight="1">
      <c r="A352" s="109" t="s">
        <v>139</v>
      </c>
      <c r="B352" s="109" t="s">
        <v>115</v>
      </c>
      <c r="C352" s="122">
        <v>66</v>
      </c>
      <c r="D352" s="111" t="s">
        <v>10</v>
      </c>
      <c r="E352" s="122">
        <f t="shared" si="55"/>
        <v>-66</v>
      </c>
      <c r="F352" s="111" t="s">
        <v>7</v>
      </c>
      <c r="G352" s="111" t="s">
        <v>94</v>
      </c>
      <c r="H352" s="122" t="s">
        <v>189</v>
      </c>
      <c r="I352" s="123"/>
    </row>
    <row r="353" spans="1:9" ht="16.5" customHeight="1">
      <c r="A353" s="124" t="s">
        <v>171</v>
      </c>
      <c r="B353" s="109" t="s">
        <v>115</v>
      </c>
      <c r="C353" s="122">
        <f>(10000000/12*4)</f>
        <v>3333333.3333333335</v>
      </c>
      <c r="D353" s="111" t="s">
        <v>7</v>
      </c>
      <c r="E353" s="122">
        <f t="shared" si="55"/>
        <v>-3333333.3333333335</v>
      </c>
      <c r="F353" s="111" t="s">
        <v>5</v>
      </c>
      <c r="G353" s="111" t="s">
        <v>104</v>
      </c>
      <c r="H353" s="122" t="s">
        <v>172</v>
      </c>
      <c r="I353" s="123"/>
    </row>
    <row r="354" spans="1:9" ht="16.5" customHeight="1">
      <c r="A354" s="124" t="s">
        <v>141</v>
      </c>
      <c r="B354" s="109" t="s">
        <v>115</v>
      </c>
      <c r="C354" s="122">
        <v>-29400</v>
      </c>
      <c r="D354" s="111" t="s">
        <v>19</v>
      </c>
      <c r="E354" s="122">
        <f t="shared" si="55"/>
        <v>29400</v>
      </c>
      <c r="F354" s="111" t="s">
        <v>6</v>
      </c>
      <c r="G354" s="111" t="s">
        <v>76</v>
      </c>
      <c r="H354" s="123" t="s">
        <v>201</v>
      </c>
      <c r="I354" s="123"/>
    </row>
    <row r="355" spans="1:9" ht="16.5" customHeight="1">
      <c r="A355" s="124" t="s">
        <v>142</v>
      </c>
      <c r="B355" s="109" t="s">
        <v>115</v>
      </c>
      <c r="C355" s="122">
        <v>-14700</v>
      </c>
      <c r="D355" s="122" t="s">
        <v>20</v>
      </c>
      <c r="E355" s="122">
        <f t="shared" si="55"/>
        <v>14700</v>
      </c>
      <c r="F355" s="111" t="s">
        <v>6</v>
      </c>
      <c r="G355" s="111" t="s">
        <v>76</v>
      </c>
      <c r="H355" s="123" t="s">
        <v>201</v>
      </c>
      <c r="I355" s="123"/>
    </row>
    <row r="356" spans="1:9" ht="16.5" customHeight="1">
      <c r="A356" s="124" t="s">
        <v>143</v>
      </c>
      <c r="B356" s="109" t="s">
        <v>115</v>
      </c>
      <c r="C356" s="122">
        <v>-14700</v>
      </c>
      <c r="D356" s="122" t="s">
        <v>20</v>
      </c>
      <c r="E356" s="122">
        <f t="shared" si="55"/>
        <v>14700</v>
      </c>
      <c r="F356" s="111" t="s">
        <v>6</v>
      </c>
      <c r="G356" s="111" t="s">
        <v>76</v>
      </c>
      <c r="H356" s="123" t="s">
        <v>201</v>
      </c>
      <c r="I356" s="123"/>
    </row>
    <row r="357" spans="1:9" ht="16.5" customHeight="1">
      <c r="A357" s="124" t="s">
        <v>144</v>
      </c>
      <c r="B357" s="109" t="s">
        <v>115</v>
      </c>
      <c r="C357" s="122">
        <v>-397120</v>
      </c>
      <c r="D357" s="111" t="s">
        <v>7</v>
      </c>
      <c r="E357" s="122">
        <f t="shared" si="55"/>
        <v>397120</v>
      </c>
      <c r="F357" s="111" t="s">
        <v>6</v>
      </c>
      <c r="G357" s="111" t="s">
        <v>76</v>
      </c>
      <c r="H357" s="123" t="s">
        <v>201</v>
      </c>
      <c r="I357" s="123"/>
    </row>
    <row r="358" spans="1:9" ht="16.5" customHeight="1">
      <c r="A358" s="124" t="s">
        <v>145</v>
      </c>
      <c r="B358" s="109" t="s">
        <v>115</v>
      </c>
      <c r="C358" s="14">
        <v>1046400</v>
      </c>
      <c r="D358" s="8" t="s">
        <v>7</v>
      </c>
      <c r="E358" s="122">
        <f t="shared" si="55"/>
        <v>-1046400</v>
      </c>
      <c r="F358" s="111" t="s">
        <v>5</v>
      </c>
      <c r="G358" s="111" t="s">
        <v>84</v>
      </c>
      <c r="H358" s="14" t="s">
        <v>213</v>
      </c>
      <c r="I358" s="123"/>
    </row>
    <row r="359" spans="1:9" ht="16.5" customHeight="1">
      <c r="A359" s="124" t="s">
        <v>145</v>
      </c>
      <c r="B359" s="109" t="s">
        <v>115</v>
      </c>
      <c r="C359" s="14">
        <v>5710224.2299999986</v>
      </c>
      <c r="D359" s="8" t="s">
        <v>7</v>
      </c>
      <c r="E359" s="122">
        <f t="shared" si="55"/>
        <v>-5710224.2299999986</v>
      </c>
      <c r="F359" s="111" t="s">
        <v>5</v>
      </c>
      <c r="G359" s="111" t="s">
        <v>72</v>
      </c>
      <c r="H359" s="14" t="s">
        <v>214</v>
      </c>
      <c r="I359" s="123"/>
    </row>
    <row r="360" spans="1:9" ht="16.5" customHeight="1">
      <c r="A360" s="124" t="s">
        <v>145</v>
      </c>
      <c r="B360" s="109" t="s">
        <v>115</v>
      </c>
      <c r="C360" s="122"/>
      <c r="D360" s="111"/>
      <c r="E360" s="122"/>
      <c r="F360" s="111"/>
      <c r="G360" s="111"/>
      <c r="H360" s="122"/>
      <c r="I360" s="123"/>
    </row>
    <row r="361" spans="1:9" ht="16.5" customHeight="1">
      <c r="A361" s="124" t="s">
        <v>146</v>
      </c>
      <c r="B361" s="109" t="s">
        <v>121</v>
      </c>
      <c r="C361" s="122">
        <f>累计利润调整表!B58*0.25</f>
        <v>-32080774.970000003</v>
      </c>
      <c r="D361" s="111" t="s">
        <v>5</v>
      </c>
      <c r="E361" s="122"/>
      <c r="F361" s="111"/>
      <c r="G361" s="111"/>
      <c r="H361" s="122"/>
      <c r="I361" s="123"/>
    </row>
    <row r="362" spans="1:9" ht="16.5" customHeight="1">
      <c r="A362" s="124"/>
      <c r="B362" s="109"/>
      <c r="C362" s="122"/>
      <c r="D362" s="111"/>
      <c r="E362" s="122">
        <f>-C362</f>
        <v>0</v>
      </c>
      <c r="F362" s="111"/>
      <c r="G362" s="111"/>
      <c r="H362" s="122"/>
      <c r="I362" s="123"/>
    </row>
    <row r="363" spans="1:9" ht="16.5" customHeight="1">
      <c r="A363" s="124"/>
      <c r="B363" s="109"/>
      <c r="C363" s="122"/>
      <c r="D363" s="111"/>
      <c r="E363" s="122">
        <f>-C363</f>
        <v>0</v>
      </c>
      <c r="F363" s="111"/>
      <c r="G363" s="111"/>
      <c r="H363" s="122"/>
      <c r="I363" s="123"/>
    </row>
    <row r="364" spans="1:9" ht="16.5" customHeight="1">
      <c r="A364" s="125"/>
      <c r="B364" s="126"/>
      <c r="C364" s="127"/>
      <c r="D364" s="128"/>
      <c r="E364" s="122">
        <f>-C364</f>
        <v>0</v>
      </c>
      <c r="F364" s="128"/>
      <c r="G364" s="128"/>
      <c r="H364" s="127"/>
      <c r="I364" s="129"/>
    </row>
    <row r="365" spans="1:9" ht="16.5" customHeight="1" thickBot="1">
      <c r="A365" s="231"/>
      <c r="B365" s="231"/>
      <c r="C365" s="232"/>
      <c r="D365" s="232"/>
      <c r="E365" s="232"/>
      <c r="F365" s="233"/>
      <c r="G365" s="231"/>
      <c r="H365" s="233"/>
      <c r="I365" s="233"/>
    </row>
    <row r="366" spans="1:9" ht="16.5" customHeight="1">
      <c r="A366" s="130"/>
      <c r="B366" s="130"/>
      <c r="C366" s="130"/>
      <c r="D366" s="131"/>
      <c r="E366" s="131"/>
      <c r="F366" s="132"/>
      <c r="G366" s="132"/>
      <c r="H366" s="123"/>
      <c r="I366" s="123"/>
    </row>
    <row r="367" spans="1:9" ht="16.5" customHeight="1">
      <c r="A367" s="234"/>
      <c r="B367" s="234" t="s">
        <v>51</v>
      </c>
      <c r="C367" s="146"/>
      <c r="D367" s="235" t="s">
        <v>7</v>
      </c>
      <c r="E367" s="235"/>
      <c r="F367" s="235"/>
      <c r="G367" s="236"/>
      <c r="H367" s="123"/>
      <c r="I367" s="123"/>
    </row>
    <row r="368" spans="1:9" ht="16.5" customHeight="1">
      <c r="A368" s="234"/>
      <c r="B368" s="234" t="s">
        <v>51</v>
      </c>
      <c r="C368" s="122"/>
      <c r="D368" s="235" t="s">
        <v>10</v>
      </c>
      <c r="E368" s="235"/>
      <c r="F368" s="235"/>
      <c r="G368" s="236"/>
      <c r="H368" s="123"/>
      <c r="I368" s="123"/>
    </row>
    <row r="369" spans="1:9" ht="16.5" customHeight="1">
      <c r="A369" s="234"/>
      <c r="B369" s="234" t="s">
        <v>51</v>
      </c>
      <c r="C369" s="122"/>
      <c r="D369" s="237" t="s">
        <v>11</v>
      </c>
      <c r="E369" s="237"/>
      <c r="F369" s="237"/>
      <c r="G369" s="238"/>
      <c r="H369" s="123"/>
      <c r="I369" s="123"/>
    </row>
    <row r="370" spans="1:9" ht="16.5" customHeight="1" thickBot="1">
      <c r="A370" s="239"/>
      <c r="B370" s="239" t="s">
        <v>149</v>
      </c>
      <c r="C370" s="239"/>
      <c r="D370" s="240">
        <f>C365-SUM(D366:D369)</f>
        <v>0</v>
      </c>
      <c r="E370" s="240"/>
      <c r="F370" s="240">
        <f>E365-SUM(F366:F369)</f>
        <v>0</v>
      </c>
      <c r="G370" s="241"/>
      <c r="H370" s="233"/>
      <c r="I370" s="233"/>
    </row>
    <row r="371" spans="1:9" ht="16.5" customHeight="1">
      <c r="A371" s="242"/>
      <c r="B371" s="242"/>
      <c r="C371" s="242"/>
      <c r="D371" s="243"/>
      <c r="E371" s="244"/>
      <c r="F371" s="245"/>
      <c r="G371" s="245"/>
      <c r="H371" s="245"/>
      <c r="I371" s="245"/>
    </row>
    <row r="372" spans="1:9" ht="16.5" customHeight="1" thickBot="1">
      <c r="A372" s="242"/>
      <c r="B372" s="242"/>
      <c r="C372" s="242"/>
      <c r="D372" s="243"/>
      <c r="E372" s="244" t="s">
        <v>150</v>
      </c>
      <c r="F372" s="245"/>
      <c r="G372" s="245"/>
      <c r="H372" s="245"/>
      <c r="I372" s="245"/>
    </row>
    <row r="373" spans="1:9" ht="16.5" customHeight="1">
      <c r="A373" s="224" t="s">
        <v>122</v>
      </c>
      <c r="B373" s="224" t="s">
        <v>3</v>
      </c>
      <c r="C373" s="224" t="s">
        <v>123</v>
      </c>
      <c r="D373" s="224" t="s">
        <v>124</v>
      </c>
      <c r="E373" s="224" t="s">
        <v>125</v>
      </c>
      <c r="F373" s="225" t="s">
        <v>126</v>
      </c>
      <c r="G373" s="225" t="s">
        <v>151</v>
      </c>
      <c r="H373" s="225" t="s">
        <v>128</v>
      </c>
      <c r="I373" s="225" t="s">
        <v>129</v>
      </c>
    </row>
    <row r="374" spans="1:9" ht="16.5" customHeight="1">
      <c r="A374" s="246"/>
      <c r="B374" s="246" t="s">
        <v>152</v>
      </c>
      <c r="C374" s="246">
        <f>SUM(C375:C383)</f>
        <v>187480318.63666666</v>
      </c>
      <c r="D374" s="246"/>
      <c r="E374" s="246">
        <f>SUM(E375:E383)</f>
        <v>-187480318.63666666</v>
      </c>
      <c r="F374" s="247"/>
      <c r="G374" s="247"/>
      <c r="H374" s="247"/>
      <c r="I374" s="247"/>
    </row>
    <row r="375" spans="1:9" ht="16.5" customHeight="1">
      <c r="A375" s="133" t="s">
        <v>132</v>
      </c>
      <c r="B375" s="133" t="s">
        <v>47</v>
      </c>
      <c r="C375" s="134">
        <f>-(-16469538.4-15345072.08)</f>
        <v>31814610.48</v>
      </c>
      <c r="D375" s="135" t="s">
        <v>11</v>
      </c>
      <c r="E375" s="135">
        <f t="shared" ref="E375:E380" si="56">-C375</f>
        <v>-31814610.48</v>
      </c>
      <c r="F375" s="135" t="s">
        <v>11</v>
      </c>
      <c r="G375" s="135" t="s">
        <v>33</v>
      </c>
      <c r="H375" s="135" t="s">
        <v>160</v>
      </c>
      <c r="I375" s="135"/>
    </row>
    <row r="376" spans="1:9" ht="16.5" customHeight="1">
      <c r="A376" s="133" t="s">
        <v>133</v>
      </c>
      <c r="B376" s="133" t="s">
        <v>47</v>
      </c>
      <c r="C376" s="134">
        <v>276540.5</v>
      </c>
      <c r="D376" s="135" t="s">
        <v>11</v>
      </c>
      <c r="E376" s="135">
        <f t="shared" si="56"/>
        <v>-276540.5</v>
      </c>
      <c r="F376" s="135" t="s">
        <v>8</v>
      </c>
      <c r="G376" s="135" t="s">
        <v>33</v>
      </c>
      <c r="H376" s="135" t="s">
        <v>161</v>
      </c>
      <c r="I376" s="135"/>
    </row>
    <row r="377" spans="1:9" ht="16.5" customHeight="1">
      <c r="A377" s="133" t="s">
        <v>134</v>
      </c>
      <c r="B377" s="133" t="s">
        <v>47</v>
      </c>
      <c r="C377" s="134">
        <f>-609672.66</f>
        <v>-609672.66</v>
      </c>
      <c r="D377" s="135" t="s">
        <v>11</v>
      </c>
      <c r="E377" s="135">
        <f t="shared" si="56"/>
        <v>609672.66</v>
      </c>
      <c r="F377" s="135" t="s">
        <v>15</v>
      </c>
      <c r="G377" s="135" t="s">
        <v>33</v>
      </c>
      <c r="H377" s="134" t="s">
        <v>190</v>
      </c>
      <c r="I377" s="135"/>
    </row>
    <row r="378" spans="1:9" ht="16.5" customHeight="1">
      <c r="A378" s="133" t="s">
        <v>135</v>
      </c>
      <c r="B378" s="133" t="s">
        <v>47</v>
      </c>
      <c r="C378" s="134">
        <f>-(-3393044.46--1630347.26)</f>
        <v>1762697.2</v>
      </c>
      <c r="D378" s="135" t="s">
        <v>15</v>
      </c>
      <c r="E378" s="135">
        <f t="shared" si="56"/>
        <v>-1762697.2</v>
      </c>
      <c r="F378" s="135" t="s">
        <v>15</v>
      </c>
      <c r="G378" s="135" t="s">
        <v>33</v>
      </c>
      <c r="H378" s="136" t="s">
        <v>163</v>
      </c>
      <c r="I378" s="136"/>
    </row>
    <row r="379" spans="1:9" ht="16.5" customHeight="1">
      <c r="A379" s="133" t="s">
        <v>136</v>
      </c>
      <c r="B379" s="133" t="s">
        <v>47</v>
      </c>
      <c r="C379" s="134">
        <v>6161079.5199999996</v>
      </c>
      <c r="D379" s="135" t="s">
        <v>10</v>
      </c>
      <c r="E379" s="135">
        <f t="shared" si="56"/>
        <v>-6161079.5199999996</v>
      </c>
      <c r="F379" s="135" t="s">
        <v>10</v>
      </c>
      <c r="G379" s="135" t="s">
        <v>33</v>
      </c>
      <c r="H379" s="135" t="s">
        <v>162</v>
      </c>
      <c r="I379" s="135"/>
    </row>
    <row r="380" spans="1:9" ht="16.5" customHeight="1">
      <c r="A380" s="133" t="s">
        <v>137</v>
      </c>
      <c r="B380" s="133" t="s">
        <v>47</v>
      </c>
      <c r="C380" s="135">
        <v>146983752.77000001</v>
      </c>
      <c r="D380" s="135" t="s">
        <v>8</v>
      </c>
      <c r="E380" s="135">
        <f t="shared" si="56"/>
        <v>-146983752.77000001</v>
      </c>
      <c r="F380" s="135" t="s">
        <v>8</v>
      </c>
      <c r="G380" s="135" t="s">
        <v>33</v>
      </c>
      <c r="H380" s="135" t="s">
        <v>167</v>
      </c>
      <c r="I380" s="135"/>
    </row>
    <row r="381" spans="1:9" ht="16.5" customHeight="1">
      <c r="A381" s="133" t="s">
        <v>138</v>
      </c>
      <c r="B381" s="133" t="s">
        <v>47</v>
      </c>
      <c r="C381" s="135"/>
      <c r="D381" s="135" t="s">
        <v>8</v>
      </c>
      <c r="E381" s="135"/>
      <c r="F381" s="135" t="s">
        <v>5</v>
      </c>
      <c r="G381" s="135" t="s">
        <v>33</v>
      </c>
      <c r="H381" s="136" t="s">
        <v>230</v>
      </c>
      <c r="I381" s="136"/>
    </row>
    <row r="382" spans="1:9" ht="16.5" customHeight="1">
      <c r="A382" s="133" t="s">
        <v>139</v>
      </c>
      <c r="B382" s="133" t="s">
        <v>47</v>
      </c>
      <c r="C382" s="137">
        <v>1091310.8266666664</v>
      </c>
      <c r="D382" s="135" t="s">
        <v>7</v>
      </c>
      <c r="E382" s="135">
        <f>-C382</f>
        <v>-1091310.8266666664</v>
      </c>
      <c r="F382" s="135" t="s">
        <v>7</v>
      </c>
      <c r="G382" s="135" t="s">
        <v>33</v>
      </c>
      <c r="H382" s="136" t="s">
        <v>168</v>
      </c>
      <c r="I382" s="136"/>
    </row>
    <row r="383" spans="1:9" ht="16.5" customHeight="1">
      <c r="A383" s="133"/>
      <c r="B383" s="133"/>
      <c r="C383" s="134"/>
      <c r="D383" s="135"/>
      <c r="E383" s="135"/>
      <c r="F383" s="135"/>
      <c r="G383" s="135"/>
      <c r="H383" s="134"/>
      <c r="I383" s="136"/>
    </row>
    <row r="384" spans="1:9" ht="16.5" customHeight="1">
      <c r="A384" s="105"/>
      <c r="B384" s="105"/>
      <c r="C384" s="106"/>
      <c r="D384" s="107"/>
      <c r="E384" s="107"/>
      <c r="F384" s="107"/>
      <c r="G384" s="107"/>
      <c r="H384" s="106"/>
      <c r="I384" s="108"/>
    </row>
    <row r="385" spans="1:9" ht="16.5" customHeight="1">
      <c r="A385" s="23"/>
      <c r="B385" s="23"/>
      <c r="C385" s="23"/>
      <c r="D385" s="23"/>
      <c r="E385" s="23"/>
      <c r="F385" s="23"/>
      <c r="G385" s="23"/>
      <c r="H385" s="23"/>
      <c r="I385" s="23"/>
    </row>
    <row r="386" spans="1:9" ht="16.5" customHeight="1">
      <c r="A386" s="23"/>
      <c r="B386" s="23"/>
      <c r="C386" s="23"/>
      <c r="D386" s="23"/>
      <c r="E386" s="23"/>
      <c r="F386" s="23"/>
      <c r="G386" s="23"/>
      <c r="H386" s="23"/>
      <c r="I386" s="23"/>
    </row>
    <row r="387" spans="1:9" ht="16.5" customHeight="1">
      <c r="A387" s="23"/>
      <c r="B387" s="23"/>
      <c r="C387" s="23"/>
      <c r="D387" s="23"/>
      <c r="E387" s="23"/>
      <c r="F387" s="23"/>
      <c r="G387" s="23"/>
      <c r="H387" s="23"/>
      <c r="I387" s="23"/>
    </row>
    <row r="388" spans="1:9" ht="16.5" customHeight="1">
      <c r="A388" s="23"/>
      <c r="B388" s="23"/>
      <c r="C388" s="23"/>
      <c r="D388" s="23"/>
      <c r="E388" s="23"/>
      <c r="F388" s="23"/>
      <c r="G388" s="23"/>
      <c r="H388" s="23"/>
      <c r="I388" s="23"/>
    </row>
    <row r="389" spans="1:9" ht="16.5" customHeight="1">
      <c r="A389" s="23"/>
      <c r="B389" s="23"/>
      <c r="C389" s="195"/>
      <c r="D389" s="195"/>
      <c r="E389" s="195"/>
      <c r="F389" s="195"/>
      <c r="G389" s="195"/>
      <c r="H389" s="195"/>
    </row>
    <row r="390" spans="1:9" ht="16.5" customHeight="1">
      <c r="A390" s="195"/>
      <c r="B390" s="195"/>
      <c r="C390" s="195"/>
      <c r="D390" s="195"/>
      <c r="E390" s="195"/>
      <c r="F390" s="195"/>
      <c r="G390" s="195"/>
      <c r="H390" s="195"/>
    </row>
  </sheetData>
  <autoFilter ref="A182:Y241"/>
  <mergeCells count="2">
    <mergeCell ref="A48:I48"/>
    <mergeCell ref="A269:I269"/>
  </mergeCells>
  <phoneticPr fontId="24" type="noConversion"/>
  <conditionalFormatting sqref="D195:D196">
    <cfRule type="expression" dxfId="15" priority="24" stopIfTrue="1">
      <formula>LEFT(B112,1)="综"</formula>
    </cfRule>
  </conditionalFormatting>
  <conditionalFormatting sqref="D139:D143">
    <cfRule type="expression" dxfId="14" priority="31" stopIfTrue="1">
      <formula>LEFT(B52,1)="综"</formula>
    </cfRule>
  </conditionalFormatting>
  <conditionalFormatting sqref="D144:D181">
    <cfRule type="expression" dxfId="13" priority="35" stopIfTrue="1">
      <formula>LEFT(B56,1)="综"</formula>
    </cfRule>
  </conditionalFormatting>
  <conditionalFormatting sqref="D355:D356">
    <cfRule type="expression" dxfId="12" priority="13" stopIfTrue="1">
      <formula>LEFT(B313,1)="综"</formula>
    </cfRule>
  </conditionalFormatting>
  <conditionalFormatting sqref="D297:D298">
    <cfRule type="expression" dxfId="11" priority="14" stopIfTrue="1">
      <formula>LEFT(B273,1)="综"</formula>
    </cfRule>
  </conditionalFormatting>
  <conditionalFormatting sqref="D299:D313">
    <cfRule type="expression" dxfId="10" priority="15" stopIfTrue="1">
      <formula>LEFT(B274,1)="综"</formula>
    </cfRule>
  </conditionalFormatting>
  <conditionalFormatting sqref="D321:D325">
    <cfRule type="expression" dxfId="9" priority="16" stopIfTrue="1">
      <formula>LEFT(B273,1)="综"</formula>
    </cfRule>
  </conditionalFormatting>
  <conditionalFormatting sqref="D314:D316">
    <cfRule type="expression" dxfId="8" priority="17" stopIfTrue="1">
      <formula>LEFT(B288,1)="综"</formula>
    </cfRule>
  </conditionalFormatting>
  <conditionalFormatting sqref="D326:D343">
    <cfRule type="expression" dxfId="7" priority="18" stopIfTrue="1">
      <formula>LEFT(B277,1)="综"</formula>
    </cfRule>
  </conditionalFormatting>
  <conditionalFormatting sqref="D96:D137">
    <cfRule type="expression" dxfId="6" priority="38" stopIfTrue="1">
      <formula>LEFT(B52,1)="综"</formula>
    </cfRule>
  </conditionalFormatting>
  <conditionalFormatting sqref="D224">
    <cfRule type="expression" dxfId="5" priority="6" stopIfTrue="1">
      <formula>LEFT(B205,1)="综"</formula>
    </cfRule>
  </conditionalFormatting>
  <conditionalFormatting sqref="D223">
    <cfRule type="expression" dxfId="4" priority="5" stopIfTrue="1">
      <formula>LEFT(#REF!,1)="综"</formula>
    </cfRule>
  </conditionalFormatting>
  <conditionalFormatting sqref="D226:D229">
    <cfRule type="expression" dxfId="3" priority="4" stopIfTrue="1">
      <formula>LEFT(#REF!,1)="综"</formula>
    </cfRule>
  </conditionalFormatting>
  <conditionalFormatting sqref="D234">
    <cfRule type="expression" dxfId="2" priority="3" stopIfTrue="1">
      <formula>LEFT(#REF!,1)="综"</formula>
    </cfRule>
  </conditionalFormatting>
  <conditionalFormatting sqref="D235">
    <cfRule type="expression" dxfId="1" priority="2" stopIfTrue="1">
      <formula>LEFT(B197,1)="综"</formula>
    </cfRule>
  </conditionalFormatting>
  <conditionalFormatting sqref="D236">
    <cfRule type="expression" dxfId="0" priority="1" stopIfTrue="1">
      <formula>LEFT(B198,1)="综"</formula>
    </cfRule>
  </conditionalFormatting>
  <dataValidations count="5">
    <dataValidation type="list" allowBlank="1" showInputMessage="1" showErrorMessage="1" sqref="B252:B261 G252:G261 B321:B364 B96:B137 B297:B319 B375:B384 G375:G384 B52:B94 B273:B295 B139:B241">
      <formula1>$I$1:$I$17</formula1>
    </dataValidation>
    <dataValidation type="list" allowBlank="1" showInputMessage="1" showErrorMessage="1" sqref="D375:D384 D367:E369 D321:D364 D260:D261 D317:D319 D273:D295 E244:E246">
      <formula1>部门名称</formula1>
    </dataValidation>
    <dataValidation type="list" allowBlank="1" showInputMessage="1" showErrorMessage="1" sqref="G360:G364">
      <formula1>#REF!</formula1>
    </dataValidation>
    <dataValidation type="list" allowBlank="1" showInputMessage="1" showErrorMessage="1" sqref="G321:G359 G139:G241">
      <formula1>$M$1:$M$44</formula1>
    </dataValidation>
    <dataValidation type="list" allowBlank="1" showInputMessage="1" showErrorMessage="1" sqref="F1:F1048576 D52:D259">
      <formula1>$K$1:$K$21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6"/>
  <sheetViews>
    <sheetView topLeftCell="A83" workbookViewId="0">
      <selection activeCell="K107" sqref="K107"/>
    </sheetView>
  </sheetViews>
  <sheetFormatPr defaultRowHeight="13.5"/>
  <sheetData>
    <row r="1" spans="1:8">
      <c r="A1" t="s">
        <v>447</v>
      </c>
    </row>
    <row r="2" spans="1:8">
      <c r="A2" t="s">
        <v>448</v>
      </c>
    </row>
    <row r="3" spans="1:8">
      <c r="A3" t="s">
        <v>449</v>
      </c>
    </row>
    <row r="4" spans="1:8">
      <c r="A4" t="s">
        <v>450</v>
      </c>
    </row>
    <row r="5" spans="1:8">
      <c r="A5" t="s">
        <v>451</v>
      </c>
    </row>
    <row r="6" spans="1:8">
      <c r="A6" t="s">
        <v>452</v>
      </c>
    </row>
    <row r="7" spans="1:8">
      <c r="A7" t="s">
        <v>453</v>
      </c>
    </row>
    <row r="8" spans="1:8">
      <c r="A8" t="s">
        <v>447</v>
      </c>
    </row>
    <row r="9" spans="1:8">
      <c r="A9" t="s">
        <v>448</v>
      </c>
    </row>
    <row r="10" spans="1:8">
      <c r="A10" t="s">
        <v>449</v>
      </c>
    </row>
    <row r="11" spans="1:8">
      <c r="A11" t="s">
        <v>450</v>
      </c>
    </row>
    <row r="12" spans="1:8">
      <c r="A12" t="s">
        <v>451</v>
      </c>
    </row>
    <row r="13" spans="1:8">
      <c r="A13" t="s">
        <v>452</v>
      </c>
    </row>
    <row r="14" spans="1:8">
      <c r="A14" t="s">
        <v>453</v>
      </c>
    </row>
    <row r="15" spans="1:8">
      <c r="A15">
        <v>1</v>
      </c>
      <c r="B15" t="s">
        <v>454</v>
      </c>
      <c r="C15">
        <v>13.858000000000001</v>
      </c>
      <c r="D15">
        <v>11.4</v>
      </c>
      <c r="E15">
        <v>43</v>
      </c>
      <c r="F15" t="s">
        <v>455</v>
      </c>
      <c r="G15">
        <v>0.26</v>
      </c>
      <c r="H15">
        <v>0.247</v>
      </c>
    </row>
    <row r="16" spans="1:8">
      <c r="A16">
        <v>2</v>
      </c>
      <c r="B16" t="s">
        <v>456</v>
      </c>
      <c r="C16">
        <v>10.355</v>
      </c>
      <c r="D16">
        <v>10.401999999999999</v>
      </c>
      <c r="E16">
        <v>44</v>
      </c>
      <c r="F16" t="s">
        <v>457</v>
      </c>
      <c r="G16">
        <v>0.251</v>
      </c>
      <c r="H16">
        <v>0.128</v>
      </c>
    </row>
    <row r="17" spans="1:8">
      <c r="A17">
        <v>3</v>
      </c>
      <c r="B17" t="s">
        <v>464</v>
      </c>
      <c r="C17">
        <v>3.294</v>
      </c>
      <c r="D17">
        <v>4.7709999999999999</v>
      </c>
      <c r="E17">
        <v>45</v>
      </c>
      <c r="F17" t="s">
        <v>459</v>
      </c>
      <c r="G17">
        <v>0.24</v>
      </c>
      <c r="H17">
        <v>0.23799999999999999</v>
      </c>
    </row>
    <row r="18" spans="1:8">
      <c r="A18">
        <v>4</v>
      </c>
      <c r="B18" t="s">
        <v>462</v>
      </c>
      <c r="C18">
        <v>3.528</v>
      </c>
      <c r="D18">
        <v>4.4770000000000003</v>
      </c>
      <c r="E18">
        <v>46</v>
      </c>
      <c r="F18" t="s">
        <v>461</v>
      </c>
      <c r="G18">
        <v>0.221</v>
      </c>
      <c r="H18">
        <v>0.23699999999999999</v>
      </c>
    </row>
    <row r="19" spans="1:8">
      <c r="A19">
        <v>5</v>
      </c>
      <c r="B19" t="s">
        <v>458</v>
      </c>
      <c r="C19">
        <v>4.5739999999999998</v>
      </c>
      <c r="D19">
        <v>4.2050000000000001</v>
      </c>
      <c r="E19">
        <v>47</v>
      </c>
      <c r="F19" t="s">
        <v>463</v>
      </c>
      <c r="G19">
        <v>0.218</v>
      </c>
      <c r="H19">
        <v>0.20200000000000001</v>
      </c>
    </row>
    <row r="20" spans="1:8">
      <c r="A20">
        <v>6</v>
      </c>
      <c r="B20" t="s">
        <v>473</v>
      </c>
      <c r="C20">
        <v>2.7639999999999998</v>
      </c>
      <c r="D20">
        <v>3.5790000000000002</v>
      </c>
      <c r="E20">
        <v>48</v>
      </c>
      <c r="F20" t="s">
        <v>256</v>
      </c>
      <c r="G20">
        <v>0.20799999999999999</v>
      </c>
      <c r="H20">
        <v>0.312</v>
      </c>
    </row>
    <row r="21" spans="1:8">
      <c r="A21">
        <v>7</v>
      </c>
      <c r="B21" t="s">
        <v>460</v>
      </c>
      <c r="C21">
        <v>3.75</v>
      </c>
      <c r="D21">
        <v>3.5470000000000002</v>
      </c>
      <c r="E21">
        <v>49</v>
      </c>
      <c r="F21" t="s">
        <v>466</v>
      </c>
      <c r="G21">
        <v>0.20300000000000001</v>
      </c>
      <c r="H21">
        <v>0.11799999999999999</v>
      </c>
    </row>
    <row r="22" spans="1:8">
      <c r="A22">
        <v>8</v>
      </c>
      <c r="B22" t="s">
        <v>477</v>
      </c>
      <c r="C22">
        <v>2.3929999999999998</v>
      </c>
      <c r="D22">
        <v>3.34</v>
      </c>
      <c r="E22">
        <v>50</v>
      </c>
      <c r="F22" t="s">
        <v>468</v>
      </c>
      <c r="G22">
        <v>0.18099999999999999</v>
      </c>
      <c r="H22">
        <v>0.35199999999999998</v>
      </c>
    </row>
    <row r="23" spans="1:8">
      <c r="A23">
        <v>9</v>
      </c>
      <c r="B23" t="s">
        <v>469</v>
      </c>
      <c r="C23">
        <v>2.8340000000000001</v>
      </c>
      <c r="D23">
        <v>3.0310000000000001</v>
      </c>
      <c r="E23">
        <v>51</v>
      </c>
      <c r="F23" t="s">
        <v>470</v>
      </c>
      <c r="G23">
        <v>0.17599999999999999</v>
      </c>
      <c r="H23">
        <v>0.41499999999999998</v>
      </c>
    </row>
    <row r="24" spans="1:8" ht="12.75" customHeight="1">
      <c r="A24">
        <v>10</v>
      </c>
      <c r="B24" t="s">
        <v>465</v>
      </c>
      <c r="C24">
        <v>2.952</v>
      </c>
      <c r="D24">
        <v>3.0009999999999999</v>
      </c>
      <c r="E24">
        <v>52</v>
      </c>
      <c r="F24" t="s">
        <v>472</v>
      </c>
      <c r="G24">
        <v>0.17499999999999999</v>
      </c>
      <c r="H24">
        <v>0.157</v>
      </c>
    </row>
    <row r="25" spans="1:8">
      <c r="A25">
        <v>11</v>
      </c>
      <c r="B25" t="s">
        <v>475</v>
      </c>
      <c r="C25">
        <v>2.411</v>
      </c>
      <c r="D25">
        <v>2.9990000000000001</v>
      </c>
      <c r="E25">
        <v>53</v>
      </c>
      <c r="F25" t="s">
        <v>474</v>
      </c>
      <c r="G25">
        <v>0.158</v>
      </c>
      <c r="H25">
        <v>7.2999999999999995E-2</v>
      </c>
    </row>
    <row r="26" spans="1:8">
      <c r="A26">
        <v>12</v>
      </c>
      <c r="B26" t="s">
        <v>471</v>
      </c>
      <c r="C26">
        <v>2.782</v>
      </c>
      <c r="D26">
        <v>2.516</v>
      </c>
      <c r="E26">
        <v>54</v>
      </c>
      <c r="F26" t="s">
        <v>476</v>
      </c>
      <c r="G26">
        <v>0.14799999999999999</v>
      </c>
      <c r="H26">
        <v>8.5999999999999993E-2</v>
      </c>
    </row>
    <row r="27" spans="1:8">
      <c r="A27">
        <v>13</v>
      </c>
      <c r="B27" t="s">
        <v>467</v>
      </c>
      <c r="C27">
        <v>2.9039999999999999</v>
      </c>
      <c r="D27">
        <v>2.4020000000000001</v>
      </c>
      <c r="E27">
        <v>55</v>
      </c>
      <c r="F27" t="s">
        <v>478</v>
      </c>
      <c r="G27">
        <v>0.14000000000000001</v>
      </c>
      <c r="H27">
        <v>0.23799999999999999</v>
      </c>
    </row>
    <row r="28" spans="1:8">
      <c r="A28">
        <v>14</v>
      </c>
      <c r="B28" t="s">
        <v>491</v>
      </c>
      <c r="C28">
        <v>1.1459999999999999</v>
      </c>
      <c r="D28">
        <v>1.873</v>
      </c>
      <c r="E28">
        <v>56</v>
      </c>
      <c r="F28" t="s">
        <v>480</v>
      </c>
      <c r="G28">
        <v>0.13</v>
      </c>
      <c r="H28">
        <v>8.8999999999999996E-2</v>
      </c>
    </row>
    <row r="29" spans="1:8">
      <c r="A29">
        <v>15</v>
      </c>
      <c r="B29" t="s">
        <v>479</v>
      </c>
      <c r="C29">
        <v>1.833</v>
      </c>
      <c r="D29">
        <v>1.829</v>
      </c>
      <c r="E29">
        <v>57</v>
      </c>
      <c r="F29" t="s">
        <v>482</v>
      </c>
      <c r="G29">
        <v>0.12</v>
      </c>
      <c r="H29">
        <v>0.104</v>
      </c>
    </row>
    <row r="30" spans="1:8">
      <c r="A30">
        <v>16</v>
      </c>
      <c r="B30" t="s">
        <v>481</v>
      </c>
      <c r="C30">
        <v>1.5069999999999999</v>
      </c>
      <c r="D30">
        <v>1.5940000000000001</v>
      </c>
      <c r="E30">
        <v>58</v>
      </c>
      <c r="F30" t="s">
        <v>484</v>
      </c>
      <c r="G30">
        <v>0.112</v>
      </c>
      <c r="H30">
        <v>0.157</v>
      </c>
    </row>
    <row r="31" spans="1:8">
      <c r="A31">
        <v>17</v>
      </c>
      <c r="B31" t="s">
        <v>483</v>
      </c>
      <c r="C31">
        <v>1.407</v>
      </c>
      <c r="D31">
        <v>1.534</v>
      </c>
      <c r="E31">
        <v>59</v>
      </c>
      <c r="F31" t="s">
        <v>486</v>
      </c>
      <c r="G31">
        <v>0.107</v>
      </c>
      <c r="H31">
        <v>0.10100000000000001</v>
      </c>
    </row>
    <row r="32" spans="1:8">
      <c r="A32">
        <v>18</v>
      </c>
      <c r="B32" t="s">
        <v>487</v>
      </c>
      <c r="C32">
        <v>1.264</v>
      </c>
      <c r="D32">
        <v>1.49</v>
      </c>
      <c r="E32">
        <v>60</v>
      </c>
      <c r="F32" t="s">
        <v>488</v>
      </c>
      <c r="G32">
        <v>0.10199999999999999</v>
      </c>
      <c r="H32">
        <v>9.9000000000000005E-2</v>
      </c>
    </row>
    <row r="33" spans="1:8">
      <c r="A33">
        <v>19</v>
      </c>
      <c r="B33" t="s">
        <v>493</v>
      </c>
      <c r="C33">
        <v>1.099</v>
      </c>
      <c r="D33">
        <v>1.171</v>
      </c>
      <c r="E33">
        <v>61</v>
      </c>
      <c r="F33" t="s">
        <v>490</v>
      </c>
      <c r="G33">
        <v>9.9000000000000005E-2</v>
      </c>
      <c r="H33">
        <v>6.8000000000000005E-2</v>
      </c>
    </row>
    <row r="34" spans="1:8">
      <c r="A34">
        <v>20</v>
      </c>
      <c r="B34" t="s">
        <v>501</v>
      </c>
      <c r="C34">
        <v>0.73899999999999999</v>
      </c>
      <c r="D34">
        <v>0.99099999999999999</v>
      </c>
      <c r="E34">
        <v>62</v>
      </c>
      <c r="F34" t="s">
        <v>492</v>
      </c>
      <c r="G34">
        <v>9.2999999999999999E-2</v>
      </c>
      <c r="H34">
        <v>0.11</v>
      </c>
    </row>
    <row r="35" spans="1:8">
      <c r="A35">
        <v>21</v>
      </c>
      <c r="B35" t="s">
        <v>503</v>
      </c>
      <c r="C35">
        <v>0.73799999999999999</v>
      </c>
      <c r="D35">
        <v>0.97899999999999998</v>
      </c>
      <c r="E35">
        <v>63</v>
      </c>
      <c r="F35" t="s">
        <v>494</v>
      </c>
      <c r="G35">
        <v>7.0000000000000007E-2</v>
      </c>
      <c r="H35">
        <v>0.11700000000000001</v>
      </c>
    </row>
    <row r="36" spans="1:8">
      <c r="A36">
        <v>22</v>
      </c>
      <c r="B36" t="s">
        <v>489</v>
      </c>
      <c r="C36">
        <v>1.202</v>
      </c>
      <c r="D36">
        <v>0.92100000000000004</v>
      </c>
      <c r="E36">
        <v>64</v>
      </c>
      <c r="F36" t="s">
        <v>496</v>
      </c>
      <c r="G36">
        <v>6.3E-2</v>
      </c>
      <c r="H36">
        <v>3.3000000000000002E-2</v>
      </c>
    </row>
    <row r="37" spans="1:8">
      <c r="A37">
        <v>23</v>
      </c>
      <c r="B37" t="s">
        <v>485</v>
      </c>
      <c r="C37">
        <v>1.3140000000000001</v>
      </c>
      <c r="D37">
        <v>0.88800000000000001</v>
      </c>
      <c r="E37">
        <v>65</v>
      </c>
      <c r="F37" t="s">
        <v>498</v>
      </c>
      <c r="G37">
        <v>5.7000000000000002E-2</v>
      </c>
      <c r="H37">
        <v>5.6000000000000001E-2</v>
      </c>
    </row>
    <row r="38" spans="1:8">
      <c r="A38">
        <v>24</v>
      </c>
      <c r="B38" t="s">
        <v>497</v>
      </c>
      <c r="C38">
        <v>0.81799999999999995</v>
      </c>
      <c r="D38">
        <v>0.82799999999999996</v>
      </c>
      <c r="E38">
        <v>66</v>
      </c>
      <c r="F38" t="s">
        <v>500</v>
      </c>
      <c r="G38">
        <v>4.9000000000000002E-2</v>
      </c>
      <c r="H38">
        <v>7.2999999999999995E-2</v>
      </c>
    </row>
    <row r="39" spans="1:8">
      <c r="A39">
        <v>25</v>
      </c>
      <c r="B39" t="s">
        <v>505</v>
      </c>
      <c r="C39">
        <v>0.72099999999999997</v>
      </c>
      <c r="D39">
        <v>0.82299999999999995</v>
      </c>
      <c r="E39">
        <v>67</v>
      </c>
      <c r="F39" t="s">
        <v>502</v>
      </c>
      <c r="G39">
        <v>4.4999999999999998E-2</v>
      </c>
      <c r="H39">
        <v>4.7E-2</v>
      </c>
    </row>
    <row r="40" spans="1:8">
      <c r="A40">
        <v>26</v>
      </c>
      <c r="B40" t="s">
        <v>495</v>
      </c>
      <c r="C40">
        <v>0.86</v>
      </c>
      <c r="D40">
        <v>0.73499999999999999</v>
      </c>
      <c r="E40">
        <v>68</v>
      </c>
      <c r="F40" t="s">
        <v>504</v>
      </c>
      <c r="G40">
        <v>4.1000000000000002E-2</v>
      </c>
      <c r="H40">
        <v>1.4999999999999999E-2</v>
      </c>
    </row>
    <row r="41" spans="1:8">
      <c r="A41">
        <v>27</v>
      </c>
      <c r="B41" t="s">
        <v>513</v>
      </c>
      <c r="C41">
        <v>0.498</v>
      </c>
      <c r="D41">
        <v>0.72399999999999998</v>
      </c>
      <c r="E41">
        <v>69</v>
      </c>
      <c r="F41" t="s">
        <v>506</v>
      </c>
      <c r="G41">
        <v>3.5000000000000003E-2</v>
      </c>
      <c r="H41">
        <v>0.10199999999999999</v>
      </c>
    </row>
    <row r="42" spans="1:8">
      <c r="A42">
        <v>28</v>
      </c>
      <c r="B42" t="s">
        <v>515</v>
      </c>
      <c r="C42">
        <v>0.49399999999999999</v>
      </c>
      <c r="D42">
        <v>0.63800000000000001</v>
      </c>
      <c r="E42">
        <v>70</v>
      </c>
      <c r="F42" t="s">
        <v>508</v>
      </c>
      <c r="G42">
        <v>3.4000000000000002E-2</v>
      </c>
      <c r="H42">
        <v>3.2000000000000001E-2</v>
      </c>
    </row>
    <row r="43" spans="1:8">
      <c r="A43">
        <v>29</v>
      </c>
      <c r="B43" t="s">
        <v>499</v>
      </c>
      <c r="C43">
        <v>0.76100000000000001</v>
      </c>
      <c r="D43">
        <v>0.56299999999999994</v>
      </c>
      <c r="E43">
        <v>71</v>
      </c>
      <c r="F43" t="s">
        <v>510</v>
      </c>
      <c r="G43">
        <v>3.4000000000000002E-2</v>
      </c>
      <c r="H43">
        <v>2.7E-2</v>
      </c>
    </row>
    <row r="44" spans="1:8">
      <c r="A44">
        <v>30</v>
      </c>
      <c r="B44" t="s">
        <v>531</v>
      </c>
      <c r="C44">
        <v>0.28100000000000003</v>
      </c>
      <c r="D44">
        <v>0.46</v>
      </c>
      <c r="E44">
        <v>72</v>
      </c>
      <c r="F44" t="s">
        <v>512</v>
      </c>
      <c r="G44">
        <v>2.8000000000000001E-2</v>
      </c>
      <c r="H44">
        <v>8.0000000000000002E-3</v>
      </c>
    </row>
    <row r="45" spans="1:8">
      <c r="A45">
        <v>31</v>
      </c>
      <c r="B45" t="s">
        <v>511</v>
      </c>
      <c r="C45">
        <v>0.504</v>
      </c>
      <c r="D45">
        <v>0.45800000000000002</v>
      </c>
      <c r="E45">
        <v>73</v>
      </c>
      <c r="F45" t="s">
        <v>514</v>
      </c>
      <c r="G45">
        <v>1.7999999999999999E-2</v>
      </c>
      <c r="H45">
        <v>3.3000000000000002E-2</v>
      </c>
    </row>
    <row r="46" spans="1:8">
      <c r="A46">
        <v>32</v>
      </c>
      <c r="B46" t="s">
        <v>509</v>
      </c>
      <c r="C46">
        <v>0.51200000000000001</v>
      </c>
      <c r="D46">
        <v>0.442</v>
      </c>
      <c r="E46">
        <v>74</v>
      </c>
      <c r="F46" t="s">
        <v>516</v>
      </c>
      <c r="G46">
        <v>1.4E-2</v>
      </c>
      <c r="H46">
        <v>1.2E-2</v>
      </c>
    </row>
    <row r="47" spans="1:8">
      <c r="A47">
        <v>33</v>
      </c>
      <c r="B47" t="s">
        <v>519</v>
      </c>
      <c r="C47">
        <v>0.44</v>
      </c>
      <c r="D47">
        <v>0.41799999999999998</v>
      </c>
      <c r="E47">
        <v>75</v>
      </c>
      <c r="F47" t="s">
        <v>518</v>
      </c>
      <c r="G47">
        <v>1.2999999999999999E-2</v>
      </c>
      <c r="H47">
        <v>0.17199999999999999</v>
      </c>
    </row>
    <row r="48" spans="1:8">
      <c r="A48">
        <v>34</v>
      </c>
      <c r="B48" t="s">
        <v>470</v>
      </c>
      <c r="C48">
        <v>0.17599999999999999</v>
      </c>
      <c r="D48">
        <v>0.41499999999999998</v>
      </c>
      <c r="E48">
        <v>76</v>
      </c>
      <c r="F48" t="s">
        <v>520</v>
      </c>
      <c r="G48">
        <v>0.01</v>
      </c>
      <c r="H48">
        <v>8.9999999999999993E-3</v>
      </c>
    </row>
    <row r="49" spans="1:15">
      <c r="A49">
        <v>35</v>
      </c>
      <c r="B49" t="s">
        <v>507</v>
      </c>
      <c r="C49">
        <v>0.52500000000000002</v>
      </c>
      <c r="D49">
        <v>0.40699999999999997</v>
      </c>
      <c r="E49">
        <v>77</v>
      </c>
      <c r="F49" t="s">
        <v>522</v>
      </c>
      <c r="G49">
        <v>6.0000000000000001E-3</v>
      </c>
      <c r="H49">
        <v>1.0999999999999999E-2</v>
      </c>
    </row>
    <row r="50" spans="1:15">
      <c r="A50">
        <v>36</v>
      </c>
      <c r="B50" t="s">
        <v>527</v>
      </c>
      <c r="C50">
        <v>0.316</v>
      </c>
      <c r="D50">
        <v>0.40500000000000003</v>
      </c>
      <c r="E50">
        <v>78</v>
      </c>
      <c r="F50" t="s">
        <v>524</v>
      </c>
      <c r="G50">
        <v>6.0000000000000001E-3</v>
      </c>
      <c r="H50">
        <v>1.0999999999999999E-2</v>
      </c>
    </row>
    <row r="51" spans="1:15">
      <c r="A51">
        <v>37</v>
      </c>
      <c r="B51" t="s">
        <v>517</v>
      </c>
      <c r="C51">
        <v>0.44900000000000001</v>
      </c>
      <c r="D51">
        <v>0.39300000000000002</v>
      </c>
      <c r="E51">
        <v>79</v>
      </c>
      <c r="F51" t="s">
        <v>526</v>
      </c>
      <c r="G51">
        <v>5.0000000000000001E-3</v>
      </c>
      <c r="H51">
        <v>2.8000000000000001E-2</v>
      </c>
    </row>
    <row r="52" spans="1:15">
      <c r="A52">
        <v>38</v>
      </c>
      <c r="B52" t="s">
        <v>523</v>
      </c>
      <c r="C52">
        <v>0.38100000000000001</v>
      </c>
      <c r="D52">
        <v>0.38800000000000001</v>
      </c>
      <c r="E52">
        <v>80</v>
      </c>
      <c r="F52" t="s">
        <v>528</v>
      </c>
      <c r="G52">
        <v>1E-3</v>
      </c>
      <c r="H52">
        <v>4.0000000000000001E-3</v>
      </c>
    </row>
    <row r="53" spans="1:15">
      <c r="A53">
        <v>39</v>
      </c>
      <c r="B53" t="s">
        <v>525</v>
      </c>
      <c r="C53">
        <v>0.377</v>
      </c>
      <c r="D53">
        <v>0.36899999999999999</v>
      </c>
      <c r="E53">
        <v>81</v>
      </c>
      <c r="F53" t="s">
        <v>530</v>
      </c>
      <c r="G53">
        <v>1E-3</v>
      </c>
      <c r="H53">
        <v>1E-3</v>
      </c>
    </row>
    <row r="54" spans="1:15">
      <c r="A54">
        <v>40</v>
      </c>
      <c r="B54" t="s">
        <v>468</v>
      </c>
      <c r="C54">
        <v>0.18099999999999999</v>
      </c>
      <c r="D54">
        <v>0.35199999999999998</v>
      </c>
      <c r="E54">
        <v>82</v>
      </c>
      <c r="F54" t="s">
        <v>532</v>
      </c>
      <c r="G54">
        <v>0</v>
      </c>
      <c r="H54">
        <v>1E-3</v>
      </c>
    </row>
    <row r="55" spans="1:15">
      <c r="A55">
        <v>41</v>
      </c>
      <c r="B55" t="s">
        <v>533</v>
      </c>
      <c r="C55">
        <v>0.27600000000000002</v>
      </c>
      <c r="D55">
        <v>0.34200000000000003</v>
      </c>
      <c r="E55">
        <v>83</v>
      </c>
      <c r="F55" t="s">
        <v>534</v>
      </c>
      <c r="G55">
        <v>0</v>
      </c>
      <c r="H55">
        <v>0</v>
      </c>
    </row>
    <row r="56" spans="1:15">
      <c r="A56">
        <v>42</v>
      </c>
      <c r="B56" t="s">
        <v>256</v>
      </c>
      <c r="C56">
        <v>0.20799999999999999</v>
      </c>
      <c r="D56">
        <v>0.312</v>
      </c>
      <c r="E56">
        <v>84</v>
      </c>
      <c r="F56" t="s">
        <v>536</v>
      </c>
      <c r="G56">
        <v>0</v>
      </c>
      <c r="H56">
        <v>0</v>
      </c>
    </row>
    <row r="57" spans="1:15">
      <c r="B57" t="s">
        <v>535</v>
      </c>
      <c r="C57">
        <v>0.26600000000000001</v>
      </c>
      <c r="D57">
        <v>0.28699999999999998</v>
      </c>
    </row>
    <row r="58" spans="1:15">
      <c r="B58" t="s">
        <v>521</v>
      </c>
      <c r="C58">
        <v>0.41599999999999998</v>
      </c>
      <c r="D58">
        <v>0.253</v>
      </c>
    </row>
    <row r="59" spans="1:15">
      <c r="B59" t="s">
        <v>455</v>
      </c>
      <c r="C59">
        <v>0.26</v>
      </c>
      <c r="D59">
        <v>0.247</v>
      </c>
      <c r="L59" s="316" t="s">
        <v>537</v>
      </c>
      <c r="M59" t="s">
        <v>538</v>
      </c>
    </row>
    <row r="60" spans="1:15">
      <c r="B60" t="s">
        <v>459</v>
      </c>
      <c r="C60">
        <v>0.24</v>
      </c>
      <c r="D60">
        <v>0.23799999999999999</v>
      </c>
      <c r="L60" t="s">
        <v>539</v>
      </c>
      <c r="M60" t="s">
        <v>540</v>
      </c>
      <c r="N60" t="s">
        <v>541</v>
      </c>
      <c r="O60" t="s">
        <v>542</v>
      </c>
    </row>
    <row r="61" spans="1:15">
      <c r="B61" t="s">
        <v>478</v>
      </c>
      <c r="C61">
        <v>0.14000000000000001</v>
      </c>
      <c r="D61">
        <v>0.23799999999999999</v>
      </c>
      <c r="L61" t="s">
        <v>543</v>
      </c>
      <c r="M61" t="s">
        <v>544</v>
      </c>
      <c r="N61" t="s">
        <v>545</v>
      </c>
      <c r="O61" t="s">
        <v>546</v>
      </c>
    </row>
    <row r="62" spans="1:15">
      <c r="B62" t="s">
        <v>461</v>
      </c>
      <c r="C62">
        <v>0.221</v>
      </c>
      <c r="D62">
        <v>0.23699999999999999</v>
      </c>
      <c r="L62" t="s">
        <v>547</v>
      </c>
    </row>
    <row r="63" spans="1:15">
      <c r="B63" t="s">
        <v>529</v>
      </c>
      <c r="C63">
        <v>0.29499999999999998</v>
      </c>
      <c r="D63">
        <v>0.20399999999999999</v>
      </c>
      <c r="L63" t="s">
        <v>548</v>
      </c>
    </row>
    <row r="64" spans="1:15">
      <c r="B64" t="s">
        <v>463</v>
      </c>
      <c r="C64">
        <v>0.218</v>
      </c>
      <c r="D64">
        <v>0.20200000000000001</v>
      </c>
      <c r="L64" t="s">
        <v>545</v>
      </c>
      <c r="M64" t="s">
        <v>546</v>
      </c>
      <c r="N64" t="s">
        <v>549</v>
      </c>
    </row>
    <row r="65" spans="2:16">
      <c r="B65" t="s">
        <v>518</v>
      </c>
      <c r="C65">
        <v>1.2999999999999999E-2</v>
      </c>
      <c r="D65">
        <v>0.17199999999999999</v>
      </c>
      <c r="L65" t="s">
        <v>450</v>
      </c>
    </row>
    <row r="66" spans="2:16">
      <c r="B66" t="s">
        <v>472</v>
      </c>
      <c r="C66">
        <v>0.17499999999999999</v>
      </c>
      <c r="D66">
        <v>0.157</v>
      </c>
      <c r="L66" t="s">
        <v>122</v>
      </c>
      <c r="M66" t="s">
        <v>538</v>
      </c>
    </row>
    <row r="67" spans="2:16">
      <c r="B67" t="s">
        <v>484</v>
      </c>
      <c r="C67">
        <v>0.112</v>
      </c>
      <c r="D67">
        <v>0.157</v>
      </c>
      <c r="L67" t="s">
        <v>539</v>
      </c>
      <c r="M67" t="s">
        <v>540</v>
      </c>
      <c r="N67" t="s">
        <v>541</v>
      </c>
      <c r="O67" t="s">
        <v>542</v>
      </c>
    </row>
    <row r="68" spans="2:16">
      <c r="B68" t="s">
        <v>457</v>
      </c>
      <c r="C68">
        <v>0.251</v>
      </c>
      <c r="D68">
        <v>0.128</v>
      </c>
      <c r="L68" t="s">
        <v>543</v>
      </c>
      <c r="M68" t="s">
        <v>544</v>
      </c>
      <c r="N68" t="s">
        <v>545</v>
      </c>
      <c r="O68" t="s">
        <v>546</v>
      </c>
    </row>
    <row r="69" spans="2:16">
      <c r="B69" t="s">
        <v>466</v>
      </c>
      <c r="C69">
        <v>0.20300000000000001</v>
      </c>
      <c r="D69">
        <v>0.11799999999999999</v>
      </c>
      <c r="L69" t="s">
        <v>547</v>
      </c>
    </row>
    <row r="70" spans="2:16">
      <c r="B70" t="s">
        <v>494</v>
      </c>
      <c r="C70">
        <v>7.0000000000000007E-2</v>
      </c>
      <c r="D70">
        <v>0.11700000000000001</v>
      </c>
      <c r="L70" t="s">
        <v>548</v>
      </c>
    </row>
    <row r="71" spans="2:16">
      <c r="B71" t="s">
        <v>492</v>
      </c>
      <c r="C71">
        <v>9.2999999999999999E-2</v>
      </c>
      <c r="D71">
        <v>0.11</v>
      </c>
      <c r="L71" t="s">
        <v>545</v>
      </c>
      <c r="M71" t="s">
        <v>546</v>
      </c>
      <c r="N71" t="s">
        <v>549</v>
      </c>
    </row>
    <row r="72" spans="2:16">
      <c r="B72" t="s">
        <v>482</v>
      </c>
      <c r="C72">
        <v>0.12</v>
      </c>
      <c r="D72">
        <v>0.104</v>
      </c>
      <c r="L72" t="s">
        <v>450</v>
      </c>
    </row>
    <row r="73" spans="2:16">
      <c r="B73" t="s">
        <v>506</v>
      </c>
      <c r="C73">
        <v>3.5000000000000003E-2</v>
      </c>
      <c r="D73">
        <v>0.10199999999999999</v>
      </c>
      <c r="L73">
        <v>1</v>
      </c>
      <c r="M73" t="s">
        <v>471</v>
      </c>
      <c r="N73">
        <v>16.192</v>
      </c>
      <c r="O73">
        <v>8.9139999999999997</v>
      </c>
      <c r="P73">
        <v>43</v>
      </c>
    </row>
    <row r="74" spans="2:16">
      <c r="B74" t="s">
        <v>486</v>
      </c>
      <c r="C74">
        <v>0.107</v>
      </c>
      <c r="D74">
        <v>0.10100000000000001</v>
      </c>
      <c r="L74">
        <v>2</v>
      </c>
      <c r="M74" t="s">
        <v>473</v>
      </c>
      <c r="N74">
        <v>0.69299999999999995</v>
      </c>
      <c r="O74">
        <v>7.306</v>
      </c>
      <c r="P74">
        <v>44</v>
      </c>
    </row>
    <row r="75" spans="2:16">
      <c r="B75" t="s">
        <v>488</v>
      </c>
      <c r="C75">
        <v>0.10199999999999999</v>
      </c>
      <c r="D75">
        <v>9.9000000000000005E-2</v>
      </c>
      <c r="L75">
        <v>3</v>
      </c>
      <c r="M75" t="s">
        <v>462</v>
      </c>
      <c r="N75">
        <v>7.1440000000000001</v>
      </c>
      <c r="O75">
        <v>7.1870000000000003</v>
      </c>
      <c r="P75">
        <v>45</v>
      </c>
    </row>
    <row r="76" spans="2:16">
      <c r="B76" t="s">
        <v>480</v>
      </c>
      <c r="C76">
        <v>0.13</v>
      </c>
      <c r="D76">
        <v>8.8999999999999996E-2</v>
      </c>
      <c r="L76">
        <v>4</v>
      </c>
      <c r="M76" t="s">
        <v>458</v>
      </c>
      <c r="N76">
        <v>1.464</v>
      </c>
      <c r="O76">
        <v>6.6050000000000004</v>
      </c>
      <c r="P76">
        <v>46</v>
      </c>
    </row>
    <row r="77" spans="2:16">
      <c r="B77" t="s">
        <v>476</v>
      </c>
      <c r="C77">
        <v>0.14799999999999999</v>
      </c>
      <c r="D77">
        <v>8.5999999999999993E-2</v>
      </c>
      <c r="L77">
        <v>5</v>
      </c>
      <c r="M77" t="s">
        <v>469</v>
      </c>
      <c r="N77">
        <v>10.355</v>
      </c>
      <c r="O77">
        <v>6.5869999999999997</v>
      </c>
      <c r="P77">
        <v>47</v>
      </c>
    </row>
    <row r="78" spans="2:16">
      <c r="B78" t="s">
        <v>474</v>
      </c>
      <c r="C78">
        <v>0.158</v>
      </c>
      <c r="D78">
        <v>7.2999999999999995E-2</v>
      </c>
      <c r="L78">
        <v>6</v>
      </c>
      <c r="M78" t="s">
        <v>465</v>
      </c>
      <c r="N78">
        <v>7.8730000000000002</v>
      </c>
      <c r="O78">
        <v>6.2469999999999999</v>
      </c>
      <c r="P78">
        <v>48</v>
      </c>
    </row>
    <row r="79" spans="2:16">
      <c r="B79" t="s">
        <v>500</v>
      </c>
      <c r="C79">
        <v>4.9000000000000002E-2</v>
      </c>
      <c r="D79">
        <v>7.2999999999999995E-2</v>
      </c>
      <c r="L79">
        <v>7</v>
      </c>
      <c r="M79" t="s">
        <v>475</v>
      </c>
      <c r="N79">
        <v>3.1989999999999998</v>
      </c>
      <c r="O79">
        <v>5.2619999999999996</v>
      </c>
      <c r="P79">
        <v>49</v>
      </c>
    </row>
    <row r="80" spans="2:16">
      <c r="B80" t="s">
        <v>490</v>
      </c>
      <c r="C80">
        <v>9.9000000000000005E-2</v>
      </c>
      <c r="D80">
        <v>6.8000000000000005E-2</v>
      </c>
      <c r="L80">
        <v>8</v>
      </c>
      <c r="M80" t="s">
        <v>479</v>
      </c>
      <c r="N80">
        <v>14.849</v>
      </c>
      <c r="O80">
        <v>5.0110000000000001</v>
      </c>
      <c r="P80">
        <v>50</v>
      </c>
    </row>
    <row r="81" spans="2:16">
      <c r="B81" t="s">
        <v>498</v>
      </c>
      <c r="C81">
        <v>5.7000000000000002E-2</v>
      </c>
      <c r="D81">
        <v>5.6000000000000001E-2</v>
      </c>
      <c r="L81">
        <v>9</v>
      </c>
      <c r="M81" t="s">
        <v>456</v>
      </c>
      <c r="N81">
        <v>2.5659999999999998</v>
      </c>
      <c r="O81">
        <v>4.9379999999999997</v>
      </c>
      <c r="P81">
        <v>51</v>
      </c>
    </row>
    <row r="82" spans="2:16">
      <c r="B82" t="s">
        <v>502</v>
      </c>
      <c r="C82">
        <v>4.4999999999999998E-2</v>
      </c>
      <c r="D82">
        <v>4.7E-2</v>
      </c>
      <c r="L82">
        <v>10</v>
      </c>
      <c r="M82" t="s">
        <v>483</v>
      </c>
      <c r="N82">
        <v>6.7469999999999999</v>
      </c>
      <c r="O82">
        <v>4.7439999999999998</v>
      </c>
      <c r="P82">
        <v>52</v>
      </c>
    </row>
    <row r="83" spans="2:16">
      <c r="B83" t="s">
        <v>496</v>
      </c>
      <c r="C83">
        <v>6.3E-2</v>
      </c>
      <c r="D83">
        <v>3.3000000000000002E-2</v>
      </c>
      <c r="L83">
        <v>11</v>
      </c>
      <c r="M83" t="s">
        <v>485</v>
      </c>
      <c r="N83">
        <v>2.4700000000000002</v>
      </c>
      <c r="O83">
        <v>4.359</v>
      </c>
      <c r="P83">
        <v>53</v>
      </c>
    </row>
    <row r="84" spans="2:16">
      <c r="B84" t="s">
        <v>514</v>
      </c>
      <c r="C84">
        <v>1.7999999999999999E-2</v>
      </c>
      <c r="D84">
        <v>3.3000000000000002E-2</v>
      </c>
      <c r="L84">
        <v>12</v>
      </c>
      <c r="M84" t="s">
        <v>497</v>
      </c>
      <c r="N84">
        <v>3.5419999999999998</v>
      </c>
      <c r="O84">
        <v>2.9350000000000001</v>
      </c>
      <c r="P84">
        <v>54</v>
      </c>
    </row>
    <row r="85" spans="2:16">
      <c r="B85" t="s">
        <v>508</v>
      </c>
      <c r="C85">
        <v>3.4000000000000002E-2</v>
      </c>
      <c r="D85">
        <v>3.2000000000000001E-2</v>
      </c>
      <c r="L85">
        <v>13</v>
      </c>
      <c r="M85" t="s">
        <v>463</v>
      </c>
      <c r="N85">
        <v>3.7050000000000001</v>
      </c>
      <c r="O85">
        <v>2.2250000000000001</v>
      </c>
      <c r="P85">
        <v>55</v>
      </c>
    </row>
    <row r="86" spans="2:16">
      <c r="B86" t="s">
        <v>526</v>
      </c>
      <c r="C86">
        <v>5.0000000000000001E-3</v>
      </c>
      <c r="D86">
        <v>2.8000000000000001E-2</v>
      </c>
      <c r="L86">
        <v>14</v>
      </c>
      <c r="M86" t="s">
        <v>513</v>
      </c>
      <c r="N86">
        <v>0.627</v>
      </c>
      <c r="O86">
        <v>1.8959999999999999</v>
      </c>
      <c r="P86">
        <v>56</v>
      </c>
    </row>
    <row r="87" spans="2:16">
      <c r="B87" t="s">
        <v>510</v>
      </c>
      <c r="C87">
        <v>3.4000000000000002E-2</v>
      </c>
      <c r="D87">
        <v>2.7E-2</v>
      </c>
      <c r="L87">
        <v>15</v>
      </c>
      <c r="M87" t="s">
        <v>468</v>
      </c>
      <c r="N87">
        <v>1.3129999999999999</v>
      </c>
      <c r="O87">
        <v>1.8120000000000001</v>
      </c>
      <c r="P87">
        <v>57</v>
      </c>
    </row>
    <row r="88" spans="2:16">
      <c r="B88" t="s">
        <v>504</v>
      </c>
      <c r="C88">
        <v>4.1000000000000002E-2</v>
      </c>
      <c r="D88">
        <v>1.4999999999999999E-2</v>
      </c>
      <c r="L88">
        <v>16</v>
      </c>
      <c r="M88" t="s">
        <v>477</v>
      </c>
      <c r="N88">
        <v>0.38</v>
      </c>
      <c r="O88">
        <v>1.77</v>
      </c>
      <c r="P88">
        <v>58</v>
      </c>
    </row>
    <row r="89" spans="2:16">
      <c r="B89" t="s">
        <v>516</v>
      </c>
      <c r="C89">
        <v>1.4E-2</v>
      </c>
      <c r="D89">
        <v>1.2E-2</v>
      </c>
      <c r="L89">
        <v>17</v>
      </c>
      <c r="M89" t="s">
        <v>507</v>
      </c>
      <c r="N89">
        <v>2.012</v>
      </c>
      <c r="O89">
        <v>1.7410000000000001</v>
      </c>
      <c r="P89">
        <v>59</v>
      </c>
    </row>
    <row r="90" spans="2:16">
      <c r="B90" t="s">
        <v>522</v>
      </c>
      <c r="C90">
        <v>6.0000000000000001E-3</v>
      </c>
      <c r="D90">
        <v>1.0999999999999999E-2</v>
      </c>
      <c r="L90">
        <v>18</v>
      </c>
      <c r="M90" t="s">
        <v>460</v>
      </c>
      <c r="N90">
        <v>1.645</v>
      </c>
      <c r="O90">
        <v>1.696</v>
      </c>
      <c r="P90">
        <v>60</v>
      </c>
    </row>
    <row r="91" spans="2:16">
      <c r="B91" t="s">
        <v>524</v>
      </c>
      <c r="C91">
        <v>6.0000000000000001E-3</v>
      </c>
      <c r="D91">
        <v>1.0999999999999999E-2</v>
      </c>
      <c r="L91">
        <v>19</v>
      </c>
      <c r="M91" t="s">
        <v>527</v>
      </c>
      <c r="N91">
        <v>0.53600000000000003</v>
      </c>
      <c r="O91">
        <v>1.446</v>
      </c>
      <c r="P91">
        <v>61</v>
      </c>
    </row>
    <row r="92" spans="2:16">
      <c r="B92" t="s">
        <v>520</v>
      </c>
      <c r="C92">
        <v>0.01</v>
      </c>
      <c r="D92">
        <v>8.9999999999999993E-3</v>
      </c>
      <c r="L92">
        <v>20</v>
      </c>
      <c r="M92" t="s">
        <v>464</v>
      </c>
      <c r="N92">
        <v>0.24099999999999999</v>
      </c>
      <c r="O92">
        <v>1.282</v>
      </c>
      <c r="P92">
        <v>62</v>
      </c>
    </row>
    <row r="93" spans="2:16">
      <c r="B93" t="s">
        <v>512</v>
      </c>
      <c r="C93">
        <v>2.8000000000000001E-2</v>
      </c>
      <c r="D93">
        <v>8.0000000000000002E-3</v>
      </c>
      <c r="L93">
        <v>21</v>
      </c>
      <c r="M93" t="s">
        <v>503</v>
      </c>
      <c r="N93">
        <v>1.319</v>
      </c>
      <c r="O93">
        <v>1.228</v>
      </c>
      <c r="P93">
        <v>63</v>
      </c>
    </row>
    <row r="94" spans="2:16">
      <c r="B94" t="s">
        <v>528</v>
      </c>
      <c r="C94">
        <v>1E-3</v>
      </c>
      <c r="D94">
        <v>4.0000000000000001E-3</v>
      </c>
      <c r="L94">
        <v>22</v>
      </c>
      <c r="M94" t="s">
        <v>501</v>
      </c>
      <c r="N94">
        <v>0.45200000000000001</v>
      </c>
      <c r="O94">
        <v>0.98899999999999999</v>
      </c>
      <c r="P94">
        <v>64</v>
      </c>
    </row>
    <row r="95" spans="2:16">
      <c r="B95" t="s">
        <v>530</v>
      </c>
      <c r="C95">
        <v>1E-3</v>
      </c>
      <c r="D95">
        <v>1E-3</v>
      </c>
      <c r="L95">
        <v>23</v>
      </c>
      <c r="M95" t="s">
        <v>511</v>
      </c>
      <c r="N95">
        <v>1.2829999999999999</v>
      </c>
      <c r="O95">
        <v>0.97399999999999998</v>
      </c>
      <c r="P95">
        <v>65</v>
      </c>
    </row>
    <row r="96" spans="2:16">
      <c r="B96" t="s">
        <v>532</v>
      </c>
      <c r="C96">
        <v>0</v>
      </c>
      <c r="D96">
        <v>1E-3</v>
      </c>
      <c r="L96">
        <v>24</v>
      </c>
      <c r="M96" t="s">
        <v>515</v>
      </c>
      <c r="N96">
        <v>0.253</v>
      </c>
      <c r="O96">
        <v>0.94399999999999995</v>
      </c>
      <c r="P96">
        <v>66</v>
      </c>
    </row>
    <row r="97" spans="2:16">
      <c r="B97" t="s">
        <v>534</v>
      </c>
      <c r="C97">
        <v>0</v>
      </c>
      <c r="D97">
        <v>0</v>
      </c>
      <c r="L97">
        <v>25</v>
      </c>
      <c r="M97" t="s">
        <v>523</v>
      </c>
      <c r="N97">
        <v>0.32500000000000001</v>
      </c>
      <c r="O97">
        <v>0.70499999999999996</v>
      </c>
      <c r="P97">
        <v>67</v>
      </c>
    </row>
    <row r="98" spans="2:16">
      <c r="B98" t="s">
        <v>536</v>
      </c>
      <c r="C98">
        <v>0</v>
      </c>
      <c r="D98">
        <v>0</v>
      </c>
      <c r="L98">
        <v>26</v>
      </c>
      <c r="M98" t="s">
        <v>517</v>
      </c>
      <c r="N98">
        <v>0.50600000000000001</v>
      </c>
      <c r="O98">
        <v>0.69599999999999995</v>
      </c>
      <c r="P98">
        <v>68</v>
      </c>
    </row>
    <row r="99" spans="2:16">
      <c r="L99">
        <v>27</v>
      </c>
      <c r="M99" t="s">
        <v>499</v>
      </c>
      <c r="N99">
        <v>0.127</v>
      </c>
      <c r="O99">
        <v>0.55100000000000005</v>
      </c>
      <c r="P99">
        <v>69</v>
      </c>
    </row>
    <row r="100" spans="2:16">
      <c r="L100">
        <v>28</v>
      </c>
      <c r="M100" t="s">
        <v>521</v>
      </c>
      <c r="N100">
        <v>0.56000000000000005</v>
      </c>
      <c r="O100">
        <v>0.53400000000000003</v>
      </c>
      <c r="P100">
        <v>70</v>
      </c>
    </row>
    <row r="101" spans="2:16">
      <c r="L101">
        <v>29</v>
      </c>
      <c r="M101" t="s">
        <v>459</v>
      </c>
      <c r="N101">
        <v>0.55400000000000005</v>
      </c>
      <c r="O101">
        <v>0.52600000000000002</v>
      </c>
      <c r="P101">
        <v>71</v>
      </c>
    </row>
    <row r="102" spans="2:16">
      <c r="L102">
        <v>30</v>
      </c>
      <c r="M102" t="s">
        <v>472</v>
      </c>
      <c r="N102">
        <v>0.127</v>
      </c>
      <c r="O102">
        <v>0.52</v>
      </c>
      <c r="P102">
        <v>72</v>
      </c>
    </row>
    <row r="103" spans="2:16">
      <c r="L103">
        <v>31</v>
      </c>
      <c r="M103" t="s">
        <v>495</v>
      </c>
      <c r="N103">
        <v>0.41</v>
      </c>
      <c r="O103">
        <v>0.499</v>
      </c>
      <c r="P103">
        <v>73</v>
      </c>
    </row>
    <row r="104" spans="2:16">
      <c r="L104">
        <v>32</v>
      </c>
      <c r="M104" t="s">
        <v>481</v>
      </c>
      <c r="N104">
        <v>7.1999999999999995E-2</v>
      </c>
      <c r="O104">
        <v>0.44900000000000001</v>
      </c>
      <c r="P104">
        <v>74</v>
      </c>
    </row>
    <row r="105" spans="2:16">
      <c r="L105">
        <v>33</v>
      </c>
      <c r="M105" t="s">
        <v>505</v>
      </c>
      <c r="N105">
        <v>8.4000000000000005E-2</v>
      </c>
      <c r="O105">
        <v>0.39800000000000002</v>
      </c>
      <c r="P105">
        <v>75</v>
      </c>
    </row>
    <row r="106" spans="2:16">
      <c r="L106">
        <v>34</v>
      </c>
      <c r="M106" t="s">
        <v>466</v>
      </c>
      <c r="N106">
        <v>0.29499999999999998</v>
      </c>
      <c r="O106">
        <v>0.38700000000000001</v>
      </c>
      <c r="P106">
        <v>76</v>
      </c>
    </row>
    <row r="107" spans="2:16">
      <c r="L107">
        <v>35</v>
      </c>
      <c r="M107" t="s">
        <v>478</v>
      </c>
      <c r="N107">
        <v>0.108</v>
      </c>
      <c r="O107">
        <v>0.38</v>
      </c>
      <c r="P107">
        <v>77</v>
      </c>
    </row>
    <row r="108" spans="2:16">
      <c r="L108">
        <v>36</v>
      </c>
      <c r="M108" t="s">
        <v>509</v>
      </c>
      <c r="N108">
        <v>0.20499999999999999</v>
      </c>
      <c r="O108">
        <v>0.374</v>
      </c>
      <c r="P108">
        <v>78</v>
      </c>
    </row>
    <row r="109" spans="2:16">
      <c r="L109">
        <v>37</v>
      </c>
      <c r="M109" t="s">
        <v>487</v>
      </c>
      <c r="N109">
        <v>0.66900000000000004</v>
      </c>
      <c r="O109">
        <v>0.34200000000000003</v>
      </c>
      <c r="P109">
        <v>79</v>
      </c>
    </row>
    <row r="110" spans="2:16">
      <c r="L110">
        <v>38</v>
      </c>
      <c r="M110" t="s">
        <v>256</v>
      </c>
      <c r="N110">
        <v>0.21099999999999999</v>
      </c>
      <c r="O110">
        <v>0.312</v>
      </c>
      <c r="P110">
        <v>80</v>
      </c>
    </row>
    <row r="111" spans="2:16">
      <c r="L111">
        <v>39</v>
      </c>
      <c r="M111" t="s">
        <v>476</v>
      </c>
      <c r="N111">
        <v>0.313</v>
      </c>
      <c r="O111">
        <v>0.26500000000000001</v>
      </c>
      <c r="P111">
        <v>81</v>
      </c>
    </row>
    <row r="112" spans="2:16">
      <c r="L112">
        <v>40</v>
      </c>
      <c r="M112" t="s">
        <v>457</v>
      </c>
      <c r="N112">
        <v>1.3069999999999999</v>
      </c>
      <c r="O112">
        <v>0.25800000000000001</v>
      </c>
      <c r="P112">
        <v>82</v>
      </c>
    </row>
    <row r="113" spans="12:16">
      <c r="L113">
        <v>41</v>
      </c>
      <c r="M113" t="s">
        <v>535</v>
      </c>
      <c r="N113">
        <v>7.8E-2</v>
      </c>
      <c r="O113">
        <v>0.24</v>
      </c>
      <c r="P113">
        <v>83</v>
      </c>
    </row>
    <row r="114" spans="12:16">
      <c r="L114">
        <v>42</v>
      </c>
      <c r="M114" t="s">
        <v>498</v>
      </c>
      <c r="N114">
        <v>0.22900000000000001</v>
      </c>
      <c r="O114">
        <v>0.215</v>
      </c>
      <c r="P114">
        <v>84</v>
      </c>
    </row>
    <row r="115" spans="12:16">
      <c r="M115" t="s">
        <v>531</v>
      </c>
      <c r="N115">
        <v>0.06</v>
      </c>
      <c r="O115">
        <v>0.21199999999999999</v>
      </c>
    </row>
    <row r="116" spans="12:16">
      <c r="M116" t="s">
        <v>467</v>
      </c>
      <c r="N116">
        <v>1.7999999999999999E-2</v>
      </c>
      <c r="O116">
        <v>0.191</v>
      </c>
    </row>
    <row r="117" spans="12:16">
      <c r="M117" t="s">
        <v>533</v>
      </c>
      <c r="N117">
        <v>0.10199999999999999</v>
      </c>
      <c r="O117">
        <v>0.185</v>
      </c>
    </row>
    <row r="118" spans="12:16">
      <c r="M118" t="s">
        <v>454</v>
      </c>
      <c r="N118">
        <v>5.3999999999999999E-2</v>
      </c>
      <c r="O118">
        <v>0.17899999999999999</v>
      </c>
    </row>
    <row r="119" spans="12:16">
      <c r="M119" t="s">
        <v>470</v>
      </c>
      <c r="N119">
        <v>2.4E-2</v>
      </c>
      <c r="O119">
        <v>0.159</v>
      </c>
    </row>
    <row r="120" spans="12:16">
      <c r="M120" t="s">
        <v>486</v>
      </c>
      <c r="N120">
        <v>2.4E-2</v>
      </c>
      <c r="O120">
        <v>0.14399999999999999</v>
      </c>
    </row>
    <row r="121" spans="12:16">
      <c r="M121" t="s">
        <v>489</v>
      </c>
      <c r="N121">
        <v>0.121</v>
      </c>
      <c r="O121">
        <v>0.14199999999999999</v>
      </c>
    </row>
    <row r="122" spans="12:16">
      <c r="M122" t="s">
        <v>525</v>
      </c>
      <c r="N122">
        <v>7.1999999999999995E-2</v>
      </c>
      <c r="O122">
        <v>0.13700000000000001</v>
      </c>
    </row>
    <row r="123" spans="12:16">
      <c r="M123" t="s">
        <v>502</v>
      </c>
      <c r="N123">
        <v>1.7999999999999999E-2</v>
      </c>
      <c r="O123">
        <v>0.13500000000000001</v>
      </c>
    </row>
    <row r="124" spans="12:16">
      <c r="M124" t="s">
        <v>484</v>
      </c>
      <c r="N124">
        <v>7.8E-2</v>
      </c>
      <c r="O124">
        <v>0.13</v>
      </c>
    </row>
    <row r="125" spans="12:16">
      <c r="M125" t="s">
        <v>529</v>
      </c>
      <c r="N125">
        <v>6.6000000000000003E-2</v>
      </c>
      <c r="O125">
        <v>0.12</v>
      </c>
    </row>
    <row r="126" spans="12:16">
      <c r="M126" t="s">
        <v>508</v>
      </c>
      <c r="N126">
        <v>0.16900000000000001</v>
      </c>
      <c r="O126">
        <v>0.113</v>
      </c>
    </row>
    <row r="127" spans="12:16">
      <c r="M127" t="s">
        <v>518</v>
      </c>
      <c r="N127">
        <v>6.0000000000000001E-3</v>
      </c>
      <c r="O127">
        <v>0.108</v>
      </c>
    </row>
    <row r="128" spans="12:16">
      <c r="M128" t="s">
        <v>512</v>
      </c>
      <c r="N128">
        <v>0.68700000000000006</v>
      </c>
      <c r="O128">
        <v>0.105</v>
      </c>
    </row>
    <row r="129" spans="13:15">
      <c r="M129" t="s">
        <v>493</v>
      </c>
      <c r="N129">
        <v>0.09</v>
      </c>
      <c r="O129">
        <v>0.10100000000000001</v>
      </c>
    </row>
    <row r="130" spans="13:15">
      <c r="M130" t="s">
        <v>488</v>
      </c>
      <c r="N130">
        <v>0.06</v>
      </c>
      <c r="O130">
        <v>9.7000000000000003E-2</v>
      </c>
    </row>
    <row r="131" spans="13:15">
      <c r="M131" t="s">
        <v>496</v>
      </c>
      <c r="N131">
        <v>0.10199999999999999</v>
      </c>
      <c r="O131">
        <v>8.5000000000000006E-2</v>
      </c>
    </row>
    <row r="132" spans="13:15">
      <c r="M132" t="s">
        <v>455</v>
      </c>
      <c r="N132">
        <v>6.6000000000000003E-2</v>
      </c>
      <c r="O132">
        <v>7.4999999999999997E-2</v>
      </c>
    </row>
    <row r="133" spans="13:15">
      <c r="M133" t="s">
        <v>526</v>
      </c>
      <c r="N133">
        <v>6.0000000000000001E-3</v>
      </c>
      <c r="O133">
        <v>7.4999999999999997E-2</v>
      </c>
    </row>
    <row r="134" spans="13:15">
      <c r="M134" t="s">
        <v>490</v>
      </c>
      <c r="N134">
        <v>0.13300000000000001</v>
      </c>
      <c r="O134">
        <v>7.2999999999999995E-2</v>
      </c>
    </row>
    <row r="135" spans="13:15">
      <c r="M135" t="s">
        <v>522</v>
      </c>
      <c r="N135">
        <v>0</v>
      </c>
      <c r="O135">
        <v>7.0999999999999994E-2</v>
      </c>
    </row>
    <row r="136" spans="13:15">
      <c r="M136" t="s">
        <v>482</v>
      </c>
      <c r="N136">
        <v>2.4E-2</v>
      </c>
      <c r="O136">
        <v>6.4000000000000001E-2</v>
      </c>
    </row>
    <row r="137" spans="13:15">
      <c r="M137" t="s">
        <v>480</v>
      </c>
      <c r="N137">
        <v>1.2E-2</v>
      </c>
      <c r="O137">
        <v>0.06</v>
      </c>
    </row>
    <row r="138" spans="13:15">
      <c r="M138" t="s">
        <v>492</v>
      </c>
      <c r="N138">
        <v>0.03</v>
      </c>
      <c r="O138">
        <v>5.8000000000000003E-2</v>
      </c>
    </row>
    <row r="139" spans="13:15">
      <c r="M139" t="s">
        <v>461</v>
      </c>
      <c r="N139">
        <v>2.4E-2</v>
      </c>
      <c r="O139">
        <v>5.8000000000000003E-2</v>
      </c>
    </row>
    <row r="140" spans="13:15">
      <c r="M140" t="s">
        <v>500</v>
      </c>
      <c r="N140">
        <v>1.7999999999999999E-2</v>
      </c>
      <c r="O140">
        <v>5.2999999999999999E-2</v>
      </c>
    </row>
    <row r="141" spans="13:15">
      <c r="M141" t="s">
        <v>491</v>
      </c>
      <c r="N141">
        <v>0.03</v>
      </c>
      <c r="O141">
        <v>5.1999999999999998E-2</v>
      </c>
    </row>
    <row r="142" spans="13:15">
      <c r="M142" t="s">
        <v>524</v>
      </c>
      <c r="N142">
        <v>0</v>
      </c>
      <c r="O142">
        <v>4.9000000000000002E-2</v>
      </c>
    </row>
    <row r="143" spans="13:15">
      <c r="M143" t="s">
        <v>506</v>
      </c>
      <c r="N143">
        <v>6.0000000000000001E-3</v>
      </c>
      <c r="O143">
        <v>4.5999999999999999E-2</v>
      </c>
    </row>
    <row r="144" spans="13:15">
      <c r="M144" t="s">
        <v>474</v>
      </c>
      <c r="N144">
        <v>7.8E-2</v>
      </c>
      <c r="O144">
        <v>4.4999999999999998E-2</v>
      </c>
    </row>
    <row r="145" spans="13:15">
      <c r="M145" t="s">
        <v>514</v>
      </c>
      <c r="N145">
        <v>9.6000000000000002E-2</v>
      </c>
      <c r="O145">
        <v>0.03</v>
      </c>
    </row>
    <row r="146" spans="13:15">
      <c r="M146" t="s">
        <v>530</v>
      </c>
      <c r="N146">
        <v>0</v>
      </c>
      <c r="O146">
        <v>2.9000000000000001E-2</v>
      </c>
    </row>
    <row r="147" spans="13:15">
      <c r="M147" t="s">
        <v>519</v>
      </c>
      <c r="N147">
        <v>3.5999999999999997E-2</v>
      </c>
      <c r="O147">
        <v>2.8000000000000001E-2</v>
      </c>
    </row>
    <row r="148" spans="13:15">
      <c r="M148" t="s">
        <v>520</v>
      </c>
      <c r="N148">
        <v>0.09</v>
      </c>
      <c r="O148">
        <v>2.5999999999999999E-2</v>
      </c>
    </row>
    <row r="149" spans="13:15">
      <c r="M149" t="s">
        <v>494</v>
      </c>
      <c r="N149">
        <v>0</v>
      </c>
      <c r="O149">
        <v>2.5999999999999999E-2</v>
      </c>
    </row>
    <row r="150" spans="13:15">
      <c r="M150" t="s">
        <v>516</v>
      </c>
      <c r="N150">
        <v>6.0000000000000001E-3</v>
      </c>
      <c r="O150">
        <v>2.3E-2</v>
      </c>
    </row>
    <row r="151" spans="13:15">
      <c r="M151" t="s">
        <v>510</v>
      </c>
      <c r="N151">
        <v>0</v>
      </c>
      <c r="O151">
        <v>2.1000000000000001E-2</v>
      </c>
    </row>
    <row r="152" spans="13:15">
      <c r="M152" t="s">
        <v>504</v>
      </c>
      <c r="N152">
        <v>1.2E-2</v>
      </c>
      <c r="O152">
        <v>1.6E-2</v>
      </c>
    </row>
    <row r="153" spans="13:15">
      <c r="M153" t="s">
        <v>534</v>
      </c>
      <c r="N153">
        <v>6.0000000000000001E-3</v>
      </c>
      <c r="O153">
        <v>6.0000000000000001E-3</v>
      </c>
    </row>
    <row r="154" spans="13:15">
      <c r="M154" t="s">
        <v>528</v>
      </c>
      <c r="N154">
        <v>0</v>
      </c>
      <c r="O154">
        <v>5.0000000000000001E-3</v>
      </c>
    </row>
    <row r="155" spans="13:15">
      <c r="M155" t="s">
        <v>532</v>
      </c>
      <c r="N155">
        <v>0</v>
      </c>
      <c r="O155">
        <v>4.0000000000000001E-3</v>
      </c>
    </row>
    <row r="156" spans="13:15">
      <c r="M156" t="s">
        <v>536</v>
      </c>
      <c r="N156">
        <v>0</v>
      </c>
      <c r="O156">
        <v>2E-3</v>
      </c>
    </row>
  </sheetData>
  <sortState ref="M73:O156">
    <sortCondition descending="1" ref="O73:O156"/>
  </sortState>
  <phoneticPr fontId="2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P104"/>
  <sheetViews>
    <sheetView workbookViewId="0">
      <selection activeCell="A2" sqref="A2:XFD2"/>
    </sheetView>
  </sheetViews>
  <sheetFormatPr defaultColWidth="11.125" defaultRowHeight="12"/>
  <cols>
    <col min="1" max="1" width="16.875" style="178" bestFit="1" customWidth="1"/>
    <col min="2" max="3" width="16.125" style="179" bestFit="1" customWidth="1"/>
    <col min="4" max="8" width="15.125" style="179" bestFit="1" customWidth="1"/>
    <col min="9" max="13" width="14.125" style="179" bestFit="1" customWidth="1"/>
    <col min="14" max="15" width="12.25" style="179" bestFit="1" customWidth="1"/>
    <col min="16" max="21" width="14.125" style="179" bestFit="1" customWidth="1"/>
    <col min="22" max="23" width="11.25" style="179" bestFit="1" customWidth="1"/>
    <col min="24" max="24" width="14.125" style="179" bestFit="1" customWidth="1"/>
    <col min="25" max="25" width="16.875" style="179" bestFit="1" customWidth="1"/>
    <col min="26" max="26" width="14.125" style="179" bestFit="1" customWidth="1"/>
    <col min="27" max="27" width="11.5" style="179" bestFit="1" customWidth="1"/>
    <col min="28" max="28" width="15.125" style="179" bestFit="1" customWidth="1"/>
    <col min="29" max="30" width="14.125" style="179" bestFit="1" customWidth="1"/>
    <col min="31" max="31" width="12.25" style="179" bestFit="1" customWidth="1"/>
    <col min="32" max="32" width="16.875" style="179" bestFit="1" customWidth="1"/>
    <col min="33" max="36" width="15.125" style="179" bestFit="1" customWidth="1"/>
    <col min="37" max="38" width="14.125" style="179" bestFit="1" customWidth="1"/>
    <col min="39" max="39" width="12.25" style="179" bestFit="1" customWidth="1"/>
    <col min="40" max="40" width="11.5" style="179" bestFit="1" customWidth="1"/>
    <col min="41" max="41" width="15.125" style="179" bestFit="1" customWidth="1"/>
    <col min="42" max="45" width="14.125" style="179" bestFit="1" customWidth="1"/>
    <col min="46" max="50" width="15.125" style="179" bestFit="1" customWidth="1"/>
    <col min="51" max="53" width="14.125" style="179" bestFit="1" customWidth="1"/>
    <col min="54" max="55" width="16.875" style="179" bestFit="1" customWidth="1"/>
    <col min="56" max="57" width="14.125" style="179" bestFit="1" customWidth="1"/>
    <col min="58" max="59" width="15.125" style="179" bestFit="1" customWidth="1"/>
    <col min="60" max="66" width="14.125" style="179" bestFit="1" customWidth="1"/>
    <col min="67" max="68" width="15.125" style="179" bestFit="1" customWidth="1"/>
    <col min="69" max="69" width="14.125" style="179" bestFit="1" customWidth="1"/>
    <col min="70" max="70" width="12.25" style="179" bestFit="1" customWidth="1"/>
    <col min="71" max="74" width="14.125" style="179" bestFit="1" customWidth="1"/>
    <col min="75" max="75" width="15.125" style="179" bestFit="1" customWidth="1"/>
    <col min="76" max="76" width="12.25" style="179" bestFit="1" customWidth="1"/>
    <col min="77" max="77" width="14.125" style="179" bestFit="1" customWidth="1"/>
    <col min="78" max="79" width="12.25" style="179" bestFit="1" customWidth="1"/>
    <col min="80" max="80" width="15.125" style="179" bestFit="1" customWidth="1"/>
    <col min="81" max="82" width="14.125" style="179" bestFit="1" customWidth="1"/>
    <col min="83" max="83" width="16.875" style="179" bestFit="1" customWidth="1"/>
    <col min="84" max="95" width="12.25" style="179" bestFit="1" customWidth="1"/>
    <col min="96" max="96" width="13.375" style="179" bestFit="1" customWidth="1"/>
    <col min="97" max="97" width="12.25" style="179" bestFit="1" customWidth="1"/>
    <col min="98" max="98" width="13.375" style="179" bestFit="1" customWidth="1"/>
    <col min="99" max="100" width="12.25" style="179" bestFit="1" customWidth="1"/>
    <col min="101" max="101" width="11.5" style="179" bestFit="1" customWidth="1"/>
    <col min="102" max="105" width="12.25" style="179" bestFit="1" customWidth="1"/>
    <col min="106" max="106" width="15.125" style="179" bestFit="1" customWidth="1"/>
    <col min="107" max="107" width="12.25" style="179" bestFit="1" customWidth="1"/>
    <col min="108" max="120" width="5.875" style="179" bestFit="1" customWidth="1"/>
    <col min="121" max="16384" width="11.125" style="179"/>
  </cols>
  <sheetData>
    <row r="1" spans="1:107" ht="12.75" thickBot="1">
      <c r="A1" s="178" t="s">
        <v>249</v>
      </c>
    </row>
    <row r="2" spans="1:107">
      <c r="A2" s="180"/>
      <c r="B2" s="181" t="s">
        <v>250</v>
      </c>
      <c r="C2" s="182" t="s">
        <v>251</v>
      </c>
      <c r="D2" s="182" t="s">
        <v>252</v>
      </c>
      <c r="E2" s="182" t="s">
        <v>253</v>
      </c>
      <c r="F2" s="182" t="s">
        <v>254</v>
      </c>
      <c r="G2" s="183" t="s">
        <v>255</v>
      </c>
      <c r="H2" s="183" t="s">
        <v>256</v>
      </c>
      <c r="I2" s="184" t="s">
        <v>257</v>
      </c>
      <c r="J2" s="184" t="s">
        <v>258</v>
      </c>
      <c r="K2" s="184" t="s">
        <v>259</v>
      </c>
      <c r="L2" s="184" t="s">
        <v>260</v>
      </c>
      <c r="M2" s="184" t="s">
        <v>261</v>
      </c>
      <c r="N2" s="184" t="s">
        <v>262</v>
      </c>
      <c r="O2" s="184" t="s">
        <v>263</v>
      </c>
      <c r="P2" s="184" t="s">
        <v>264</v>
      </c>
      <c r="Q2" s="184" t="s">
        <v>13</v>
      </c>
      <c r="R2" s="184" t="s">
        <v>265</v>
      </c>
      <c r="S2" s="184" t="s">
        <v>266</v>
      </c>
      <c r="T2" s="184" t="s">
        <v>267</v>
      </c>
      <c r="U2" s="184" t="s">
        <v>268</v>
      </c>
      <c r="V2" s="184" t="s">
        <v>269</v>
      </c>
      <c r="W2" s="184" t="s">
        <v>270</v>
      </c>
      <c r="X2" s="184" t="s">
        <v>271</v>
      </c>
      <c r="Y2" s="184" t="s">
        <v>272</v>
      </c>
      <c r="Z2" s="184" t="s">
        <v>10</v>
      </c>
      <c r="AA2" s="184" t="s">
        <v>273</v>
      </c>
      <c r="AB2" s="184" t="s">
        <v>11</v>
      </c>
      <c r="AC2" s="184" t="s">
        <v>15</v>
      </c>
      <c r="AD2" s="184" t="s">
        <v>274</v>
      </c>
      <c r="AE2" s="184" t="s">
        <v>275</v>
      </c>
      <c r="AF2" s="184" t="s">
        <v>276</v>
      </c>
      <c r="AG2" s="184" t="s">
        <v>19</v>
      </c>
      <c r="AH2" s="184" t="s">
        <v>20</v>
      </c>
      <c r="AI2" s="184" t="s">
        <v>16</v>
      </c>
      <c r="AJ2" s="184" t="s">
        <v>8</v>
      </c>
      <c r="AK2" s="184" t="s">
        <v>24</v>
      </c>
      <c r="AL2" s="184" t="s">
        <v>277</v>
      </c>
      <c r="AM2" s="184" t="s">
        <v>23</v>
      </c>
      <c r="AN2" s="184" t="s">
        <v>278</v>
      </c>
      <c r="AO2" s="184" t="s">
        <v>279</v>
      </c>
      <c r="AP2" s="184" t="s">
        <v>280</v>
      </c>
      <c r="AQ2" s="184" t="s">
        <v>281</v>
      </c>
      <c r="AR2" s="184" t="s">
        <v>282</v>
      </c>
      <c r="AS2" s="184" t="s">
        <v>283</v>
      </c>
      <c r="AT2" s="184" t="s">
        <v>284</v>
      </c>
      <c r="AU2" s="184" t="s">
        <v>285</v>
      </c>
      <c r="AV2" s="184" t="s">
        <v>286</v>
      </c>
      <c r="AW2" s="184" t="s">
        <v>287</v>
      </c>
      <c r="AX2" s="184" t="s">
        <v>288</v>
      </c>
      <c r="AY2" s="184" t="s">
        <v>289</v>
      </c>
      <c r="AZ2" s="184" t="s">
        <v>290</v>
      </c>
      <c r="BA2" s="184" t="s">
        <v>291</v>
      </c>
      <c r="BB2" s="184" t="s">
        <v>292</v>
      </c>
      <c r="BC2" s="184" t="s">
        <v>293</v>
      </c>
      <c r="BD2" s="184" t="s">
        <v>294</v>
      </c>
      <c r="BE2" s="184" t="s">
        <v>295</v>
      </c>
      <c r="BF2" s="184" t="s">
        <v>296</v>
      </c>
      <c r="BG2" s="184" t="s">
        <v>297</v>
      </c>
      <c r="BH2" s="184" t="s">
        <v>298</v>
      </c>
      <c r="BI2" s="184" t="s">
        <v>299</v>
      </c>
      <c r="BJ2" s="184" t="s">
        <v>300</v>
      </c>
      <c r="BK2" s="184" t="s">
        <v>301</v>
      </c>
      <c r="BL2" s="184" t="s">
        <v>302</v>
      </c>
      <c r="BM2" s="184" t="s">
        <v>303</v>
      </c>
      <c r="BN2" s="184" t="s">
        <v>304</v>
      </c>
      <c r="BO2" s="184" t="s">
        <v>305</v>
      </c>
      <c r="BP2" s="184" t="s">
        <v>306</v>
      </c>
      <c r="BQ2" s="184" t="s">
        <v>307</v>
      </c>
      <c r="BR2" s="184" t="s">
        <v>308</v>
      </c>
      <c r="BS2" s="184" t="s">
        <v>309</v>
      </c>
      <c r="BT2" s="184" t="s">
        <v>310</v>
      </c>
      <c r="BU2" s="184" t="s">
        <v>311</v>
      </c>
      <c r="BV2" s="184" t="s">
        <v>312</v>
      </c>
      <c r="BW2" s="184" t="s">
        <v>313</v>
      </c>
      <c r="BX2" s="184" t="s">
        <v>314</v>
      </c>
      <c r="BY2" s="184" t="s">
        <v>315</v>
      </c>
      <c r="BZ2" s="184" t="s">
        <v>316</v>
      </c>
      <c r="CA2" s="184" t="s">
        <v>317</v>
      </c>
      <c r="CB2" s="184" t="s">
        <v>318</v>
      </c>
      <c r="CC2" s="184" t="s">
        <v>319</v>
      </c>
      <c r="CD2" s="184" t="s">
        <v>320</v>
      </c>
      <c r="CE2" s="184" t="s">
        <v>321</v>
      </c>
      <c r="CF2" s="184" t="s">
        <v>322</v>
      </c>
      <c r="CG2" s="184" t="s">
        <v>323</v>
      </c>
      <c r="CH2" s="184" t="s">
        <v>324</v>
      </c>
      <c r="CI2" s="184" t="s">
        <v>325</v>
      </c>
      <c r="CJ2" s="184" t="s">
        <v>326</v>
      </c>
      <c r="CK2" s="184" t="s">
        <v>327</v>
      </c>
      <c r="CL2" s="184" t="s">
        <v>328</v>
      </c>
      <c r="CM2" s="184" t="s">
        <v>329</v>
      </c>
      <c r="CN2" s="184" t="s">
        <v>330</v>
      </c>
      <c r="CO2" s="184" t="s">
        <v>331</v>
      </c>
      <c r="CP2" s="184" t="s">
        <v>332</v>
      </c>
      <c r="CQ2" s="184" t="s">
        <v>333</v>
      </c>
      <c r="CR2" s="184" t="s">
        <v>334</v>
      </c>
      <c r="CS2" s="184" t="s">
        <v>335</v>
      </c>
      <c r="CT2" s="184" t="s">
        <v>336</v>
      </c>
      <c r="CU2" s="184" t="s">
        <v>337</v>
      </c>
      <c r="CV2" s="184" t="s">
        <v>338</v>
      </c>
      <c r="CW2" s="184" t="s">
        <v>339</v>
      </c>
      <c r="CX2" s="184" t="s">
        <v>340</v>
      </c>
      <c r="CY2" s="184" t="s">
        <v>341</v>
      </c>
      <c r="CZ2" s="184" t="s">
        <v>342</v>
      </c>
      <c r="DA2" s="184" t="s">
        <v>343</v>
      </c>
      <c r="DB2" s="184" t="s">
        <v>344</v>
      </c>
      <c r="DC2" s="185" t="s">
        <v>345</v>
      </c>
    </row>
    <row r="3" spans="1:107">
      <c r="A3" s="174" t="s">
        <v>60</v>
      </c>
      <c r="B3" s="186">
        <v>110728070.06999996</v>
      </c>
      <c r="C3" s="186">
        <v>51624192.959999986</v>
      </c>
      <c r="D3" s="186">
        <v>14037253.440000001</v>
      </c>
      <c r="E3" s="186">
        <v>8862595.1799999997</v>
      </c>
      <c r="F3" s="186">
        <v>4691299.28</v>
      </c>
      <c r="G3" s="186">
        <v>8351404.9399999995</v>
      </c>
      <c r="H3" s="186">
        <v>259860</v>
      </c>
      <c r="I3" s="186">
        <v>886609.54999999993</v>
      </c>
      <c r="J3" s="186">
        <v>1936656.6400000001</v>
      </c>
      <c r="K3" s="186">
        <v>2178186.16</v>
      </c>
      <c r="L3" s="186">
        <v>759629.82</v>
      </c>
      <c r="M3" s="186">
        <v>1473335.8800000001</v>
      </c>
      <c r="N3" s="186">
        <v>209524.51</v>
      </c>
      <c r="O3" s="186">
        <v>117195.36</v>
      </c>
      <c r="P3" s="186">
        <v>1173955.42</v>
      </c>
      <c r="Q3" s="186">
        <v>1113731.1300000001</v>
      </c>
      <c r="R3" s="186">
        <v>1190460.1099999999</v>
      </c>
      <c r="S3" s="186">
        <v>2384364.33</v>
      </c>
      <c r="T3" s="186">
        <v>2155405.88</v>
      </c>
      <c r="U3" s="186">
        <v>3989787.3200000003</v>
      </c>
      <c r="V3" s="186">
        <v>36980</v>
      </c>
      <c r="W3" s="186">
        <v>0</v>
      </c>
      <c r="X3" s="186">
        <v>967773.79999999993</v>
      </c>
      <c r="Y3" s="186">
        <v>37329.33</v>
      </c>
      <c r="Z3" s="186">
        <v>2608794.59</v>
      </c>
      <c r="AA3" s="186">
        <v>0</v>
      </c>
      <c r="AB3" s="186">
        <v>2154695</v>
      </c>
      <c r="AC3" s="186">
        <v>1814487.6199999999</v>
      </c>
      <c r="AD3" s="186">
        <v>1161439.18</v>
      </c>
      <c r="AE3" s="186">
        <v>118075.66</v>
      </c>
      <c r="AF3" s="186">
        <v>1347800.27</v>
      </c>
      <c r="AG3" s="186">
        <v>3063656.3200000003</v>
      </c>
      <c r="AH3" s="186">
        <v>6032320.8100000005</v>
      </c>
      <c r="AI3" s="186">
        <v>3593476.04</v>
      </c>
      <c r="AJ3" s="186">
        <v>3285140.09</v>
      </c>
      <c r="AK3" s="186">
        <v>3134779.31</v>
      </c>
      <c r="AL3" s="186">
        <v>1208753.05</v>
      </c>
      <c r="AM3" s="186">
        <v>347766.92</v>
      </c>
      <c r="AN3" s="186">
        <v>10502.07</v>
      </c>
      <c r="AO3" s="186">
        <v>1640950.22</v>
      </c>
      <c r="AP3" s="186">
        <v>1411601.01</v>
      </c>
      <c r="AQ3" s="186">
        <v>1305727.06</v>
      </c>
      <c r="AR3" s="186">
        <v>1149893.8900000001</v>
      </c>
      <c r="AS3" s="186">
        <v>1084134.05</v>
      </c>
      <c r="AT3" s="186">
        <v>2078967.42</v>
      </c>
      <c r="AU3" s="186">
        <v>2219856.69</v>
      </c>
      <c r="AV3" s="186">
        <v>2572304.75</v>
      </c>
      <c r="AW3" s="186">
        <v>1981480.9000000001</v>
      </c>
      <c r="AX3" s="186">
        <v>1970727.6300000001</v>
      </c>
      <c r="AY3" s="186">
        <v>1981208.12</v>
      </c>
      <c r="AZ3" s="186">
        <v>897181.15</v>
      </c>
      <c r="BA3" s="186">
        <v>2238057.62</v>
      </c>
      <c r="BB3" s="186">
        <v>946717.72</v>
      </c>
      <c r="BC3" s="186">
        <v>800229.09</v>
      </c>
      <c r="BD3" s="186">
        <v>2292416.6399999997</v>
      </c>
      <c r="BE3" s="186">
        <v>1475857.86</v>
      </c>
      <c r="BF3" s="186">
        <v>1746598.27</v>
      </c>
      <c r="BG3" s="186">
        <v>1550294.4100000001</v>
      </c>
      <c r="BH3" s="186">
        <v>1142261.5900000001</v>
      </c>
      <c r="BI3" s="186">
        <v>1117646.75</v>
      </c>
      <c r="BJ3" s="186">
        <v>1155094.8799999999</v>
      </c>
      <c r="BK3" s="186">
        <v>1076727.8700000001</v>
      </c>
      <c r="BL3" s="186">
        <v>718426.09</v>
      </c>
      <c r="BM3" s="186">
        <v>866718.59</v>
      </c>
      <c r="BN3" s="186">
        <v>964511.92999999993</v>
      </c>
      <c r="BO3" s="186">
        <v>1125095.1599999999</v>
      </c>
      <c r="BP3" s="186">
        <v>418188.79999999999</v>
      </c>
      <c r="BQ3" s="186">
        <v>541651.79</v>
      </c>
      <c r="BR3" s="186">
        <v>303892.40000000002</v>
      </c>
      <c r="BS3" s="186">
        <v>515857.4</v>
      </c>
      <c r="BT3" s="186">
        <v>490682.61</v>
      </c>
      <c r="BU3" s="186">
        <v>896820.83000000007</v>
      </c>
      <c r="BV3" s="186">
        <v>346591.44</v>
      </c>
      <c r="BW3" s="186">
        <v>4822742.9300000006</v>
      </c>
      <c r="BX3" s="186">
        <v>143966.84</v>
      </c>
      <c r="BY3" s="186">
        <v>307736.16000000003</v>
      </c>
      <c r="BZ3" s="186">
        <v>241565.39</v>
      </c>
      <c r="CA3" s="186">
        <v>212222.14</v>
      </c>
      <c r="CB3" s="186">
        <v>316566.58</v>
      </c>
      <c r="CC3" s="186">
        <v>685760.61</v>
      </c>
      <c r="CD3" s="186">
        <v>312448.27</v>
      </c>
      <c r="CE3" s="186">
        <v>127106.91</v>
      </c>
      <c r="CF3" s="186">
        <v>32000</v>
      </c>
      <c r="CG3" s="186">
        <v>95400</v>
      </c>
      <c r="CH3" s="186">
        <v>63420</v>
      </c>
      <c r="CI3" s="186">
        <v>54318.299999999996</v>
      </c>
      <c r="CJ3" s="186">
        <v>131200</v>
      </c>
      <c r="CK3" s="186">
        <v>68369.649999999994</v>
      </c>
      <c r="CL3" s="186">
        <v>62137.72</v>
      </c>
      <c r="CM3" s="186">
        <v>81751.56</v>
      </c>
      <c r="CN3" s="186">
        <v>66450</v>
      </c>
      <c r="CO3" s="186">
        <v>32000</v>
      </c>
      <c r="CP3" s="186">
        <v>72644</v>
      </c>
      <c r="CQ3" s="186">
        <v>72135.510000000009</v>
      </c>
      <c r="CR3" s="186">
        <v>32000</v>
      </c>
      <c r="CS3" s="186">
        <v>89779.15</v>
      </c>
      <c r="CT3" s="186">
        <v>32000</v>
      </c>
      <c r="CU3" s="186">
        <v>62977.21</v>
      </c>
      <c r="CV3" s="186">
        <v>60815.17</v>
      </c>
      <c r="CW3" s="186">
        <v>18206.900000000001</v>
      </c>
      <c r="CX3" s="186">
        <v>29072.639999999999</v>
      </c>
      <c r="CY3" s="186">
        <v>76976.27</v>
      </c>
      <c r="CZ3" s="186">
        <v>16000</v>
      </c>
      <c r="DA3" s="186">
        <v>37983.449999999997</v>
      </c>
      <c r="DB3" s="186">
        <v>13318</v>
      </c>
      <c r="DC3" s="186">
        <v>128748.97</v>
      </c>
    </row>
    <row r="4" spans="1:107">
      <c r="A4" s="187" t="s">
        <v>61</v>
      </c>
      <c r="B4" s="186">
        <v>1141297.8900000001</v>
      </c>
      <c r="C4" s="186">
        <v>699794.9800000001</v>
      </c>
      <c r="D4" s="186">
        <v>56585.679999999993</v>
      </c>
      <c r="E4" s="186">
        <v>68143.320000000007</v>
      </c>
      <c r="F4" s="186">
        <v>884.1099999999999</v>
      </c>
      <c r="G4" s="186">
        <v>10725</v>
      </c>
      <c r="H4" s="186">
        <v>16269</v>
      </c>
      <c r="I4" s="186">
        <v>7670</v>
      </c>
      <c r="J4" s="186">
        <v>85250</v>
      </c>
      <c r="K4" s="186">
        <v>27779.65</v>
      </c>
      <c r="L4" s="186">
        <v>8795</v>
      </c>
      <c r="M4" s="186">
        <v>11797.65</v>
      </c>
      <c r="N4" s="186">
        <v>3775</v>
      </c>
      <c r="O4" s="186">
        <v>1615</v>
      </c>
      <c r="P4" s="186">
        <v>14035</v>
      </c>
      <c r="Q4" s="186">
        <v>9324.65</v>
      </c>
      <c r="R4" s="186">
        <v>9305</v>
      </c>
      <c r="S4" s="186">
        <v>21568</v>
      </c>
      <c r="T4" s="186">
        <v>24865</v>
      </c>
      <c r="U4" s="186">
        <v>30147</v>
      </c>
      <c r="V4" s="186">
        <v>0</v>
      </c>
      <c r="W4" s="186">
        <v>0</v>
      </c>
      <c r="X4" s="186">
        <v>41250</v>
      </c>
      <c r="Y4" s="186">
        <v>0</v>
      </c>
      <c r="Z4" s="186">
        <v>9447.99</v>
      </c>
      <c r="AA4" s="186">
        <v>0</v>
      </c>
      <c r="AB4" s="186">
        <v>10870.33</v>
      </c>
      <c r="AC4" s="186">
        <v>4975</v>
      </c>
      <c r="AD4" s="186">
        <v>1600</v>
      </c>
      <c r="AE4" s="186">
        <v>0</v>
      </c>
      <c r="AF4" s="186">
        <v>13288.98</v>
      </c>
      <c r="AG4" s="186">
        <v>21018.639999999999</v>
      </c>
      <c r="AH4" s="186">
        <v>5236</v>
      </c>
      <c r="AI4" s="186">
        <v>17042.059999999998</v>
      </c>
      <c r="AJ4" s="186">
        <v>32869.65</v>
      </c>
      <c r="AK4" s="186">
        <v>398.21</v>
      </c>
      <c r="AL4" s="186">
        <v>485.9</v>
      </c>
      <c r="AM4" s="186">
        <v>0</v>
      </c>
      <c r="AN4" s="186">
        <v>99.2</v>
      </c>
      <c r="AO4" s="186">
        <v>8290</v>
      </c>
      <c r="AP4" s="186">
        <v>17375</v>
      </c>
      <c r="AQ4" s="186">
        <v>14730</v>
      </c>
      <c r="AR4" s="186">
        <v>13745</v>
      </c>
      <c r="AS4" s="186">
        <v>10063</v>
      </c>
      <c r="AT4" s="186">
        <v>27950</v>
      </c>
      <c r="AU4" s="186">
        <v>33595.07</v>
      </c>
      <c r="AV4" s="186">
        <v>22800</v>
      </c>
      <c r="AW4" s="186">
        <v>54755.07</v>
      </c>
      <c r="AX4" s="186">
        <v>24875</v>
      </c>
      <c r="AY4" s="186">
        <v>34400</v>
      </c>
      <c r="AZ4" s="186">
        <v>14325</v>
      </c>
      <c r="BA4" s="186">
        <v>37123.71</v>
      </c>
      <c r="BB4" s="186">
        <v>9146.33</v>
      </c>
      <c r="BC4" s="186">
        <v>3775</v>
      </c>
      <c r="BD4" s="186">
        <v>25406</v>
      </c>
      <c r="BE4" s="186">
        <v>22025</v>
      </c>
      <c r="BF4" s="186">
        <v>42738.16</v>
      </c>
      <c r="BG4" s="186">
        <v>12375</v>
      </c>
      <c r="BH4" s="186">
        <v>22148.34</v>
      </c>
      <c r="BI4" s="186">
        <v>18000</v>
      </c>
      <c r="BJ4" s="186">
        <v>14925</v>
      </c>
      <c r="BK4" s="186">
        <v>18400.75</v>
      </c>
      <c r="BL4" s="186">
        <v>6100</v>
      </c>
      <c r="BM4" s="186">
        <v>12975</v>
      </c>
      <c r="BN4" s="186">
        <v>8525</v>
      </c>
      <c r="BO4" s="186">
        <v>19950</v>
      </c>
      <c r="BP4" s="186">
        <v>4500</v>
      </c>
      <c r="BQ4" s="186">
        <v>6275</v>
      </c>
      <c r="BR4" s="186">
        <v>7837</v>
      </c>
      <c r="BS4" s="186">
        <v>6925</v>
      </c>
      <c r="BT4" s="186">
        <v>10540</v>
      </c>
      <c r="BU4" s="186">
        <v>26465.63</v>
      </c>
      <c r="BV4" s="186">
        <v>10000</v>
      </c>
      <c r="BW4" s="186">
        <v>35945</v>
      </c>
      <c r="BX4" s="186">
        <v>1600</v>
      </c>
      <c r="BY4" s="186">
        <v>2100</v>
      </c>
      <c r="BZ4" s="186">
        <v>2425</v>
      </c>
      <c r="CA4" s="186">
        <v>2900</v>
      </c>
      <c r="CB4" s="186">
        <v>3424.04</v>
      </c>
      <c r="CC4" s="186">
        <v>7483.24</v>
      </c>
      <c r="CD4" s="186">
        <v>4481.32</v>
      </c>
      <c r="CE4" s="186">
        <v>0</v>
      </c>
      <c r="CF4" s="186">
        <v>0</v>
      </c>
      <c r="CG4" s="186">
        <v>1125</v>
      </c>
      <c r="CH4" s="186">
        <v>1125</v>
      </c>
      <c r="CI4" s="186">
        <v>739.6</v>
      </c>
      <c r="CJ4" s="186">
        <v>1184.33</v>
      </c>
      <c r="CK4" s="186">
        <v>1775</v>
      </c>
      <c r="CL4" s="186">
        <v>1125</v>
      </c>
      <c r="CM4" s="186">
        <v>1125</v>
      </c>
      <c r="CN4" s="186">
        <v>1125</v>
      </c>
      <c r="CO4" s="186">
        <v>0</v>
      </c>
      <c r="CP4" s="186">
        <v>1027.99</v>
      </c>
      <c r="CQ4" s="186">
        <v>1125</v>
      </c>
      <c r="CR4" s="186">
        <v>0</v>
      </c>
      <c r="CS4" s="186">
        <v>1125</v>
      </c>
      <c r="CT4" s="186">
        <v>0</v>
      </c>
      <c r="CU4" s="186">
        <v>0</v>
      </c>
      <c r="CV4" s="186">
        <v>475</v>
      </c>
      <c r="CW4" s="186">
        <v>0</v>
      </c>
      <c r="CX4" s="186">
        <v>0</v>
      </c>
      <c r="CY4" s="186">
        <v>475</v>
      </c>
      <c r="CZ4" s="186">
        <v>0</v>
      </c>
      <c r="DA4" s="186">
        <v>1883.6</v>
      </c>
      <c r="DB4" s="186">
        <v>0</v>
      </c>
      <c r="DC4" s="186">
        <v>941.8</v>
      </c>
    </row>
    <row r="5" spans="1:107">
      <c r="A5" s="187" t="s">
        <v>62</v>
      </c>
      <c r="B5" s="186">
        <v>4404691.28</v>
      </c>
      <c r="C5" s="186">
        <v>1566457.7100000002</v>
      </c>
      <c r="D5" s="186">
        <v>1509378.2799999998</v>
      </c>
      <c r="E5" s="186">
        <v>176820.39</v>
      </c>
      <c r="F5" s="186">
        <v>93096.34</v>
      </c>
      <c r="G5" s="186">
        <v>167004.24000000002</v>
      </c>
      <c r="H5" s="186">
        <v>142009.49</v>
      </c>
      <c r="I5" s="186">
        <v>18205</v>
      </c>
      <c r="J5" s="186">
        <v>37108.46</v>
      </c>
      <c r="K5" s="186">
        <v>44871.72</v>
      </c>
      <c r="L5" s="186">
        <v>15587.400000000001</v>
      </c>
      <c r="M5" s="186">
        <v>29482.04</v>
      </c>
      <c r="N5" s="186">
        <v>3643.46</v>
      </c>
      <c r="O5" s="186">
        <v>2456.7200000000003</v>
      </c>
      <c r="P5" s="186">
        <v>24057.51</v>
      </c>
      <c r="Q5" s="186">
        <v>22778.629999999997</v>
      </c>
      <c r="R5" s="186">
        <v>24322.799999999999</v>
      </c>
      <c r="S5" s="186">
        <v>48976.490000000005</v>
      </c>
      <c r="T5" s="186">
        <v>44348.91</v>
      </c>
      <c r="U5" s="186">
        <v>365808.88</v>
      </c>
      <c r="V5" s="186">
        <v>748</v>
      </c>
      <c r="W5" s="186">
        <v>0</v>
      </c>
      <c r="X5" s="186">
        <v>14526.42</v>
      </c>
      <c r="Y5" s="186">
        <v>746.59</v>
      </c>
      <c r="Z5" s="186">
        <v>53298.69</v>
      </c>
      <c r="AA5" s="186">
        <v>0</v>
      </c>
      <c r="AB5" s="186">
        <v>43992.67</v>
      </c>
      <c r="AC5" s="186">
        <v>38011.210000000006</v>
      </c>
      <c r="AD5" s="186">
        <v>23883.3</v>
      </c>
      <c r="AE5" s="186">
        <v>2361.5100000000002</v>
      </c>
      <c r="AF5" s="186">
        <v>25859.7</v>
      </c>
      <c r="AG5" s="186">
        <v>1156815.3199999998</v>
      </c>
      <c r="AH5" s="186">
        <v>243131.61000000002</v>
      </c>
      <c r="AI5" s="186">
        <v>83571.649999999994</v>
      </c>
      <c r="AJ5" s="186">
        <v>67306.77</v>
      </c>
      <c r="AK5" s="186">
        <v>61402.720000000001</v>
      </c>
      <c r="AL5" s="186">
        <v>24498.670000000002</v>
      </c>
      <c r="AM5" s="186">
        <v>7194.95</v>
      </c>
      <c r="AN5" s="186">
        <v>222.04</v>
      </c>
      <c r="AO5" s="186">
        <v>36445.58</v>
      </c>
      <c r="AP5" s="186">
        <v>28896.829999999998</v>
      </c>
      <c r="AQ5" s="186">
        <v>26724.940000000002</v>
      </c>
      <c r="AR5" s="186">
        <v>23603.89</v>
      </c>
      <c r="AS5" s="186">
        <v>22244.670000000002</v>
      </c>
      <c r="AT5" s="186">
        <v>63540.89</v>
      </c>
      <c r="AU5" s="186">
        <v>84034.290000000008</v>
      </c>
      <c r="AV5" s="186">
        <v>89326.57</v>
      </c>
      <c r="AW5" s="186">
        <v>97546.93</v>
      </c>
      <c r="AX5" s="186">
        <v>65611.17</v>
      </c>
      <c r="AY5" s="186">
        <v>67307.150000000009</v>
      </c>
      <c r="AZ5" s="186">
        <v>36454.949999999997</v>
      </c>
      <c r="BA5" s="186">
        <v>94914.909999999989</v>
      </c>
      <c r="BB5" s="186">
        <v>25361.420000000002</v>
      </c>
      <c r="BC5" s="186">
        <v>19591.379999999997</v>
      </c>
      <c r="BD5" s="186">
        <v>69302.83</v>
      </c>
      <c r="BE5" s="186">
        <v>56066.52</v>
      </c>
      <c r="BF5" s="186">
        <v>48766.04</v>
      </c>
      <c r="BG5" s="186">
        <v>47195.27</v>
      </c>
      <c r="BH5" s="186">
        <v>31071.21</v>
      </c>
      <c r="BI5" s="186">
        <v>34781.85</v>
      </c>
      <c r="BJ5" s="186">
        <v>40754.79</v>
      </c>
      <c r="BK5" s="186">
        <v>33459.08</v>
      </c>
      <c r="BL5" s="186">
        <v>21194.31</v>
      </c>
      <c r="BM5" s="186">
        <v>25382.09</v>
      </c>
      <c r="BN5" s="186">
        <v>32431.530000000002</v>
      </c>
      <c r="BO5" s="186">
        <v>35987.82</v>
      </c>
      <c r="BP5" s="186">
        <v>11962.529999999999</v>
      </c>
      <c r="BQ5" s="186">
        <v>14379.1</v>
      </c>
      <c r="BR5" s="186">
        <v>7433.05</v>
      </c>
      <c r="BS5" s="186">
        <v>18202.98</v>
      </c>
      <c r="BT5" s="186">
        <v>14283.91</v>
      </c>
      <c r="BU5" s="186">
        <v>27986.92</v>
      </c>
      <c r="BV5" s="186">
        <v>15158.9</v>
      </c>
      <c r="BW5" s="186">
        <v>94028.849999999991</v>
      </c>
      <c r="BX5" s="186">
        <v>4484.79</v>
      </c>
      <c r="BY5" s="186">
        <v>10310.779999999999</v>
      </c>
      <c r="BZ5" s="186">
        <v>8351.99</v>
      </c>
      <c r="CA5" s="186">
        <v>8765.3799999999992</v>
      </c>
      <c r="CB5" s="186">
        <v>8096.0300000000007</v>
      </c>
      <c r="CC5" s="186">
        <v>17198.53</v>
      </c>
      <c r="CD5" s="186">
        <v>9145.61</v>
      </c>
      <c r="CE5" s="186">
        <v>3268.5</v>
      </c>
      <c r="CF5" s="186">
        <v>772.64</v>
      </c>
      <c r="CG5" s="186">
        <v>3171.3999999999996</v>
      </c>
      <c r="CH5" s="186">
        <v>1592.77</v>
      </c>
      <c r="CI5" s="186">
        <v>1101.6500000000001</v>
      </c>
      <c r="CJ5" s="186">
        <v>2627.2</v>
      </c>
      <c r="CK5" s="186">
        <v>1903.69</v>
      </c>
      <c r="CL5" s="186">
        <v>1644.77</v>
      </c>
      <c r="CM5" s="186">
        <v>2644.6800000000003</v>
      </c>
      <c r="CN5" s="186">
        <v>1480.65</v>
      </c>
      <c r="CO5" s="186">
        <v>724.64</v>
      </c>
      <c r="CP5" s="186">
        <v>2490.31</v>
      </c>
      <c r="CQ5" s="186">
        <v>1802.48</v>
      </c>
      <c r="CR5" s="186">
        <v>727.44</v>
      </c>
      <c r="CS5" s="186">
        <v>1920.1299999999999</v>
      </c>
      <c r="CT5" s="186">
        <v>842.58</v>
      </c>
      <c r="CU5" s="186">
        <v>1546.01</v>
      </c>
      <c r="CV5" s="186">
        <v>1499.62</v>
      </c>
      <c r="CW5" s="186">
        <v>383.34000000000003</v>
      </c>
      <c r="CX5" s="186">
        <v>608.25</v>
      </c>
      <c r="CY5" s="186">
        <v>1787.44</v>
      </c>
      <c r="CZ5" s="186">
        <v>342.03</v>
      </c>
      <c r="DA5" s="186">
        <v>788.87</v>
      </c>
      <c r="DB5" s="186">
        <v>339.77</v>
      </c>
      <c r="DC5" s="186">
        <v>2658.59</v>
      </c>
    </row>
    <row r="6" spans="1:107">
      <c r="A6" s="187" t="s">
        <v>82</v>
      </c>
      <c r="B6" s="186">
        <v>2942654.49</v>
      </c>
      <c r="C6" s="186">
        <v>418273.50000000006</v>
      </c>
      <c r="D6" s="186">
        <v>2060</v>
      </c>
      <c r="E6" s="186">
        <v>0</v>
      </c>
      <c r="F6" s="186">
        <v>504</v>
      </c>
      <c r="G6" s="186">
        <v>0</v>
      </c>
      <c r="H6" s="186">
        <v>2509816.9900000002</v>
      </c>
      <c r="I6" s="186">
        <v>12000</v>
      </c>
      <c r="J6" s="186">
        <v>0</v>
      </c>
      <c r="K6" s="186">
        <v>0</v>
      </c>
      <c r="L6" s="186">
        <v>0</v>
      </c>
      <c r="M6" s="186">
        <v>0</v>
      </c>
      <c r="N6" s="186">
        <v>0</v>
      </c>
      <c r="O6" s="186">
        <v>0</v>
      </c>
      <c r="P6" s="186">
        <v>0</v>
      </c>
      <c r="Q6" s="186">
        <v>0</v>
      </c>
      <c r="R6" s="186">
        <v>0</v>
      </c>
      <c r="S6" s="186">
        <v>0</v>
      </c>
      <c r="T6" s="186">
        <v>0</v>
      </c>
      <c r="U6" s="186">
        <v>0</v>
      </c>
      <c r="V6" s="186">
        <v>0</v>
      </c>
      <c r="W6" s="186">
        <v>0</v>
      </c>
      <c r="X6" s="186">
        <v>0</v>
      </c>
      <c r="Y6" s="186">
        <v>0</v>
      </c>
      <c r="Z6" s="186">
        <v>0</v>
      </c>
      <c r="AA6" s="186">
        <v>0</v>
      </c>
      <c r="AB6" s="186">
        <v>0</v>
      </c>
      <c r="AC6" s="186">
        <v>0</v>
      </c>
      <c r="AD6" s="186">
        <v>0</v>
      </c>
      <c r="AE6" s="186">
        <v>0</v>
      </c>
      <c r="AF6" s="186">
        <v>0</v>
      </c>
      <c r="AG6" s="186">
        <v>2000</v>
      </c>
      <c r="AH6" s="186">
        <v>0</v>
      </c>
      <c r="AI6" s="186">
        <v>60</v>
      </c>
      <c r="AJ6" s="186">
        <v>0</v>
      </c>
      <c r="AK6" s="186">
        <v>504</v>
      </c>
      <c r="AL6" s="186">
        <v>0</v>
      </c>
      <c r="AM6" s="186">
        <v>0</v>
      </c>
      <c r="AN6" s="186">
        <v>0</v>
      </c>
      <c r="AO6" s="186">
        <v>313263.40000000002</v>
      </c>
      <c r="AP6" s="186">
        <v>0</v>
      </c>
      <c r="AQ6" s="186">
        <v>0</v>
      </c>
      <c r="AR6" s="186">
        <v>0</v>
      </c>
      <c r="AS6" s="186">
        <v>0</v>
      </c>
      <c r="AT6" s="186">
        <v>0</v>
      </c>
      <c r="AU6" s="186">
        <v>0</v>
      </c>
      <c r="AV6" s="186">
        <v>0</v>
      </c>
      <c r="AW6" s="186">
        <v>0</v>
      </c>
      <c r="AX6" s="186">
        <v>465</v>
      </c>
      <c r="AY6" s="186">
        <v>0</v>
      </c>
      <c r="AZ6" s="186">
        <v>1460</v>
      </c>
      <c r="BA6" s="186">
        <v>12454.5</v>
      </c>
      <c r="BB6" s="186">
        <v>3904</v>
      </c>
      <c r="BC6" s="186">
        <v>2249.9</v>
      </c>
      <c r="BD6" s="186">
        <v>0</v>
      </c>
      <c r="BE6" s="186">
        <v>16942</v>
      </c>
      <c r="BF6" s="186">
        <v>40</v>
      </c>
      <c r="BG6" s="186">
        <v>0</v>
      </c>
      <c r="BH6" s="186">
        <v>16480</v>
      </c>
      <c r="BI6" s="186">
        <v>3898</v>
      </c>
      <c r="BJ6" s="186">
        <v>1200</v>
      </c>
      <c r="BK6" s="186">
        <v>6254</v>
      </c>
      <c r="BL6" s="186">
        <v>0</v>
      </c>
      <c r="BM6" s="186">
        <v>4256</v>
      </c>
      <c r="BN6" s="186">
        <v>4380</v>
      </c>
      <c r="BO6" s="186">
        <v>800</v>
      </c>
      <c r="BP6" s="186">
        <v>0</v>
      </c>
      <c r="BQ6" s="186">
        <v>800</v>
      </c>
      <c r="BR6" s="186">
        <v>1668</v>
      </c>
      <c r="BS6" s="186">
        <v>0</v>
      </c>
      <c r="BT6" s="186">
        <v>0</v>
      </c>
      <c r="BU6" s="186">
        <v>3633.5699999999997</v>
      </c>
      <c r="BV6" s="186">
        <v>0</v>
      </c>
      <c r="BW6" s="186">
        <v>8642.7999999999993</v>
      </c>
      <c r="BX6" s="186">
        <v>0</v>
      </c>
      <c r="BY6" s="186">
        <v>900</v>
      </c>
      <c r="BZ6" s="186">
        <v>818.5</v>
      </c>
      <c r="CA6" s="186">
        <v>0</v>
      </c>
      <c r="CB6" s="186">
        <v>0</v>
      </c>
      <c r="CC6" s="186">
        <v>4830</v>
      </c>
      <c r="CD6" s="186">
        <v>0</v>
      </c>
      <c r="CE6" s="186">
        <v>309</v>
      </c>
      <c r="CF6" s="186">
        <v>0</v>
      </c>
      <c r="CG6" s="186">
        <v>280</v>
      </c>
      <c r="CH6" s="186">
        <v>0</v>
      </c>
      <c r="CI6" s="186">
        <v>1379.1399999999999</v>
      </c>
      <c r="CJ6" s="186">
        <v>0</v>
      </c>
      <c r="CK6" s="186">
        <v>0</v>
      </c>
      <c r="CL6" s="186">
        <v>2088.29</v>
      </c>
      <c r="CM6" s="186">
        <v>200</v>
      </c>
      <c r="CN6" s="186">
        <v>450</v>
      </c>
      <c r="CO6" s="186">
        <v>0</v>
      </c>
      <c r="CP6" s="186">
        <v>0</v>
      </c>
      <c r="CQ6" s="186">
        <v>0</v>
      </c>
      <c r="CR6" s="186">
        <v>0</v>
      </c>
      <c r="CS6" s="186">
        <v>900</v>
      </c>
      <c r="CT6" s="186">
        <v>0</v>
      </c>
      <c r="CU6" s="186">
        <v>2589.4</v>
      </c>
      <c r="CV6" s="186">
        <v>0</v>
      </c>
      <c r="CW6" s="186">
        <v>0</v>
      </c>
      <c r="CX6" s="186">
        <v>238</v>
      </c>
      <c r="CY6" s="186">
        <v>500</v>
      </c>
      <c r="CZ6" s="186">
        <v>0</v>
      </c>
      <c r="DA6" s="186">
        <v>0</v>
      </c>
      <c r="DB6" s="186">
        <v>0</v>
      </c>
      <c r="DC6" s="186">
        <v>0</v>
      </c>
    </row>
    <row r="7" spans="1:107">
      <c r="A7" s="187" t="s">
        <v>63</v>
      </c>
      <c r="B7" s="186">
        <v>27053592.629999999</v>
      </c>
      <c r="C7" s="186">
        <v>15069049.950000003</v>
      </c>
      <c r="D7" s="186">
        <v>2608016.13</v>
      </c>
      <c r="E7" s="186">
        <v>2060613.9</v>
      </c>
      <c r="F7" s="186">
        <v>1362075.28</v>
      </c>
      <c r="G7" s="186">
        <v>646914</v>
      </c>
      <c r="H7" s="186">
        <v>-174720.2</v>
      </c>
      <c r="I7" s="186">
        <v>221709.56</v>
      </c>
      <c r="J7" s="186">
        <v>452392.73</v>
      </c>
      <c r="K7" s="186">
        <v>546483.23</v>
      </c>
      <c r="L7" s="186">
        <v>170392.41</v>
      </c>
      <c r="M7" s="186">
        <v>318859.59999999998</v>
      </c>
      <c r="N7" s="186">
        <v>45971.92</v>
      </c>
      <c r="O7" s="186">
        <v>42844.04</v>
      </c>
      <c r="P7" s="186">
        <v>275825.58999999997</v>
      </c>
      <c r="Q7" s="186">
        <v>245186.56</v>
      </c>
      <c r="R7" s="186">
        <v>261760.2</v>
      </c>
      <c r="S7" s="186">
        <v>596561.97</v>
      </c>
      <c r="T7" s="186">
        <v>549193.92999999993</v>
      </c>
      <c r="U7" s="186">
        <v>920099.08000000007</v>
      </c>
      <c r="V7" s="186">
        <v>6256.22</v>
      </c>
      <c r="W7" s="186">
        <v>0</v>
      </c>
      <c r="X7" s="186">
        <v>174864.01</v>
      </c>
      <c r="Y7" s="186">
        <v>0</v>
      </c>
      <c r="Z7" s="186">
        <v>587416.34</v>
      </c>
      <c r="AA7" s="186">
        <v>0</v>
      </c>
      <c r="AB7" s="186">
        <v>560602.74</v>
      </c>
      <c r="AC7" s="186">
        <v>443273.55</v>
      </c>
      <c r="AD7" s="186">
        <v>294172.26</v>
      </c>
      <c r="AE7" s="186">
        <v>285</v>
      </c>
      <c r="AF7" s="186">
        <v>244823.72</v>
      </c>
      <c r="AG7" s="186">
        <v>746858.59</v>
      </c>
      <c r="AH7" s="186">
        <v>639287.5</v>
      </c>
      <c r="AI7" s="186">
        <v>977046.32</v>
      </c>
      <c r="AJ7" s="186">
        <v>825296.45</v>
      </c>
      <c r="AK7" s="186">
        <v>1034321.75</v>
      </c>
      <c r="AL7" s="186">
        <v>220641.96</v>
      </c>
      <c r="AM7" s="186">
        <v>107111.56999999999</v>
      </c>
      <c r="AN7" s="186">
        <v>2810.08</v>
      </c>
      <c r="AO7" s="186">
        <v>231646.13999999998</v>
      </c>
      <c r="AP7" s="186">
        <v>346558.29000000004</v>
      </c>
      <c r="AQ7" s="186">
        <v>328179.95</v>
      </c>
      <c r="AR7" s="186">
        <v>296052.65999999997</v>
      </c>
      <c r="AS7" s="186">
        <v>248135.63999999998</v>
      </c>
      <c r="AT7" s="186">
        <v>656851.21</v>
      </c>
      <c r="AU7" s="186">
        <v>660313.77</v>
      </c>
      <c r="AV7" s="186">
        <v>729226.1</v>
      </c>
      <c r="AW7" s="186">
        <v>565132.38</v>
      </c>
      <c r="AX7" s="186">
        <v>640646.98</v>
      </c>
      <c r="AY7" s="186">
        <v>596307.55999999994</v>
      </c>
      <c r="AZ7" s="186">
        <v>233517.29</v>
      </c>
      <c r="BA7" s="186">
        <v>725916.45</v>
      </c>
      <c r="BB7" s="186">
        <v>316348.54000000004</v>
      </c>
      <c r="BC7" s="186">
        <v>251597.08000000002</v>
      </c>
      <c r="BD7" s="186">
        <v>916733.78</v>
      </c>
      <c r="BE7" s="186">
        <v>643445.48</v>
      </c>
      <c r="BF7" s="186">
        <v>588578.68000000005</v>
      </c>
      <c r="BG7" s="186">
        <v>496466.51</v>
      </c>
      <c r="BH7" s="186">
        <v>337842.44</v>
      </c>
      <c r="BI7" s="186">
        <v>193749.14</v>
      </c>
      <c r="BJ7" s="186">
        <v>327839.45</v>
      </c>
      <c r="BK7" s="186">
        <v>295726.14</v>
      </c>
      <c r="BL7" s="186">
        <v>169918.15</v>
      </c>
      <c r="BM7" s="186">
        <v>162909.04999999999</v>
      </c>
      <c r="BN7" s="186">
        <v>310494.67000000004</v>
      </c>
      <c r="BO7" s="186">
        <v>400035.57999999996</v>
      </c>
      <c r="BP7" s="186">
        <v>116297.93</v>
      </c>
      <c r="BQ7" s="186">
        <v>115354.34999999999</v>
      </c>
      <c r="BR7" s="186">
        <v>87910.65</v>
      </c>
      <c r="BS7" s="186">
        <v>147771.66</v>
      </c>
      <c r="BT7" s="186">
        <v>111789.09999999999</v>
      </c>
      <c r="BU7" s="186">
        <v>201898.21000000002</v>
      </c>
      <c r="BV7" s="186">
        <v>107794.23999999999</v>
      </c>
      <c r="BW7" s="186">
        <v>1271860.58</v>
      </c>
      <c r="BX7" s="186">
        <v>67788.17</v>
      </c>
      <c r="BY7" s="186">
        <v>97087.349999999991</v>
      </c>
      <c r="BZ7" s="186">
        <v>73400.549999999988</v>
      </c>
      <c r="CA7" s="186">
        <v>60032.04</v>
      </c>
      <c r="CB7" s="186">
        <v>87531.390000000014</v>
      </c>
      <c r="CC7" s="186">
        <v>289630.42000000004</v>
      </c>
      <c r="CD7" s="186">
        <v>100511.45999999999</v>
      </c>
      <c r="CE7" s="186">
        <v>48488.75</v>
      </c>
      <c r="CF7" s="186">
        <v>7380.1299999999992</v>
      </c>
      <c r="CG7" s="186">
        <v>30792.37</v>
      </c>
      <c r="CH7" s="186">
        <v>15271.61</v>
      </c>
      <c r="CI7" s="186">
        <v>18366.46</v>
      </c>
      <c r="CJ7" s="186">
        <v>32200.720000000001</v>
      </c>
      <c r="CK7" s="186">
        <v>16784.75</v>
      </c>
      <c r="CL7" s="186">
        <v>21070.05</v>
      </c>
      <c r="CM7" s="186">
        <v>19259.37</v>
      </c>
      <c r="CN7" s="186">
        <v>13907</v>
      </c>
      <c r="CO7" s="186">
        <v>5094</v>
      </c>
      <c r="CP7" s="186">
        <v>29434.23</v>
      </c>
      <c r="CQ7" s="186">
        <v>12032.93</v>
      </c>
      <c r="CR7" s="186">
        <v>9302.9699999999993</v>
      </c>
      <c r="CS7" s="186">
        <v>22432.44</v>
      </c>
      <c r="CT7" s="186">
        <v>9208.18</v>
      </c>
      <c r="CU7" s="186">
        <v>26008.14</v>
      </c>
      <c r="CV7" s="186">
        <v>24469.4</v>
      </c>
      <c r="CW7" s="186">
        <v>0</v>
      </c>
      <c r="CX7" s="186">
        <v>6484.8</v>
      </c>
      <c r="CY7" s="186">
        <v>21997.51</v>
      </c>
      <c r="CZ7" s="186">
        <v>3198.44</v>
      </c>
      <c r="DA7" s="186">
        <v>23624.33</v>
      </c>
      <c r="DB7" s="186">
        <v>4525.75</v>
      </c>
      <c r="DC7" s="186">
        <v>40888.410000000003</v>
      </c>
    </row>
    <row r="8" spans="1:107">
      <c r="A8" s="187" t="s">
        <v>64</v>
      </c>
      <c r="B8" s="186">
        <v>86818</v>
      </c>
      <c r="C8" s="186">
        <v>86818</v>
      </c>
      <c r="D8" s="186">
        <v>0</v>
      </c>
      <c r="E8" s="186">
        <v>0</v>
      </c>
      <c r="F8" s="186">
        <v>0</v>
      </c>
      <c r="G8" s="186">
        <v>0</v>
      </c>
      <c r="H8" s="186">
        <v>0</v>
      </c>
      <c r="I8" s="186">
        <v>0</v>
      </c>
      <c r="J8" s="186">
        <v>0</v>
      </c>
      <c r="K8" s="186">
        <v>0</v>
      </c>
      <c r="L8" s="186">
        <v>0</v>
      </c>
      <c r="M8" s="186">
        <v>0</v>
      </c>
      <c r="N8" s="186">
        <v>0</v>
      </c>
      <c r="O8" s="186">
        <v>0</v>
      </c>
      <c r="P8" s="186">
        <v>0</v>
      </c>
      <c r="Q8" s="186">
        <v>0</v>
      </c>
      <c r="R8" s="186">
        <v>0</v>
      </c>
      <c r="S8" s="186">
        <v>0</v>
      </c>
      <c r="T8" s="186">
        <v>0</v>
      </c>
      <c r="U8" s="186">
        <v>0</v>
      </c>
      <c r="V8" s="186">
        <v>0</v>
      </c>
      <c r="W8" s="186">
        <v>0</v>
      </c>
      <c r="X8" s="186">
        <v>0</v>
      </c>
      <c r="Y8" s="186">
        <v>0</v>
      </c>
      <c r="Z8" s="186">
        <v>0</v>
      </c>
      <c r="AA8" s="186">
        <v>0</v>
      </c>
      <c r="AB8" s="186">
        <v>0</v>
      </c>
      <c r="AC8" s="186">
        <v>0</v>
      </c>
      <c r="AD8" s="186">
        <v>0</v>
      </c>
      <c r="AE8" s="186">
        <v>0</v>
      </c>
      <c r="AF8" s="186">
        <v>0</v>
      </c>
      <c r="AG8" s="186">
        <v>0</v>
      </c>
      <c r="AH8" s="186">
        <v>0</v>
      </c>
      <c r="AI8" s="186">
        <v>0</v>
      </c>
      <c r="AJ8" s="186">
        <v>0</v>
      </c>
      <c r="AK8" s="186">
        <v>0</v>
      </c>
      <c r="AL8" s="186">
        <v>0</v>
      </c>
      <c r="AM8" s="186">
        <v>0</v>
      </c>
      <c r="AN8" s="186">
        <v>0</v>
      </c>
      <c r="AO8" s="186">
        <v>0</v>
      </c>
      <c r="AP8" s="186">
        <v>0</v>
      </c>
      <c r="AQ8" s="186">
        <v>0</v>
      </c>
      <c r="AR8" s="186">
        <v>0</v>
      </c>
      <c r="AS8" s="186">
        <v>0</v>
      </c>
      <c r="AT8" s="186">
        <v>0</v>
      </c>
      <c r="AU8" s="186">
        <v>0</v>
      </c>
      <c r="AV8" s="186">
        <v>0</v>
      </c>
      <c r="AW8" s="186">
        <v>0</v>
      </c>
      <c r="AX8" s="186">
        <v>0</v>
      </c>
      <c r="AY8" s="186">
        <v>0</v>
      </c>
      <c r="AZ8" s="186">
        <v>0</v>
      </c>
      <c r="BA8" s="186">
        <v>0</v>
      </c>
      <c r="BB8" s="186">
        <v>0</v>
      </c>
      <c r="BC8" s="186">
        <v>0</v>
      </c>
      <c r="BD8" s="186">
        <v>0</v>
      </c>
      <c r="BE8" s="186">
        <v>0</v>
      </c>
      <c r="BF8" s="186">
        <v>0</v>
      </c>
      <c r="BG8" s="186">
        <v>0</v>
      </c>
      <c r="BH8" s="186">
        <v>0</v>
      </c>
      <c r="BI8" s="186">
        <v>0</v>
      </c>
      <c r="BJ8" s="186">
        <v>0</v>
      </c>
      <c r="BK8" s="186">
        <v>0</v>
      </c>
      <c r="BL8" s="186">
        <v>0</v>
      </c>
      <c r="BM8" s="186">
        <v>0</v>
      </c>
      <c r="BN8" s="186">
        <v>0</v>
      </c>
      <c r="BO8" s="186">
        <v>0</v>
      </c>
      <c r="BP8" s="186">
        <v>0</v>
      </c>
      <c r="BQ8" s="186">
        <v>0</v>
      </c>
      <c r="BR8" s="186">
        <v>0</v>
      </c>
      <c r="BS8" s="186">
        <v>0</v>
      </c>
      <c r="BT8" s="186">
        <v>0</v>
      </c>
      <c r="BU8" s="186">
        <v>0</v>
      </c>
      <c r="BV8" s="186">
        <v>0</v>
      </c>
      <c r="BW8" s="186">
        <v>86818</v>
      </c>
      <c r="BX8" s="186">
        <v>0</v>
      </c>
      <c r="BY8" s="186">
        <v>0</v>
      </c>
      <c r="BZ8" s="186">
        <v>0</v>
      </c>
      <c r="CA8" s="186">
        <v>0</v>
      </c>
      <c r="CB8" s="186">
        <v>0</v>
      </c>
      <c r="CC8" s="186">
        <v>0</v>
      </c>
      <c r="CD8" s="186">
        <v>0</v>
      </c>
      <c r="CE8" s="186">
        <v>0</v>
      </c>
      <c r="CF8" s="186">
        <v>0</v>
      </c>
      <c r="CG8" s="186">
        <v>0</v>
      </c>
      <c r="CH8" s="186">
        <v>0</v>
      </c>
      <c r="CI8" s="186">
        <v>0</v>
      </c>
      <c r="CJ8" s="186">
        <v>0</v>
      </c>
      <c r="CK8" s="186">
        <v>0</v>
      </c>
      <c r="CL8" s="186">
        <v>0</v>
      </c>
      <c r="CM8" s="186">
        <v>0</v>
      </c>
      <c r="CN8" s="186">
        <v>0</v>
      </c>
      <c r="CO8" s="186">
        <v>0</v>
      </c>
      <c r="CP8" s="186">
        <v>0</v>
      </c>
      <c r="CQ8" s="186">
        <v>0</v>
      </c>
      <c r="CR8" s="186">
        <v>0</v>
      </c>
      <c r="CS8" s="186">
        <v>0</v>
      </c>
      <c r="CT8" s="186">
        <v>0</v>
      </c>
      <c r="CU8" s="186">
        <v>0</v>
      </c>
      <c r="CV8" s="186">
        <v>0</v>
      </c>
      <c r="CW8" s="186">
        <v>0</v>
      </c>
      <c r="CX8" s="186">
        <v>0</v>
      </c>
      <c r="CY8" s="186">
        <v>0</v>
      </c>
      <c r="CZ8" s="186">
        <v>0</v>
      </c>
      <c r="DA8" s="186">
        <v>0</v>
      </c>
      <c r="DB8" s="186">
        <v>0</v>
      </c>
      <c r="DC8" s="186">
        <v>0</v>
      </c>
    </row>
    <row r="9" spans="1:107">
      <c r="A9" s="187" t="s">
        <v>65</v>
      </c>
      <c r="B9" s="186">
        <v>210472.76000000004</v>
      </c>
      <c r="C9" s="186">
        <v>178947.46000000002</v>
      </c>
      <c r="D9" s="186">
        <v>0</v>
      </c>
      <c r="E9" s="186">
        <v>2821.5</v>
      </c>
      <c r="F9" s="186">
        <v>31126.6</v>
      </c>
      <c r="G9" s="186">
        <v>0</v>
      </c>
      <c r="H9" s="186">
        <v>0</v>
      </c>
      <c r="I9" s="186">
        <v>0</v>
      </c>
      <c r="J9" s="186">
        <v>0</v>
      </c>
      <c r="K9" s="186">
        <v>0</v>
      </c>
      <c r="L9" s="186">
        <v>0</v>
      </c>
      <c r="M9" s="186">
        <v>0</v>
      </c>
      <c r="N9" s="186">
        <v>0</v>
      </c>
      <c r="O9" s="186">
        <v>0</v>
      </c>
      <c r="P9" s="186">
        <v>0</v>
      </c>
      <c r="Q9" s="186">
        <v>0</v>
      </c>
      <c r="R9" s="186">
        <v>0</v>
      </c>
      <c r="S9" s="186">
        <v>-1211.4000000000001</v>
      </c>
      <c r="T9" s="186">
        <v>0</v>
      </c>
      <c r="U9" s="186">
        <v>0</v>
      </c>
      <c r="V9" s="186">
        <v>0</v>
      </c>
      <c r="W9" s="186">
        <v>0</v>
      </c>
      <c r="X9" s="186">
        <v>0</v>
      </c>
      <c r="Y9" s="186">
        <v>0</v>
      </c>
      <c r="Z9" s="186">
        <v>0</v>
      </c>
      <c r="AA9" s="186">
        <v>0</v>
      </c>
      <c r="AB9" s="186">
        <v>0</v>
      </c>
      <c r="AC9" s="186">
        <v>0</v>
      </c>
      <c r="AD9" s="186">
        <v>2821.5</v>
      </c>
      <c r="AE9" s="186">
        <v>0</v>
      </c>
      <c r="AF9" s="186">
        <v>0</v>
      </c>
      <c r="AG9" s="186">
        <v>0</v>
      </c>
      <c r="AH9" s="186">
        <v>0</v>
      </c>
      <c r="AI9" s="186">
        <v>0</v>
      </c>
      <c r="AJ9" s="186">
        <v>-1211.4000000000001</v>
      </c>
      <c r="AK9" s="186">
        <v>31126.6</v>
      </c>
      <c r="AL9" s="186">
        <v>0</v>
      </c>
      <c r="AM9" s="186">
        <v>0</v>
      </c>
      <c r="AN9" s="186">
        <v>0</v>
      </c>
      <c r="AO9" s="186">
        <v>0</v>
      </c>
      <c r="AP9" s="186">
        <v>0</v>
      </c>
      <c r="AQ9" s="186">
        <v>0</v>
      </c>
      <c r="AR9" s="186">
        <v>-1216.5</v>
      </c>
      <c r="AS9" s="186">
        <v>0</v>
      </c>
      <c r="AT9" s="186">
        <v>0</v>
      </c>
      <c r="AU9" s="186">
        <v>0</v>
      </c>
      <c r="AV9" s="186">
        <v>0</v>
      </c>
      <c r="AW9" s="186">
        <v>8328</v>
      </c>
      <c r="AX9" s="186">
        <v>0</v>
      </c>
      <c r="AY9" s="186">
        <v>0</v>
      </c>
      <c r="AZ9" s="186">
        <v>17862</v>
      </c>
      <c r="BA9" s="186">
        <v>0</v>
      </c>
      <c r="BB9" s="186">
        <v>0</v>
      </c>
      <c r="BC9" s="186">
        <v>4146</v>
      </c>
      <c r="BD9" s="186">
        <v>87277.96</v>
      </c>
      <c r="BE9" s="186">
        <v>0</v>
      </c>
      <c r="BF9" s="186">
        <v>4182</v>
      </c>
      <c r="BG9" s="186">
        <v>0</v>
      </c>
      <c r="BH9" s="186">
        <v>0</v>
      </c>
      <c r="BI9" s="186">
        <v>0</v>
      </c>
      <c r="BJ9" s="186">
        <v>4182</v>
      </c>
      <c r="BK9" s="186">
        <v>0</v>
      </c>
      <c r="BL9" s="186">
        <v>8328</v>
      </c>
      <c r="BM9" s="186">
        <v>33384</v>
      </c>
      <c r="BN9" s="186">
        <v>0</v>
      </c>
      <c r="BO9" s="186">
        <v>0</v>
      </c>
      <c r="BP9" s="186">
        <v>0</v>
      </c>
      <c r="BQ9" s="186">
        <v>0</v>
      </c>
      <c r="BR9" s="186">
        <v>0</v>
      </c>
      <c r="BS9" s="186">
        <v>0</v>
      </c>
      <c r="BT9" s="186">
        <v>4182</v>
      </c>
      <c r="BU9" s="186">
        <v>0</v>
      </c>
      <c r="BV9" s="186">
        <v>0</v>
      </c>
      <c r="BW9" s="186">
        <v>0</v>
      </c>
      <c r="BX9" s="186">
        <v>0</v>
      </c>
      <c r="BY9" s="186">
        <v>4146</v>
      </c>
      <c r="BZ9" s="186">
        <v>0</v>
      </c>
      <c r="CA9" s="186">
        <v>0</v>
      </c>
      <c r="CB9" s="186">
        <v>0</v>
      </c>
      <c r="CC9" s="186">
        <v>0</v>
      </c>
      <c r="CD9" s="186">
        <v>4146</v>
      </c>
      <c r="CE9" s="186">
        <v>0</v>
      </c>
      <c r="CF9" s="186">
        <v>0</v>
      </c>
      <c r="CG9" s="186">
        <v>0</v>
      </c>
      <c r="CH9" s="186">
        <v>0</v>
      </c>
      <c r="CI9" s="186">
        <v>0</v>
      </c>
      <c r="CJ9" s="186">
        <v>0</v>
      </c>
      <c r="CK9" s="186">
        <v>0</v>
      </c>
      <c r="CL9" s="186">
        <v>0</v>
      </c>
      <c r="CM9" s="186">
        <v>0</v>
      </c>
      <c r="CN9" s="186">
        <v>0</v>
      </c>
      <c r="CO9" s="186">
        <v>0</v>
      </c>
      <c r="CP9" s="186">
        <v>0</v>
      </c>
      <c r="CQ9" s="186">
        <v>0</v>
      </c>
      <c r="CR9" s="186">
        <v>0</v>
      </c>
      <c r="CS9" s="186">
        <v>0</v>
      </c>
      <c r="CT9" s="186">
        <v>0</v>
      </c>
      <c r="CU9" s="186">
        <v>0</v>
      </c>
      <c r="CV9" s="186">
        <v>0</v>
      </c>
      <c r="CW9" s="186">
        <v>0</v>
      </c>
      <c r="CX9" s="186">
        <v>0</v>
      </c>
      <c r="CY9" s="186">
        <v>0</v>
      </c>
      <c r="CZ9" s="186">
        <v>0</v>
      </c>
      <c r="DA9" s="186">
        <v>0</v>
      </c>
      <c r="DB9" s="186">
        <v>0</v>
      </c>
      <c r="DC9" s="186">
        <v>0</v>
      </c>
    </row>
    <row r="10" spans="1:107">
      <c r="A10" s="187" t="s">
        <v>66</v>
      </c>
      <c r="B10" s="186">
        <v>2082860</v>
      </c>
      <c r="C10" s="186">
        <v>862320</v>
      </c>
      <c r="D10" s="186">
        <v>292760</v>
      </c>
      <c r="E10" s="186">
        <v>176280</v>
      </c>
      <c r="F10" s="186">
        <v>137560</v>
      </c>
      <c r="G10" s="186">
        <v>8280</v>
      </c>
      <c r="H10" s="186">
        <v>2940</v>
      </c>
      <c r="I10" s="186">
        <v>23640</v>
      </c>
      <c r="J10" s="186">
        <v>50220</v>
      </c>
      <c r="K10" s="186">
        <v>65400</v>
      </c>
      <c r="L10" s="186">
        <v>19740</v>
      </c>
      <c r="M10" s="186">
        <v>29180</v>
      </c>
      <c r="N10" s="186">
        <v>4620</v>
      </c>
      <c r="O10" s="186">
        <v>5640</v>
      </c>
      <c r="P10" s="186">
        <v>28920</v>
      </c>
      <c r="Q10" s="186">
        <v>25200</v>
      </c>
      <c r="R10" s="186">
        <v>25680</v>
      </c>
      <c r="S10" s="186">
        <v>64460</v>
      </c>
      <c r="T10" s="186">
        <v>62040</v>
      </c>
      <c r="U10" s="186">
        <v>116760</v>
      </c>
      <c r="V10" s="186">
        <v>420</v>
      </c>
      <c r="W10" s="186">
        <v>0</v>
      </c>
      <c r="X10" s="186">
        <v>15180</v>
      </c>
      <c r="Y10" s="186">
        <v>0</v>
      </c>
      <c r="Z10" s="186">
        <v>56140</v>
      </c>
      <c r="AA10" s="186">
        <v>0</v>
      </c>
      <c r="AB10" s="186">
        <v>44940</v>
      </c>
      <c r="AC10" s="186">
        <v>36500</v>
      </c>
      <c r="AD10" s="186">
        <v>23520</v>
      </c>
      <c r="AE10" s="186">
        <v>0</v>
      </c>
      <c r="AF10" s="186">
        <v>26380</v>
      </c>
      <c r="AG10" s="186">
        <v>83640</v>
      </c>
      <c r="AH10" s="186">
        <v>74560</v>
      </c>
      <c r="AI10" s="186">
        <v>108180</v>
      </c>
      <c r="AJ10" s="186">
        <v>80200</v>
      </c>
      <c r="AK10" s="186">
        <v>104300</v>
      </c>
      <c r="AL10" s="186">
        <v>21280</v>
      </c>
      <c r="AM10" s="186">
        <v>11980</v>
      </c>
      <c r="AN10" s="186">
        <v>600</v>
      </c>
      <c r="AO10" s="186">
        <v>21900</v>
      </c>
      <c r="AP10" s="186">
        <v>33240</v>
      </c>
      <c r="AQ10" s="186">
        <v>30520</v>
      </c>
      <c r="AR10" s="186">
        <v>30300</v>
      </c>
      <c r="AS10" s="186">
        <v>28100</v>
      </c>
      <c r="AT10" s="186">
        <v>22260</v>
      </c>
      <c r="AU10" s="186">
        <v>20160</v>
      </c>
      <c r="AV10" s="186">
        <v>33180</v>
      </c>
      <c r="AW10" s="186">
        <v>19320</v>
      </c>
      <c r="AX10" s="186">
        <v>23940</v>
      </c>
      <c r="AY10" s="186">
        <v>19740</v>
      </c>
      <c r="AZ10" s="186">
        <v>10080</v>
      </c>
      <c r="BA10" s="186">
        <v>32760</v>
      </c>
      <c r="BB10" s="186">
        <v>10080</v>
      </c>
      <c r="BC10" s="186">
        <v>15960</v>
      </c>
      <c r="BD10" s="186">
        <v>18480</v>
      </c>
      <c r="BE10" s="186">
        <v>26880</v>
      </c>
      <c r="BF10" s="186">
        <v>20580</v>
      </c>
      <c r="BG10" s="186">
        <v>21000</v>
      </c>
      <c r="BH10" s="186">
        <v>13440</v>
      </c>
      <c r="BI10" s="186">
        <v>10920</v>
      </c>
      <c r="BJ10" s="186">
        <v>10080</v>
      </c>
      <c r="BK10" s="186">
        <v>13440</v>
      </c>
      <c r="BL10" s="186">
        <v>12180</v>
      </c>
      <c r="BM10" s="186">
        <v>7140</v>
      </c>
      <c r="BN10" s="186">
        <v>13440</v>
      </c>
      <c r="BO10" s="186">
        <v>16800</v>
      </c>
      <c r="BP10" s="186">
        <v>6720</v>
      </c>
      <c r="BQ10" s="186">
        <v>6720</v>
      </c>
      <c r="BR10" s="186">
        <v>6720</v>
      </c>
      <c r="BS10" s="186">
        <v>6720</v>
      </c>
      <c r="BT10" s="186">
        <v>6720</v>
      </c>
      <c r="BU10" s="186">
        <v>6720</v>
      </c>
      <c r="BV10" s="186">
        <v>7140</v>
      </c>
      <c r="BW10" s="186">
        <v>147800</v>
      </c>
      <c r="BX10" s="186">
        <v>7140</v>
      </c>
      <c r="BY10" s="186">
        <v>6720</v>
      </c>
      <c r="BZ10" s="186">
        <v>3360</v>
      </c>
      <c r="CA10" s="186">
        <v>7140</v>
      </c>
      <c r="CB10" s="186">
        <v>6720</v>
      </c>
      <c r="CC10" s="186">
        <v>24360</v>
      </c>
      <c r="CD10" s="186">
        <v>10080</v>
      </c>
      <c r="CE10" s="186">
        <v>4200</v>
      </c>
      <c r="CF10" s="186">
        <v>1680</v>
      </c>
      <c r="CG10" s="186">
        <v>5880</v>
      </c>
      <c r="CH10" s="186">
        <v>2940</v>
      </c>
      <c r="CI10" s="186">
        <v>420</v>
      </c>
      <c r="CJ10" s="186">
        <v>3360</v>
      </c>
      <c r="CK10" s="186">
        <v>2940</v>
      </c>
      <c r="CL10" s="186">
        <v>3360</v>
      </c>
      <c r="CM10" s="186">
        <v>2940</v>
      </c>
      <c r="CN10" s="186">
        <v>2940</v>
      </c>
      <c r="CO10" s="186">
        <v>1680</v>
      </c>
      <c r="CP10" s="186">
        <v>2940</v>
      </c>
      <c r="CQ10" s="186">
        <v>2940</v>
      </c>
      <c r="CR10" s="186">
        <v>1680</v>
      </c>
      <c r="CS10" s="186">
        <v>3920</v>
      </c>
      <c r="CT10" s="186">
        <v>1680</v>
      </c>
      <c r="CU10" s="186">
        <v>2940</v>
      </c>
      <c r="CV10" s="186">
        <v>3360</v>
      </c>
      <c r="CW10" s="186">
        <v>960</v>
      </c>
      <c r="CX10" s="186">
        <v>1340</v>
      </c>
      <c r="CY10" s="186">
        <v>4620</v>
      </c>
      <c r="CZ10" s="186">
        <v>840</v>
      </c>
      <c r="DA10" s="186">
        <v>1460</v>
      </c>
      <c r="DB10" s="186">
        <v>420</v>
      </c>
      <c r="DC10" s="186">
        <v>4180</v>
      </c>
    </row>
    <row r="11" spans="1:107">
      <c r="A11" s="187" t="s">
        <v>241</v>
      </c>
      <c r="B11" s="186">
        <v>220731.59</v>
      </c>
      <c r="C11" s="186">
        <v>137469.28</v>
      </c>
      <c r="D11" s="186">
        <v>11048.42</v>
      </c>
      <c r="E11" s="186">
        <v>34654.879999999997</v>
      </c>
      <c r="F11" s="186">
        <v>0</v>
      </c>
      <c r="G11" s="186">
        <v>0</v>
      </c>
      <c r="H11" s="186">
        <v>0</v>
      </c>
      <c r="I11" s="186">
        <v>0</v>
      </c>
      <c r="J11" s="186">
        <v>19139.71</v>
      </c>
      <c r="K11" s="186">
        <v>0</v>
      </c>
      <c r="L11" s="186">
        <v>0</v>
      </c>
      <c r="M11" s="186">
        <v>5603.24</v>
      </c>
      <c r="N11" s="186">
        <v>12816.06</v>
      </c>
      <c r="O11" s="186">
        <v>0</v>
      </c>
      <c r="P11" s="186">
        <v>0</v>
      </c>
      <c r="Q11" s="186">
        <v>0</v>
      </c>
      <c r="R11" s="186">
        <v>0</v>
      </c>
      <c r="S11" s="186">
        <v>0</v>
      </c>
      <c r="T11" s="186">
        <v>0</v>
      </c>
      <c r="U11" s="186">
        <v>0</v>
      </c>
      <c r="V11" s="186">
        <v>0</v>
      </c>
      <c r="W11" s="186">
        <v>0</v>
      </c>
      <c r="X11" s="186">
        <v>34654.879999999997</v>
      </c>
      <c r="Y11" s="186">
        <v>0</v>
      </c>
      <c r="Z11" s="186">
        <v>0</v>
      </c>
      <c r="AA11" s="186">
        <v>0</v>
      </c>
      <c r="AB11" s="186">
        <v>0</v>
      </c>
      <c r="AC11" s="186">
        <v>0</v>
      </c>
      <c r="AD11" s="186">
        <v>0</v>
      </c>
      <c r="AE11" s="186">
        <v>0</v>
      </c>
      <c r="AF11" s="186">
        <v>11048.42</v>
      </c>
      <c r="AG11" s="186">
        <v>0</v>
      </c>
      <c r="AH11" s="186">
        <v>0</v>
      </c>
      <c r="AI11" s="186">
        <v>0</v>
      </c>
      <c r="AJ11" s="186">
        <v>0</v>
      </c>
      <c r="AK11" s="186">
        <v>0</v>
      </c>
      <c r="AL11" s="186">
        <v>0</v>
      </c>
      <c r="AM11" s="186">
        <v>0</v>
      </c>
      <c r="AN11" s="186">
        <v>0</v>
      </c>
      <c r="AO11" s="186">
        <v>0</v>
      </c>
      <c r="AP11" s="186">
        <v>0</v>
      </c>
      <c r="AQ11" s="186">
        <v>0</v>
      </c>
      <c r="AR11" s="186">
        <v>0</v>
      </c>
      <c r="AS11" s="186">
        <v>0</v>
      </c>
      <c r="AT11" s="186">
        <v>0</v>
      </c>
      <c r="AU11" s="186">
        <v>0</v>
      </c>
      <c r="AV11" s="186">
        <v>0</v>
      </c>
      <c r="AW11" s="186">
        <v>0</v>
      </c>
      <c r="AX11" s="186">
        <v>0</v>
      </c>
      <c r="AY11" s="186">
        <v>0</v>
      </c>
      <c r="AZ11" s="186">
        <v>0</v>
      </c>
      <c r="BA11" s="186">
        <v>0</v>
      </c>
      <c r="BB11" s="186">
        <v>0</v>
      </c>
      <c r="BC11" s="186">
        <v>0</v>
      </c>
      <c r="BD11" s="186">
        <v>0</v>
      </c>
      <c r="BE11" s="186">
        <v>0</v>
      </c>
      <c r="BF11" s="186">
        <v>0</v>
      </c>
      <c r="BG11" s="186">
        <v>0</v>
      </c>
      <c r="BH11" s="186">
        <v>0</v>
      </c>
      <c r="BI11" s="186">
        <v>0</v>
      </c>
      <c r="BJ11" s="186">
        <v>0</v>
      </c>
      <c r="BK11" s="186">
        <v>0</v>
      </c>
      <c r="BL11" s="186">
        <v>0</v>
      </c>
      <c r="BM11" s="186">
        <v>0</v>
      </c>
      <c r="BN11" s="186">
        <v>0</v>
      </c>
      <c r="BO11" s="186">
        <v>0</v>
      </c>
      <c r="BP11" s="186">
        <v>0</v>
      </c>
      <c r="BQ11" s="186">
        <v>0</v>
      </c>
      <c r="BR11" s="186">
        <v>0</v>
      </c>
      <c r="BS11" s="186">
        <v>0</v>
      </c>
      <c r="BT11" s="186">
        <v>0</v>
      </c>
      <c r="BU11" s="186">
        <v>0</v>
      </c>
      <c r="BV11" s="186">
        <v>0</v>
      </c>
      <c r="BW11" s="186">
        <v>137469.28</v>
      </c>
      <c r="BX11" s="186">
        <v>0</v>
      </c>
      <c r="BY11" s="186">
        <v>0</v>
      </c>
      <c r="BZ11" s="186">
        <v>0</v>
      </c>
      <c r="CA11" s="186">
        <v>0</v>
      </c>
      <c r="CB11" s="186">
        <v>0</v>
      </c>
      <c r="CC11" s="186">
        <v>0</v>
      </c>
      <c r="CD11" s="186">
        <v>0</v>
      </c>
      <c r="CE11" s="186">
        <v>0</v>
      </c>
      <c r="CF11" s="186">
        <v>0</v>
      </c>
      <c r="CG11" s="186">
        <v>0</v>
      </c>
      <c r="CH11" s="186">
        <v>0</v>
      </c>
      <c r="CI11" s="186">
        <v>0</v>
      </c>
      <c r="CJ11" s="186">
        <v>0</v>
      </c>
      <c r="CK11" s="186">
        <v>0</v>
      </c>
      <c r="CL11" s="186">
        <v>0</v>
      </c>
      <c r="CM11" s="186">
        <v>0</v>
      </c>
      <c r="CN11" s="186">
        <v>0</v>
      </c>
      <c r="CO11" s="186">
        <v>0</v>
      </c>
      <c r="CP11" s="186">
        <v>0</v>
      </c>
      <c r="CQ11" s="186">
        <v>0</v>
      </c>
      <c r="CR11" s="186">
        <v>0</v>
      </c>
      <c r="CS11" s="186">
        <v>0</v>
      </c>
      <c r="CT11" s="186">
        <v>0</v>
      </c>
      <c r="CU11" s="186">
        <v>0</v>
      </c>
      <c r="CV11" s="186">
        <v>0</v>
      </c>
      <c r="CW11" s="186">
        <v>0</v>
      </c>
      <c r="CX11" s="186">
        <v>0</v>
      </c>
      <c r="CY11" s="186">
        <v>0</v>
      </c>
      <c r="CZ11" s="186">
        <v>0</v>
      </c>
      <c r="DA11" s="186">
        <v>0</v>
      </c>
      <c r="DB11" s="186">
        <v>0</v>
      </c>
      <c r="DC11" s="186">
        <v>0</v>
      </c>
    </row>
    <row r="12" spans="1:107">
      <c r="A12" s="187" t="s">
        <v>68</v>
      </c>
      <c r="B12" s="186">
        <v>6830074.4800000004</v>
      </c>
      <c r="C12" s="186">
        <v>0</v>
      </c>
      <c r="D12" s="186">
        <v>0</v>
      </c>
      <c r="E12" s="186">
        <v>0</v>
      </c>
      <c r="F12" s="186">
        <v>0</v>
      </c>
      <c r="G12" s="186">
        <v>0</v>
      </c>
      <c r="H12" s="186">
        <v>6830074.4800000004</v>
      </c>
      <c r="I12" s="186">
        <v>0</v>
      </c>
      <c r="J12" s="186">
        <v>0</v>
      </c>
      <c r="K12" s="186">
        <v>0</v>
      </c>
      <c r="L12" s="186">
        <v>0</v>
      </c>
      <c r="M12" s="186">
        <v>0</v>
      </c>
      <c r="N12" s="186">
        <v>0</v>
      </c>
      <c r="O12" s="186">
        <v>0</v>
      </c>
      <c r="P12" s="186">
        <v>0</v>
      </c>
      <c r="Q12" s="186">
        <v>0</v>
      </c>
      <c r="R12" s="186">
        <v>0</v>
      </c>
      <c r="S12" s="186">
        <v>0</v>
      </c>
      <c r="T12" s="186">
        <v>0</v>
      </c>
      <c r="U12" s="186">
        <v>0</v>
      </c>
      <c r="V12" s="186">
        <v>0</v>
      </c>
      <c r="W12" s="186">
        <v>0</v>
      </c>
      <c r="X12" s="186">
        <v>0</v>
      </c>
      <c r="Y12" s="186">
        <v>0</v>
      </c>
      <c r="Z12" s="186">
        <v>0</v>
      </c>
      <c r="AA12" s="186">
        <v>0</v>
      </c>
      <c r="AB12" s="186">
        <v>0</v>
      </c>
      <c r="AC12" s="186">
        <v>0</v>
      </c>
      <c r="AD12" s="186">
        <v>0</v>
      </c>
      <c r="AE12" s="186">
        <v>0</v>
      </c>
      <c r="AF12" s="186">
        <v>0</v>
      </c>
      <c r="AG12" s="186">
        <v>0</v>
      </c>
      <c r="AH12" s="186">
        <v>0</v>
      </c>
      <c r="AI12" s="186">
        <v>0</v>
      </c>
      <c r="AJ12" s="186">
        <v>0</v>
      </c>
      <c r="AK12" s="186">
        <v>0</v>
      </c>
      <c r="AL12" s="186">
        <v>0</v>
      </c>
      <c r="AM12" s="186">
        <v>0</v>
      </c>
      <c r="AN12" s="186">
        <v>0</v>
      </c>
      <c r="AO12" s="186">
        <v>0</v>
      </c>
      <c r="AP12" s="186">
        <v>0</v>
      </c>
      <c r="AQ12" s="186">
        <v>0</v>
      </c>
      <c r="AR12" s="186">
        <v>0</v>
      </c>
      <c r="AS12" s="186">
        <v>0</v>
      </c>
      <c r="AT12" s="186">
        <v>0</v>
      </c>
      <c r="AU12" s="186">
        <v>0</v>
      </c>
      <c r="AV12" s="186">
        <v>0</v>
      </c>
      <c r="AW12" s="186">
        <v>0</v>
      </c>
      <c r="AX12" s="186">
        <v>0</v>
      </c>
      <c r="AY12" s="186">
        <v>0</v>
      </c>
      <c r="AZ12" s="186">
        <v>0</v>
      </c>
      <c r="BA12" s="186">
        <v>0</v>
      </c>
      <c r="BB12" s="186">
        <v>0</v>
      </c>
      <c r="BC12" s="186">
        <v>0</v>
      </c>
      <c r="BD12" s="186">
        <v>0</v>
      </c>
      <c r="BE12" s="186">
        <v>0</v>
      </c>
      <c r="BF12" s="186">
        <v>0</v>
      </c>
      <c r="BG12" s="186">
        <v>0</v>
      </c>
      <c r="BH12" s="186">
        <v>0</v>
      </c>
      <c r="BI12" s="186">
        <v>0</v>
      </c>
      <c r="BJ12" s="186">
        <v>0</v>
      </c>
      <c r="BK12" s="186">
        <v>0</v>
      </c>
      <c r="BL12" s="186">
        <v>0</v>
      </c>
      <c r="BM12" s="186">
        <v>0</v>
      </c>
      <c r="BN12" s="186">
        <v>0</v>
      </c>
      <c r="BO12" s="186">
        <v>0</v>
      </c>
      <c r="BP12" s="186">
        <v>0</v>
      </c>
      <c r="BQ12" s="186">
        <v>0</v>
      </c>
      <c r="BR12" s="186">
        <v>0</v>
      </c>
      <c r="BS12" s="186">
        <v>0</v>
      </c>
      <c r="BT12" s="186">
        <v>0</v>
      </c>
      <c r="BU12" s="186">
        <v>0</v>
      </c>
      <c r="BV12" s="186">
        <v>0</v>
      </c>
      <c r="BW12" s="186">
        <v>0</v>
      </c>
      <c r="BX12" s="186">
        <v>0</v>
      </c>
      <c r="BY12" s="186">
        <v>0</v>
      </c>
      <c r="BZ12" s="186">
        <v>0</v>
      </c>
      <c r="CA12" s="186">
        <v>0</v>
      </c>
      <c r="CB12" s="186">
        <v>0</v>
      </c>
      <c r="CC12" s="186">
        <v>0</v>
      </c>
      <c r="CD12" s="186">
        <v>0</v>
      </c>
      <c r="CE12" s="186">
        <v>0</v>
      </c>
      <c r="CF12" s="186">
        <v>0</v>
      </c>
      <c r="CG12" s="186">
        <v>0</v>
      </c>
      <c r="CH12" s="186">
        <v>0</v>
      </c>
      <c r="CI12" s="186">
        <v>0</v>
      </c>
      <c r="CJ12" s="186">
        <v>0</v>
      </c>
      <c r="CK12" s="186">
        <v>0</v>
      </c>
      <c r="CL12" s="186">
        <v>0</v>
      </c>
      <c r="CM12" s="186">
        <v>0</v>
      </c>
      <c r="CN12" s="186">
        <v>0</v>
      </c>
      <c r="CO12" s="186">
        <v>0</v>
      </c>
      <c r="CP12" s="186">
        <v>0</v>
      </c>
      <c r="CQ12" s="186">
        <v>0</v>
      </c>
      <c r="CR12" s="186">
        <v>0</v>
      </c>
      <c r="CS12" s="186">
        <v>0</v>
      </c>
      <c r="CT12" s="186">
        <v>0</v>
      </c>
      <c r="CU12" s="186">
        <v>0</v>
      </c>
      <c r="CV12" s="186">
        <v>0</v>
      </c>
      <c r="CW12" s="186">
        <v>0</v>
      </c>
      <c r="CX12" s="186">
        <v>0</v>
      </c>
      <c r="CY12" s="186">
        <v>0</v>
      </c>
      <c r="CZ12" s="186">
        <v>0</v>
      </c>
      <c r="DA12" s="186">
        <v>0</v>
      </c>
      <c r="DB12" s="186">
        <v>0</v>
      </c>
      <c r="DC12" s="186">
        <v>0</v>
      </c>
    </row>
    <row r="13" spans="1:107" s="191" customFormat="1">
      <c r="A13" s="188" t="s">
        <v>247</v>
      </c>
      <c r="B13" s="189">
        <v>155701263.18999994</v>
      </c>
      <c r="C13" s="189">
        <v>70643323.839999989</v>
      </c>
      <c r="D13" s="189">
        <v>18517101.950000003</v>
      </c>
      <c r="E13" s="189">
        <v>11381929.170000002</v>
      </c>
      <c r="F13" s="189">
        <v>6316545.6100000003</v>
      </c>
      <c r="G13" s="189">
        <v>9184328.1799999997</v>
      </c>
      <c r="H13" s="189">
        <v>9586249.7600000016</v>
      </c>
      <c r="I13" s="189">
        <v>1169834.1099999999</v>
      </c>
      <c r="J13" s="189">
        <v>2580767.54</v>
      </c>
      <c r="K13" s="189">
        <v>2862720.7600000002</v>
      </c>
      <c r="L13" s="189">
        <v>974144.63</v>
      </c>
      <c r="M13" s="189">
        <v>1868258.41</v>
      </c>
      <c r="N13" s="189">
        <v>280350.95</v>
      </c>
      <c r="O13" s="189">
        <v>169751.12</v>
      </c>
      <c r="P13" s="189">
        <v>1516793.52</v>
      </c>
      <c r="Q13" s="189">
        <v>1416220.97</v>
      </c>
      <c r="R13" s="189">
        <v>1511528.1099999999</v>
      </c>
      <c r="S13" s="189">
        <v>3114719.39</v>
      </c>
      <c r="T13" s="189">
        <v>2835853.7199999997</v>
      </c>
      <c r="U13" s="189">
        <v>5422602.2800000003</v>
      </c>
      <c r="V13" s="189">
        <v>44404.22</v>
      </c>
      <c r="W13" s="189">
        <v>0</v>
      </c>
      <c r="X13" s="189">
        <v>1248249.1099999999</v>
      </c>
      <c r="Y13" s="189">
        <v>38075.919999999998</v>
      </c>
      <c r="Z13" s="189">
        <v>3315097.61</v>
      </c>
      <c r="AA13" s="189">
        <v>0</v>
      </c>
      <c r="AB13" s="189">
        <v>2815100.74</v>
      </c>
      <c r="AC13" s="189">
        <v>2337247.38</v>
      </c>
      <c r="AD13" s="189">
        <v>1507436.24</v>
      </c>
      <c r="AE13" s="189">
        <v>120722.17</v>
      </c>
      <c r="AF13" s="189">
        <v>1669201.0899999999</v>
      </c>
      <c r="AG13" s="189">
        <v>5073988.87</v>
      </c>
      <c r="AH13" s="189">
        <v>6994535.9200000009</v>
      </c>
      <c r="AI13" s="189">
        <v>4779376.07</v>
      </c>
      <c r="AJ13" s="189">
        <v>4289601.5599999996</v>
      </c>
      <c r="AK13" s="189">
        <v>4366832.59</v>
      </c>
      <c r="AL13" s="189">
        <v>1475659.5799999998</v>
      </c>
      <c r="AM13" s="189">
        <v>474053.44</v>
      </c>
      <c r="AN13" s="189">
        <v>14233.390000000001</v>
      </c>
      <c r="AO13" s="189">
        <v>2252495.3400000003</v>
      </c>
      <c r="AP13" s="189">
        <v>1837671.1300000001</v>
      </c>
      <c r="AQ13" s="189">
        <v>1705881.95</v>
      </c>
      <c r="AR13" s="189">
        <v>1512378.94</v>
      </c>
      <c r="AS13" s="189">
        <v>1392677.3599999999</v>
      </c>
      <c r="AT13" s="189">
        <v>2849569.52</v>
      </c>
      <c r="AU13" s="189">
        <v>3017959.82</v>
      </c>
      <c r="AV13" s="189">
        <v>3446837.42</v>
      </c>
      <c r="AW13" s="189">
        <v>2726563.2800000003</v>
      </c>
      <c r="AX13" s="189">
        <v>2726265.7800000003</v>
      </c>
      <c r="AY13" s="189">
        <v>2698962.83</v>
      </c>
      <c r="AZ13" s="189">
        <v>1210880.3899999999</v>
      </c>
      <c r="BA13" s="189">
        <v>3141227.1900000004</v>
      </c>
      <c r="BB13" s="189">
        <v>1311558.01</v>
      </c>
      <c r="BC13" s="189">
        <v>1097548.45</v>
      </c>
      <c r="BD13" s="189">
        <v>3409617.21</v>
      </c>
      <c r="BE13" s="189">
        <v>2241216.8600000003</v>
      </c>
      <c r="BF13" s="189">
        <v>2451483.15</v>
      </c>
      <c r="BG13" s="189">
        <v>2127331.1900000004</v>
      </c>
      <c r="BH13" s="189">
        <v>1563243.58</v>
      </c>
      <c r="BI13" s="189">
        <v>1378995.7400000002</v>
      </c>
      <c r="BJ13" s="189">
        <v>1554076.1199999999</v>
      </c>
      <c r="BK13" s="189">
        <v>1444007.8400000003</v>
      </c>
      <c r="BL13" s="189">
        <v>936146.55</v>
      </c>
      <c r="BM13" s="189">
        <v>1112764.73</v>
      </c>
      <c r="BN13" s="189">
        <v>1333783.1299999999</v>
      </c>
      <c r="BO13" s="189">
        <v>1598668.56</v>
      </c>
      <c r="BP13" s="189">
        <v>557669.26</v>
      </c>
      <c r="BQ13" s="189">
        <v>685180.24</v>
      </c>
      <c r="BR13" s="189">
        <v>415461.1</v>
      </c>
      <c r="BS13" s="189">
        <v>695477.04</v>
      </c>
      <c r="BT13" s="189">
        <v>638197.62</v>
      </c>
      <c r="BU13" s="189">
        <v>1163525.1600000001</v>
      </c>
      <c r="BV13" s="189">
        <v>486684.58</v>
      </c>
      <c r="BW13" s="189">
        <v>6605307.4400000004</v>
      </c>
      <c r="BX13" s="189">
        <v>224979.8</v>
      </c>
      <c r="BY13" s="189">
        <v>429000.29000000004</v>
      </c>
      <c r="BZ13" s="189">
        <v>329921.43</v>
      </c>
      <c r="CA13" s="189">
        <v>291059.56</v>
      </c>
      <c r="CB13" s="189">
        <v>422338.04000000004</v>
      </c>
      <c r="CC13" s="189">
        <v>1029262.8</v>
      </c>
      <c r="CD13" s="189">
        <v>440812.66000000003</v>
      </c>
      <c r="CE13" s="189">
        <v>183373.16</v>
      </c>
      <c r="CF13" s="189">
        <v>41832.769999999997</v>
      </c>
      <c r="CG13" s="189">
        <v>136648.76999999999</v>
      </c>
      <c r="CH13" s="189">
        <v>84349.38</v>
      </c>
      <c r="CI13" s="189">
        <v>76325.149999999994</v>
      </c>
      <c r="CJ13" s="189">
        <v>170572.25</v>
      </c>
      <c r="CK13" s="189">
        <v>91773.09</v>
      </c>
      <c r="CL13" s="189">
        <v>91425.83</v>
      </c>
      <c r="CM13" s="189">
        <v>107920.60999999999</v>
      </c>
      <c r="CN13" s="189">
        <v>86352.65</v>
      </c>
      <c r="CO13" s="189">
        <v>39498.639999999999</v>
      </c>
      <c r="CP13" s="189">
        <v>108536.53</v>
      </c>
      <c r="CQ13" s="189">
        <v>90035.920000000013</v>
      </c>
      <c r="CR13" s="189">
        <v>43710.409999999996</v>
      </c>
      <c r="CS13" s="189">
        <v>120076.72</v>
      </c>
      <c r="CT13" s="189">
        <v>43730.76</v>
      </c>
      <c r="CU13" s="189">
        <v>96060.76</v>
      </c>
      <c r="CV13" s="189">
        <v>90619.19</v>
      </c>
      <c r="CW13" s="189">
        <v>19550.240000000002</v>
      </c>
      <c r="CX13" s="189">
        <v>37743.69</v>
      </c>
      <c r="CY13" s="189">
        <v>106356.22</v>
      </c>
      <c r="CZ13" s="189">
        <v>20380.47</v>
      </c>
      <c r="DA13" s="189">
        <v>65740.25</v>
      </c>
      <c r="DB13" s="189">
        <v>18603.52</v>
      </c>
      <c r="DC13" s="190">
        <v>177417.77000000002</v>
      </c>
    </row>
    <row r="14" spans="1:107">
      <c r="A14" s="187" t="s">
        <v>71</v>
      </c>
      <c r="B14" s="186">
        <v>41590516.409999996</v>
      </c>
      <c r="C14" s="186">
        <v>25420542.739999998</v>
      </c>
      <c r="D14" s="186">
        <v>15770047</v>
      </c>
      <c r="E14" s="186">
        <v>187268.15</v>
      </c>
      <c r="F14" s="186">
        <v>212658.52</v>
      </c>
      <c r="G14" s="186">
        <v>0</v>
      </c>
      <c r="H14" s="186">
        <v>0</v>
      </c>
      <c r="I14" s="186">
        <v>0</v>
      </c>
      <c r="J14" s="186">
        <v>0</v>
      </c>
      <c r="K14" s="186">
        <v>0</v>
      </c>
      <c r="L14" s="186">
        <v>0</v>
      </c>
      <c r="M14" s="186">
        <v>0</v>
      </c>
      <c r="N14" s="186">
        <v>0</v>
      </c>
      <c r="O14" s="186">
        <v>0</v>
      </c>
      <c r="P14" s="186">
        <v>0</v>
      </c>
      <c r="Q14" s="186">
        <v>0</v>
      </c>
      <c r="R14" s="186">
        <v>0</v>
      </c>
      <c r="S14" s="186">
        <v>0</v>
      </c>
      <c r="T14" s="186">
        <v>0</v>
      </c>
      <c r="U14" s="186">
        <v>0</v>
      </c>
      <c r="V14" s="186">
        <v>0</v>
      </c>
      <c r="W14" s="186">
        <v>0</v>
      </c>
      <c r="X14" s="186">
        <v>0</v>
      </c>
      <c r="Y14" s="186">
        <v>0</v>
      </c>
      <c r="Z14" s="186">
        <v>0</v>
      </c>
      <c r="AA14" s="186">
        <v>0</v>
      </c>
      <c r="AB14" s="186">
        <v>0</v>
      </c>
      <c r="AC14" s="186">
        <v>59807.170000000006</v>
      </c>
      <c r="AD14" s="186">
        <v>127460.98</v>
      </c>
      <c r="AE14" s="186">
        <v>0</v>
      </c>
      <c r="AF14" s="186">
        <v>0</v>
      </c>
      <c r="AG14" s="186">
        <v>13162160</v>
      </c>
      <c r="AH14" s="186">
        <v>2016200</v>
      </c>
      <c r="AI14" s="186">
        <v>591687</v>
      </c>
      <c r="AJ14" s="186">
        <v>0</v>
      </c>
      <c r="AK14" s="186">
        <v>212658.52</v>
      </c>
      <c r="AL14" s="186">
        <v>0</v>
      </c>
      <c r="AM14" s="186">
        <v>0</v>
      </c>
      <c r="AN14" s="186">
        <v>0</v>
      </c>
      <c r="AO14" s="186">
        <v>159429.97999999998</v>
      </c>
      <c r="AP14" s="186">
        <v>0</v>
      </c>
      <c r="AQ14" s="186">
        <v>0</v>
      </c>
      <c r="AR14" s="186">
        <v>0</v>
      </c>
      <c r="AS14" s="186">
        <v>0</v>
      </c>
      <c r="AT14" s="186">
        <v>1023617.02</v>
      </c>
      <c r="AU14" s="186">
        <v>1897038.74</v>
      </c>
      <c r="AV14" s="186">
        <v>1860842.01</v>
      </c>
      <c r="AW14" s="186">
        <v>2722682.34</v>
      </c>
      <c r="AX14" s="186">
        <v>1202077.1400000001</v>
      </c>
      <c r="AY14" s="186">
        <v>1369460</v>
      </c>
      <c r="AZ14" s="186">
        <v>914286.29</v>
      </c>
      <c r="BA14" s="186">
        <v>2200677.66</v>
      </c>
      <c r="BB14" s="186">
        <v>285591.45</v>
      </c>
      <c r="BC14" s="186">
        <v>162578.34000000003</v>
      </c>
      <c r="BD14" s="186">
        <v>1133044.42</v>
      </c>
      <c r="BE14" s="186">
        <v>1232691.98</v>
      </c>
      <c r="BF14" s="186">
        <v>630481.37</v>
      </c>
      <c r="BG14" s="186">
        <v>788068.94</v>
      </c>
      <c r="BH14" s="186">
        <v>395859.23</v>
      </c>
      <c r="BI14" s="186">
        <v>545613.66</v>
      </c>
      <c r="BJ14" s="186">
        <v>857163.8600000001</v>
      </c>
      <c r="BK14" s="186">
        <v>464403.94</v>
      </c>
      <c r="BL14" s="186">
        <v>233884.11000000002</v>
      </c>
      <c r="BM14" s="186">
        <v>306892.49</v>
      </c>
      <c r="BN14" s="186">
        <v>551824.17000000004</v>
      </c>
      <c r="BO14" s="186">
        <v>634949.15</v>
      </c>
      <c r="BP14" s="186">
        <v>135163.24</v>
      </c>
      <c r="BQ14" s="186">
        <v>140683.22</v>
      </c>
      <c r="BR14" s="186">
        <v>61041.31</v>
      </c>
      <c r="BS14" s="186">
        <v>337815.92</v>
      </c>
      <c r="BT14" s="186">
        <v>199883.24</v>
      </c>
      <c r="BU14" s="186">
        <v>446409.61</v>
      </c>
      <c r="BV14" s="186">
        <v>377230.87</v>
      </c>
      <c r="BW14" s="186">
        <v>996578.91999999993</v>
      </c>
      <c r="BX14" s="186">
        <v>49402.600000000006</v>
      </c>
      <c r="BY14" s="186">
        <v>191203.07</v>
      </c>
      <c r="BZ14" s="186">
        <v>161364.47999999998</v>
      </c>
      <c r="CA14" s="186">
        <v>204886.65999999997</v>
      </c>
      <c r="CB14" s="186">
        <v>78104.540000000008</v>
      </c>
      <c r="CC14" s="186">
        <v>38168.630000000005</v>
      </c>
      <c r="CD14" s="186">
        <v>123552.40000000001</v>
      </c>
      <c r="CE14" s="186">
        <v>32117.97</v>
      </c>
      <c r="CF14" s="186">
        <v>4922.47</v>
      </c>
      <c r="CG14" s="186">
        <v>57290.03</v>
      </c>
      <c r="CH14" s="186">
        <v>9538.24</v>
      </c>
      <c r="CI14" s="186">
        <v>344.57</v>
      </c>
      <c r="CJ14" s="186">
        <v>0</v>
      </c>
      <c r="CK14" s="186">
        <v>23874.48</v>
      </c>
      <c r="CL14" s="186">
        <v>16741.440000000002</v>
      </c>
      <c r="CM14" s="186">
        <v>42442.479999999996</v>
      </c>
      <c r="CN14" s="186">
        <v>5493.01</v>
      </c>
      <c r="CO14" s="186">
        <v>2551.58</v>
      </c>
      <c r="CP14" s="186">
        <v>55620.26</v>
      </c>
      <c r="CQ14" s="186">
        <v>11052.66</v>
      </c>
      <c r="CR14" s="186">
        <v>2693.03</v>
      </c>
      <c r="CS14" s="186">
        <v>2307.87</v>
      </c>
      <c r="CT14" s="186">
        <v>8449.35</v>
      </c>
      <c r="CU14" s="186">
        <v>10312.570000000002</v>
      </c>
      <c r="CV14" s="186">
        <v>10805.83</v>
      </c>
      <c r="CW14" s="186">
        <v>0</v>
      </c>
      <c r="CX14" s="186">
        <v>0</v>
      </c>
      <c r="CY14" s="186">
        <v>7775.93</v>
      </c>
      <c r="CZ14" s="186">
        <v>261.39999999999998</v>
      </c>
      <c r="DA14" s="186">
        <v>0</v>
      </c>
      <c r="DB14" s="186">
        <v>1300.57</v>
      </c>
      <c r="DC14" s="186">
        <v>0</v>
      </c>
    </row>
    <row r="15" spans="1:107">
      <c r="A15" s="187" t="s">
        <v>242</v>
      </c>
      <c r="B15" s="186">
        <v>91608538.050000012</v>
      </c>
      <c r="C15" s="186">
        <v>43374063.270000003</v>
      </c>
      <c r="D15" s="186">
        <v>48234474.780000001</v>
      </c>
      <c r="E15" s="186">
        <v>0</v>
      </c>
      <c r="F15" s="186">
        <v>0</v>
      </c>
      <c r="G15" s="186">
        <v>0</v>
      </c>
      <c r="H15" s="186">
        <v>0</v>
      </c>
      <c r="I15" s="186">
        <v>0</v>
      </c>
      <c r="J15" s="186">
        <v>0</v>
      </c>
      <c r="K15" s="186">
        <v>0</v>
      </c>
      <c r="L15" s="186">
        <v>0</v>
      </c>
      <c r="M15" s="186">
        <v>0</v>
      </c>
      <c r="N15" s="186">
        <v>0</v>
      </c>
      <c r="O15" s="186">
        <v>0</v>
      </c>
      <c r="P15" s="186">
        <v>0</v>
      </c>
      <c r="Q15" s="186">
        <v>0</v>
      </c>
      <c r="R15" s="186">
        <v>0</v>
      </c>
      <c r="S15" s="186">
        <v>0</v>
      </c>
      <c r="T15" s="186">
        <v>0</v>
      </c>
      <c r="U15" s="186">
        <v>0</v>
      </c>
      <c r="V15" s="186">
        <v>0</v>
      </c>
      <c r="W15" s="186">
        <v>0</v>
      </c>
      <c r="X15" s="186">
        <v>0</v>
      </c>
      <c r="Y15" s="186">
        <v>0</v>
      </c>
      <c r="Z15" s="186">
        <v>0</v>
      </c>
      <c r="AA15" s="186">
        <v>0</v>
      </c>
      <c r="AB15" s="186">
        <v>0</v>
      </c>
      <c r="AC15" s="186">
        <v>0</v>
      </c>
      <c r="AD15" s="186">
        <v>0</v>
      </c>
      <c r="AE15" s="186">
        <v>0</v>
      </c>
      <c r="AF15" s="186">
        <v>0</v>
      </c>
      <c r="AG15" s="186">
        <v>42071989.020000003</v>
      </c>
      <c r="AH15" s="186">
        <v>5242500</v>
      </c>
      <c r="AI15" s="186">
        <v>919985.76</v>
      </c>
      <c r="AJ15" s="186">
        <v>0</v>
      </c>
      <c r="AK15" s="186">
        <v>0</v>
      </c>
      <c r="AL15" s="186">
        <v>0</v>
      </c>
      <c r="AM15" s="186">
        <v>0</v>
      </c>
      <c r="AN15" s="186">
        <v>0</v>
      </c>
      <c r="AO15" s="186">
        <v>42503009.479999997</v>
      </c>
      <c r="AP15" s="186">
        <v>0</v>
      </c>
      <c r="AQ15" s="186">
        <v>0</v>
      </c>
      <c r="AR15" s="186">
        <v>0</v>
      </c>
      <c r="AS15" s="186">
        <v>0</v>
      </c>
      <c r="AT15" s="186">
        <v>0</v>
      </c>
      <c r="AU15" s="186">
        <v>0</v>
      </c>
      <c r="AV15" s="186">
        <v>0</v>
      </c>
      <c r="AW15" s="186">
        <v>290000</v>
      </c>
      <c r="AX15" s="186">
        <v>0</v>
      </c>
      <c r="AY15" s="186">
        <v>0</v>
      </c>
      <c r="AZ15" s="186">
        <v>0</v>
      </c>
      <c r="BA15" s="186">
        <v>0</v>
      </c>
      <c r="BB15" s="186">
        <v>0</v>
      </c>
      <c r="BC15" s="186">
        <v>0</v>
      </c>
      <c r="BD15" s="186">
        <v>0</v>
      </c>
      <c r="BE15" s="186">
        <v>0</v>
      </c>
      <c r="BF15" s="186">
        <v>0</v>
      </c>
      <c r="BG15" s="186">
        <v>51726.7</v>
      </c>
      <c r="BH15" s="186">
        <v>0</v>
      </c>
      <c r="BI15" s="186">
        <v>0</v>
      </c>
      <c r="BJ15" s="186">
        <v>0</v>
      </c>
      <c r="BK15" s="186">
        <v>0</v>
      </c>
      <c r="BL15" s="186">
        <v>0</v>
      </c>
      <c r="BM15" s="186">
        <v>0</v>
      </c>
      <c r="BN15" s="186">
        <v>0</v>
      </c>
      <c r="BO15" s="186">
        <v>0</v>
      </c>
      <c r="BP15" s="186">
        <v>0</v>
      </c>
      <c r="BQ15" s="186">
        <v>0</v>
      </c>
      <c r="BR15" s="186">
        <v>0</v>
      </c>
      <c r="BS15" s="186">
        <v>0</v>
      </c>
      <c r="BT15" s="186">
        <v>0</v>
      </c>
      <c r="BU15" s="186">
        <v>0</v>
      </c>
      <c r="BV15" s="186">
        <v>0</v>
      </c>
      <c r="BW15" s="186">
        <v>416456.31</v>
      </c>
      <c r="BX15" s="186">
        <v>0</v>
      </c>
      <c r="BY15" s="186">
        <v>0</v>
      </c>
      <c r="BZ15" s="186">
        <v>0</v>
      </c>
      <c r="CA15" s="186">
        <v>0</v>
      </c>
      <c r="CB15" s="186">
        <v>0</v>
      </c>
      <c r="CC15" s="186">
        <v>0</v>
      </c>
      <c r="CD15" s="186">
        <v>0</v>
      </c>
      <c r="CE15" s="186">
        <v>0</v>
      </c>
      <c r="CF15" s="186">
        <v>0</v>
      </c>
      <c r="CG15" s="186">
        <v>0</v>
      </c>
      <c r="CH15" s="186">
        <v>0</v>
      </c>
      <c r="CI15" s="186">
        <v>126</v>
      </c>
      <c r="CJ15" s="186">
        <v>0</v>
      </c>
      <c r="CK15" s="186">
        <v>0</v>
      </c>
      <c r="CL15" s="186">
        <v>0</v>
      </c>
      <c r="CM15" s="186">
        <v>0</v>
      </c>
      <c r="CN15" s="186">
        <v>0</v>
      </c>
      <c r="CO15" s="186">
        <v>0</v>
      </c>
      <c r="CP15" s="186">
        <v>0</v>
      </c>
      <c r="CQ15" s="186">
        <v>0</v>
      </c>
      <c r="CR15" s="186">
        <v>0</v>
      </c>
      <c r="CS15" s="186">
        <v>112744.78</v>
      </c>
      <c r="CT15" s="186">
        <v>0</v>
      </c>
      <c r="CU15" s="186">
        <v>0</v>
      </c>
      <c r="CV15" s="186">
        <v>0</v>
      </c>
      <c r="CW15" s="186">
        <v>0</v>
      </c>
      <c r="CX15" s="186">
        <v>0</v>
      </c>
      <c r="CY15" s="186">
        <v>0</v>
      </c>
      <c r="CZ15" s="186">
        <v>0</v>
      </c>
      <c r="DA15" s="186">
        <v>0</v>
      </c>
      <c r="DB15" s="186">
        <v>0</v>
      </c>
      <c r="DC15" s="186">
        <v>0</v>
      </c>
    </row>
    <row r="16" spans="1:107">
      <c r="A16" s="187" t="s">
        <v>73</v>
      </c>
      <c r="B16" s="186">
        <v>12200299.020000001</v>
      </c>
      <c r="C16" s="186">
        <v>10437396.17</v>
      </c>
      <c r="D16" s="186">
        <v>4912116.3999999994</v>
      </c>
      <c r="E16" s="186">
        <v>835648.64</v>
      </c>
      <c r="F16" s="186">
        <v>16.189999999999998</v>
      </c>
      <c r="G16" s="186">
        <v>0</v>
      </c>
      <c r="H16" s="186">
        <v>-2361807.75</v>
      </c>
      <c r="I16" s="186">
        <v>0</v>
      </c>
      <c r="J16" s="186">
        <v>0</v>
      </c>
      <c r="K16" s="186">
        <v>0</v>
      </c>
      <c r="L16" s="186">
        <v>0</v>
      </c>
      <c r="M16" s="186">
        <v>0</v>
      </c>
      <c r="N16" s="186">
        <v>0</v>
      </c>
      <c r="O16" s="186">
        <v>0</v>
      </c>
      <c r="P16" s="186">
        <v>0</v>
      </c>
      <c r="Q16" s="186">
        <v>0</v>
      </c>
      <c r="R16" s="186">
        <v>0</v>
      </c>
      <c r="S16" s="186">
        <v>0</v>
      </c>
      <c r="T16" s="186">
        <v>0</v>
      </c>
      <c r="U16" s="186">
        <v>0</v>
      </c>
      <c r="V16" s="186">
        <v>0</v>
      </c>
      <c r="W16" s="186">
        <v>19327.96</v>
      </c>
      <c r="X16" s="186">
        <v>23.44</v>
      </c>
      <c r="Y16" s="186">
        <v>0</v>
      </c>
      <c r="Z16" s="186">
        <v>2004873.47</v>
      </c>
      <c r="AA16" s="186">
        <v>0</v>
      </c>
      <c r="AB16" s="186">
        <v>-1187512.92</v>
      </c>
      <c r="AC16" s="186">
        <v>-55860.19</v>
      </c>
      <c r="AD16" s="186">
        <v>74124.84</v>
      </c>
      <c r="AE16" s="186">
        <v>0</v>
      </c>
      <c r="AF16" s="186">
        <v>0</v>
      </c>
      <c r="AG16" s="186">
        <v>4049933.4299999997</v>
      </c>
      <c r="AH16" s="186">
        <v>545254.75</v>
      </c>
      <c r="AI16" s="186">
        <v>316928.21999999997</v>
      </c>
      <c r="AJ16" s="186">
        <v>-1642398.5899999999</v>
      </c>
      <c r="AK16" s="186">
        <v>-2.83</v>
      </c>
      <c r="AL16" s="186">
        <v>19.02</v>
      </c>
      <c r="AM16" s="186">
        <v>0</v>
      </c>
      <c r="AN16" s="186">
        <v>0</v>
      </c>
      <c r="AO16" s="186">
        <v>18148.190000000002</v>
      </c>
      <c r="AP16" s="186">
        <v>21680.42</v>
      </c>
      <c r="AQ16" s="186">
        <v>0</v>
      </c>
      <c r="AR16" s="186">
        <v>2461188.6</v>
      </c>
      <c r="AS16" s="186">
        <v>0</v>
      </c>
      <c r="AT16" s="186">
        <v>348060.31</v>
      </c>
      <c r="AU16" s="186">
        <v>488440.32000000001</v>
      </c>
      <c r="AV16" s="186">
        <v>435983.74</v>
      </c>
      <c r="AW16" s="186">
        <v>341981.93</v>
      </c>
      <c r="AX16" s="186">
        <v>418902.29</v>
      </c>
      <c r="AY16" s="186">
        <v>411953.5</v>
      </c>
      <c r="AZ16" s="186">
        <v>128476.32</v>
      </c>
      <c r="BA16" s="186">
        <v>455131.51</v>
      </c>
      <c r="BB16" s="186">
        <v>172919.87</v>
      </c>
      <c r="BC16" s="186">
        <v>152036.66</v>
      </c>
      <c r="BD16" s="186">
        <v>339799.19999999995</v>
      </c>
      <c r="BE16" s="186">
        <v>1272033.28</v>
      </c>
      <c r="BF16" s="186">
        <v>199806.79</v>
      </c>
      <c r="BG16" s="186">
        <v>337120.57</v>
      </c>
      <c r="BH16" s="186">
        <v>112988.45</v>
      </c>
      <c r="BI16" s="186">
        <v>133079.96</v>
      </c>
      <c r="BJ16" s="186">
        <v>140286.78</v>
      </c>
      <c r="BK16" s="186">
        <v>149073.48000000001</v>
      </c>
      <c r="BL16" s="186">
        <v>121060.81</v>
      </c>
      <c r="BM16" s="186">
        <v>60304.89</v>
      </c>
      <c r="BN16" s="186">
        <v>93364.140000000014</v>
      </c>
      <c r="BO16" s="186">
        <v>146872.41</v>
      </c>
      <c r="BP16" s="186">
        <v>31895.65</v>
      </c>
      <c r="BQ16" s="186">
        <v>51917.4</v>
      </c>
      <c r="BR16" s="186">
        <v>28960.280000000002</v>
      </c>
      <c r="BS16" s="186">
        <v>52341.21</v>
      </c>
      <c r="BT16" s="186">
        <v>22042.82</v>
      </c>
      <c r="BU16" s="186">
        <v>54798.35</v>
      </c>
      <c r="BV16" s="186">
        <v>31962.35</v>
      </c>
      <c r="BW16" s="186">
        <v>29464.129999999997</v>
      </c>
      <c r="BX16" s="186">
        <v>23065.73</v>
      </c>
      <c r="BY16" s="186">
        <v>36855.75</v>
      </c>
      <c r="BZ16" s="186">
        <v>12417.43</v>
      </c>
      <c r="CA16" s="186">
        <v>15090.66</v>
      </c>
      <c r="CB16" s="186">
        <v>35946.53</v>
      </c>
      <c r="CC16" s="186">
        <v>26688.9</v>
      </c>
      <c r="CD16" s="186">
        <v>991574.91999999993</v>
      </c>
      <c r="CE16" s="186">
        <v>11039.86</v>
      </c>
      <c r="CF16" s="186">
        <v>4.99</v>
      </c>
      <c r="CG16" s="186">
        <v>8634.6</v>
      </c>
      <c r="CH16" s="186">
        <v>-2242.88</v>
      </c>
      <c r="CI16" s="186">
        <v>30.349999999999998</v>
      </c>
      <c r="CJ16" s="186">
        <v>3227.17</v>
      </c>
      <c r="CK16" s="186">
        <v>169.85</v>
      </c>
      <c r="CL16" s="186">
        <v>33.15</v>
      </c>
      <c r="CM16" s="186">
        <v>321.62</v>
      </c>
      <c r="CN16" s="186">
        <v>-237.96</v>
      </c>
      <c r="CO16" s="186">
        <v>10.31</v>
      </c>
      <c r="CP16" s="186">
        <v>428.34000000000003</v>
      </c>
      <c r="CQ16" s="186">
        <v>2151.3000000000002</v>
      </c>
      <c r="CR16" s="186">
        <v>31.69</v>
      </c>
      <c r="CS16" s="186">
        <v>5501.1</v>
      </c>
      <c r="CT16" s="186">
        <v>174.25</v>
      </c>
      <c r="CU16" s="186">
        <v>433.67999999999995</v>
      </c>
      <c r="CV16" s="186">
        <v>3.78</v>
      </c>
      <c r="CW16" s="186">
        <v>4.32</v>
      </c>
      <c r="CX16" s="186">
        <v>78.349999999999994</v>
      </c>
      <c r="CY16" s="186">
        <v>593.95000000000005</v>
      </c>
      <c r="CZ16" s="186">
        <v>0</v>
      </c>
      <c r="DA16" s="186">
        <v>7.0000000000000007E-2</v>
      </c>
      <c r="DB16" s="186">
        <v>937.30000000000007</v>
      </c>
      <c r="DC16" s="186">
        <v>350.45</v>
      </c>
    </row>
    <row r="17" spans="1:107">
      <c r="A17" s="187" t="s">
        <v>96</v>
      </c>
      <c r="B17" s="186">
        <v>506968.04</v>
      </c>
      <c r="C17" s="186">
        <v>286885.32999999996</v>
      </c>
      <c r="D17" s="186">
        <v>0</v>
      </c>
      <c r="E17" s="186">
        <v>0</v>
      </c>
      <c r="F17" s="186">
        <v>1269.21</v>
      </c>
      <c r="G17" s="186">
        <v>0</v>
      </c>
      <c r="H17" s="186">
        <v>218813.5</v>
      </c>
      <c r="I17" s="186">
        <v>0</v>
      </c>
      <c r="J17" s="186">
        <v>0</v>
      </c>
      <c r="K17" s="186">
        <v>0</v>
      </c>
      <c r="L17" s="186">
        <v>0</v>
      </c>
      <c r="M17" s="186">
        <v>0</v>
      </c>
      <c r="N17" s="186">
        <v>0</v>
      </c>
      <c r="O17" s="186">
        <v>0</v>
      </c>
      <c r="P17" s="186">
        <v>0</v>
      </c>
      <c r="Q17" s="186">
        <v>0</v>
      </c>
      <c r="R17" s="186">
        <v>0</v>
      </c>
      <c r="S17" s="186">
        <v>0</v>
      </c>
      <c r="T17" s="186">
        <v>0</v>
      </c>
      <c r="U17" s="186">
        <v>0</v>
      </c>
      <c r="V17" s="186">
        <v>0</v>
      </c>
      <c r="W17" s="186">
        <v>0</v>
      </c>
      <c r="X17" s="186">
        <v>0</v>
      </c>
      <c r="Y17" s="186">
        <v>0</v>
      </c>
      <c r="Z17" s="186">
        <v>0</v>
      </c>
      <c r="AA17" s="186">
        <v>0</v>
      </c>
      <c r="AB17" s="186">
        <v>0</v>
      </c>
      <c r="AC17" s="186">
        <v>0</v>
      </c>
      <c r="AD17" s="186">
        <v>0</v>
      </c>
      <c r="AE17" s="186">
        <v>0</v>
      </c>
      <c r="AF17" s="186">
        <v>0</v>
      </c>
      <c r="AG17" s="186">
        <v>0</v>
      </c>
      <c r="AH17" s="186">
        <v>0</v>
      </c>
      <c r="AI17" s="186">
        <v>0</v>
      </c>
      <c r="AJ17" s="186">
        <v>0</v>
      </c>
      <c r="AK17" s="186">
        <v>0</v>
      </c>
      <c r="AL17" s="186">
        <v>1269.21</v>
      </c>
      <c r="AM17" s="186">
        <v>0</v>
      </c>
      <c r="AN17" s="186">
        <v>0</v>
      </c>
      <c r="AO17" s="186">
        <v>0</v>
      </c>
      <c r="AP17" s="186">
        <v>0</v>
      </c>
      <c r="AQ17" s="186">
        <v>0</v>
      </c>
      <c r="AR17" s="186">
        <v>0</v>
      </c>
      <c r="AS17" s="186">
        <v>0</v>
      </c>
      <c r="AT17" s="186">
        <v>0</v>
      </c>
      <c r="AU17" s="186">
        <v>0</v>
      </c>
      <c r="AV17" s="186">
        <v>0</v>
      </c>
      <c r="AW17" s="186">
        <v>0</v>
      </c>
      <c r="AX17" s="186">
        <v>47072.57</v>
      </c>
      <c r="AY17" s="186">
        <v>24881.29</v>
      </c>
      <c r="AZ17" s="186">
        <v>338.33</v>
      </c>
      <c r="BA17" s="186">
        <v>0</v>
      </c>
      <c r="BB17" s="186">
        <v>0</v>
      </c>
      <c r="BC17" s="186">
        <v>0</v>
      </c>
      <c r="BD17" s="186">
        <v>19491.760000000002</v>
      </c>
      <c r="BE17" s="186">
        <v>82085.53</v>
      </c>
      <c r="BF17" s="186">
        <v>0</v>
      </c>
      <c r="BG17" s="186">
        <v>0</v>
      </c>
      <c r="BH17" s="186">
        <v>4278.38</v>
      </c>
      <c r="BI17" s="186">
        <v>6547.07</v>
      </c>
      <c r="BJ17" s="186">
        <v>4752.2300000000005</v>
      </c>
      <c r="BK17" s="186">
        <v>2000</v>
      </c>
      <c r="BL17" s="186">
        <v>30700.02</v>
      </c>
      <c r="BM17" s="186">
        <v>2757.2799999999997</v>
      </c>
      <c r="BN17" s="186">
        <v>195.21</v>
      </c>
      <c r="BO17" s="186">
        <v>22878.560000000001</v>
      </c>
      <c r="BP17" s="186">
        <v>0</v>
      </c>
      <c r="BQ17" s="186">
        <v>7987.12</v>
      </c>
      <c r="BR17" s="186">
        <v>11475.68</v>
      </c>
      <c r="BS17" s="186">
        <v>8037.35</v>
      </c>
      <c r="BT17" s="186">
        <v>2299.67</v>
      </c>
      <c r="BU17" s="186">
        <v>0</v>
      </c>
      <c r="BV17" s="186">
        <v>2649.3700000000003</v>
      </c>
      <c r="BW17" s="186">
        <v>4458.7299999999996</v>
      </c>
      <c r="BX17" s="186">
        <v>0</v>
      </c>
      <c r="BY17" s="186">
        <v>0</v>
      </c>
      <c r="BZ17" s="186">
        <v>0</v>
      </c>
      <c r="CA17" s="186">
        <v>20</v>
      </c>
      <c r="CB17" s="186">
        <v>0</v>
      </c>
      <c r="CC17" s="186">
        <v>707.18</v>
      </c>
      <c r="CD17" s="186">
        <v>0</v>
      </c>
      <c r="CE17" s="186">
        <v>0</v>
      </c>
      <c r="CF17" s="186">
        <v>489</v>
      </c>
      <c r="CG17" s="186">
        <v>0</v>
      </c>
      <c r="CH17" s="186">
        <v>0</v>
      </c>
      <c r="CI17" s="186">
        <v>0</v>
      </c>
      <c r="CJ17" s="186">
        <v>0</v>
      </c>
      <c r="CK17" s="186">
        <v>0</v>
      </c>
      <c r="CL17" s="186">
        <v>0</v>
      </c>
      <c r="CM17" s="186">
        <v>0</v>
      </c>
      <c r="CN17" s="186">
        <v>0</v>
      </c>
      <c r="CO17" s="186">
        <v>0</v>
      </c>
      <c r="CP17" s="186">
        <v>0</v>
      </c>
      <c r="CQ17" s="186">
        <v>0</v>
      </c>
      <c r="CR17" s="186">
        <v>0</v>
      </c>
      <c r="CS17" s="186">
        <v>31.77</v>
      </c>
      <c r="CT17" s="186">
        <v>0</v>
      </c>
      <c r="CU17" s="186">
        <v>0</v>
      </c>
      <c r="CV17" s="186">
        <v>0</v>
      </c>
      <c r="CW17" s="186">
        <v>0</v>
      </c>
      <c r="CX17" s="186">
        <v>0</v>
      </c>
      <c r="CY17" s="186">
        <v>375</v>
      </c>
      <c r="CZ17" s="186">
        <v>0</v>
      </c>
      <c r="DA17" s="186">
        <v>376.23</v>
      </c>
      <c r="DB17" s="186">
        <v>0</v>
      </c>
      <c r="DC17" s="186">
        <v>0</v>
      </c>
    </row>
    <row r="18" spans="1:107">
      <c r="A18" s="187" t="s">
        <v>74</v>
      </c>
      <c r="B18" s="186">
        <v>3071560.87</v>
      </c>
      <c r="C18" s="186">
        <v>20000</v>
      </c>
      <c r="D18" s="186">
        <v>0</v>
      </c>
      <c r="E18" s="186">
        <v>119603.77000000002</v>
      </c>
      <c r="F18" s="186">
        <v>0</v>
      </c>
      <c r="G18" s="186">
        <v>0</v>
      </c>
      <c r="H18" s="186">
        <v>2931957.1</v>
      </c>
      <c r="I18" s="186">
        <v>0</v>
      </c>
      <c r="J18" s="186">
        <v>0</v>
      </c>
      <c r="K18" s="186">
        <v>0</v>
      </c>
      <c r="L18" s="186">
        <v>0</v>
      </c>
      <c r="M18" s="186">
        <v>0</v>
      </c>
      <c r="N18" s="186">
        <v>0</v>
      </c>
      <c r="O18" s="186">
        <v>0</v>
      </c>
      <c r="P18" s="186">
        <v>0</v>
      </c>
      <c r="Q18" s="186">
        <v>0</v>
      </c>
      <c r="R18" s="186">
        <v>0</v>
      </c>
      <c r="S18" s="186">
        <v>0</v>
      </c>
      <c r="T18" s="186">
        <v>0</v>
      </c>
      <c r="U18" s="186">
        <v>0</v>
      </c>
      <c r="V18" s="186">
        <v>0</v>
      </c>
      <c r="W18" s="186">
        <v>0</v>
      </c>
      <c r="X18" s="186">
        <v>8000</v>
      </c>
      <c r="Y18" s="186">
        <v>0</v>
      </c>
      <c r="Z18" s="186">
        <v>111603.77000000002</v>
      </c>
      <c r="AA18" s="186">
        <v>0</v>
      </c>
      <c r="AB18" s="186">
        <v>0</v>
      </c>
      <c r="AC18" s="186">
        <v>0</v>
      </c>
      <c r="AD18" s="186">
        <v>0</v>
      </c>
      <c r="AE18" s="186">
        <v>0</v>
      </c>
      <c r="AF18" s="186">
        <v>0</v>
      </c>
      <c r="AG18" s="186">
        <v>0</v>
      </c>
      <c r="AH18" s="186">
        <v>0</v>
      </c>
      <c r="AI18" s="186">
        <v>0</v>
      </c>
      <c r="AJ18" s="186">
        <v>0</v>
      </c>
      <c r="AK18" s="186">
        <v>0</v>
      </c>
      <c r="AL18" s="186">
        <v>0</v>
      </c>
      <c r="AM18" s="186">
        <v>0</v>
      </c>
      <c r="AN18" s="186">
        <v>0</v>
      </c>
      <c r="AO18" s="186">
        <v>0</v>
      </c>
      <c r="AP18" s="186">
        <v>0</v>
      </c>
      <c r="AQ18" s="186">
        <v>0</v>
      </c>
      <c r="AR18" s="186">
        <v>0</v>
      </c>
      <c r="AS18" s="186">
        <v>0</v>
      </c>
      <c r="AT18" s="186">
        <v>0</v>
      </c>
      <c r="AU18" s="186">
        <v>0</v>
      </c>
      <c r="AV18" s="186">
        <v>0</v>
      </c>
      <c r="AW18" s="186">
        <v>0</v>
      </c>
      <c r="AX18" s="186">
        <v>0</v>
      </c>
      <c r="AY18" s="186">
        <v>0</v>
      </c>
      <c r="AZ18" s="186">
        <v>0</v>
      </c>
      <c r="BA18" s="186">
        <v>0</v>
      </c>
      <c r="BB18" s="186">
        <v>0</v>
      </c>
      <c r="BC18" s="186">
        <v>0</v>
      </c>
      <c r="BD18" s="186">
        <v>0</v>
      </c>
      <c r="BE18" s="186">
        <v>0</v>
      </c>
      <c r="BF18" s="186">
        <v>0</v>
      </c>
      <c r="BG18" s="186">
        <v>0</v>
      </c>
      <c r="BH18" s="186">
        <v>0</v>
      </c>
      <c r="BI18" s="186">
        <v>0</v>
      </c>
      <c r="BJ18" s="186">
        <v>0</v>
      </c>
      <c r="BK18" s="186">
        <v>0</v>
      </c>
      <c r="BL18" s="186">
        <v>0</v>
      </c>
      <c r="BM18" s="186">
        <v>0</v>
      </c>
      <c r="BN18" s="186">
        <v>0</v>
      </c>
      <c r="BO18" s="186">
        <v>0</v>
      </c>
      <c r="BP18" s="186">
        <v>0</v>
      </c>
      <c r="BQ18" s="186">
        <v>0</v>
      </c>
      <c r="BR18" s="186">
        <v>0</v>
      </c>
      <c r="BS18" s="186">
        <v>0</v>
      </c>
      <c r="BT18" s="186">
        <v>0</v>
      </c>
      <c r="BU18" s="186">
        <v>0</v>
      </c>
      <c r="BV18" s="186">
        <v>0</v>
      </c>
      <c r="BW18" s="186">
        <v>0</v>
      </c>
      <c r="BX18" s="186">
        <v>0</v>
      </c>
      <c r="BY18" s="186">
        <v>0</v>
      </c>
      <c r="BZ18" s="186">
        <v>0</v>
      </c>
      <c r="CA18" s="186">
        <v>0</v>
      </c>
      <c r="CB18" s="186">
        <v>0</v>
      </c>
      <c r="CC18" s="186">
        <v>0</v>
      </c>
      <c r="CD18" s="186">
        <v>0</v>
      </c>
      <c r="CE18" s="186">
        <v>0</v>
      </c>
      <c r="CF18" s="186">
        <v>0</v>
      </c>
      <c r="CG18" s="186">
        <v>0</v>
      </c>
      <c r="CH18" s="186">
        <v>0</v>
      </c>
      <c r="CI18" s="186">
        <v>0</v>
      </c>
      <c r="CJ18" s="186">
        <v>0</v>
      </c>
      <c r="CK18" s="186">
        <v>0</v>
      </c>
      <c r="CL18" s="186">
        <v>0</v>
      </c>
      <c r="CM18" s="186">
        <v>0</v>
      </c>
      <c r="CN18" s="186">
        <v>0</v>
      </c>
      <c r="CO18" s="186">
        <v>0</v>
      </c>
      <c r="CP18" s="186">
        <v>0</v>
      </c>
      <c r="CQ18" s="186">
        <v>0</v>
      </c>
      <c r="CR18" s="186">
        <v>0</v>
      </c>
      <c r="CS18" s="186">
        <v>0</v>
      </c>
      <c r="CT18" s="186">
        <v>0</v>
      </c>
      <c r="CU18" s="186">
        <v>0</v>
      </c>
      <c r="CV18" s="186">
        <v>0</v>
      </c>
      <c r="CW18" s="186">
        <v>10000</v>
      </c>
      <c r="CX18" s="186">
        <v>0</v>
      </c>
      <c r="CY18" s="186">
        <v>10000</v>
      </c>
      <c r="CZ18" s="186">
        <v>0</v>
      </c>
      <c r="DA18" s="186">
        <v>0</v>
      </c>
      <c r="DB18" s="186">
        <v>0</v>
      </c>
      <c r="DC18" s="186">
        <v>0</v>
      </c>
    </row>
    <row r="19" spans="1:107" s="191" customFormat="1">
      <c r="A19" s="188" t="s">
        <v>69</v>
      </c>
      <c r="B19" s="189">
        <v>148977882.39000002</v>
      </c>
      <c r="C19" s="189">
        <v>79538887.510000005</v>
      </c>
      <c r="D19" s="189">
        <v>68916638.180000007</v>
      </c>
      <c r="E19" s="189">
        <v>1142520.56</v>
      </c>
      <c r="F19" s="189">
        <v>213943.91999999998</v>
      </c>
      <c r="G19" s="189">
        <v>0</v>
      </c>
      <c r="H19" s="189">
        <v>788962.85000000009</v>
      </c>
      <c r="I19" s="189">
        <v>0</v>
      </c>
      <c r="J19" s="189">
        <v>0</v>
      </c>
      <c r="K19" s="189">
        <v>0</v>
      </c>
      <c r="L19" s="189">
        <v>0</v>
      </c>
      <c r="M19" s="189">
        <v>0</v>
      </c>
      <c r="N19" s="189">
        <v>0</v>
      </c>
      <c r="O19" s="189">
        <v>0</v>
      </c>
      <c r="P19" s="189">
        <v>0</v>
      </c>
      <c r="Q19" s="189">
        <v>0</v>
      </c>
      <c r="R19" s="189">
        <v>0</v>
      </c>
      <c r="S19" s="189">
        <v>0</v>
      </c>
      <c r="T19" s="189">
        <v>0</v>
      </c>
      <c r="U19" s="189">
        <v>0</v>
      </c>
      <c r="V19" s="189">
        <v>0</v>
      </c>
      <c r="W19" s="189">
        <v>19327.96</v>
      </c>
      <c r="X19" s="189">
        <v>8023.44</v>
      </c>
      <c r="Y19" s="189">
        <v>0</v>
      </c>
      <c r="Z19" s="189">
        <v>2116477.2400000002</v>
      </c>
      <c r="AA19" s="189">
        <v>0</v>
      </c>
      <c r="AB19" s="189">
        <v>-1187512.92</v>
      </c>
      <c r="AC19" s="189">
        <v>3946.9800000000032</v>
      </c>
      <c r="AD19" s="189">
        <v>201585.82</v>
      </c>
      <c r="AE19" s="189">
        <v>0</v>
      </c>
      <c r="AF19" s="189">
        <v>0</v>
      </c>
      <c r="AG19" s="189">
        <v>59284082.450000003</v>
      </c>
      <c r="AH19" s="189">
        <v>7803954.75</v>
      </c>
      <c r="AI19" s="189">
        <v>1828600.98</v>
      </c>
      <c r="AJ19" s="189">
        <v>-1642398.5899999999</v>
      </c>
      <c r="AK19" s="189">
        <v>212655.69</v>
      </c>
      <c r="AL19" s="189">
        <v>1288.23</v>
      </c>
      <c r="AM19" s="189">
        <v>0</v>
      </c>
      <c r="AN19" s="189">
        <v>0</v>
      </c>
      <c r="AO19" s="189">
        <v>42680587.649999991</v>
      </c>
      <c r="AP19" s="189">
        <v>21680.42</v>
      </c>
      <c r="AQ19" s="189">
        <v>0</v>
      </c>
      <c r="AR19" s="189">
        <v>2461188.6</v>
      </c>
      <c r="AS19" s="189">
        <v>0</v>
      </c>
      <c r="AT19" s="189">
        <v>1371677.33</v>
      </c>
      <c r="AU19" s="189">
        <v>2385479.06</v>
      </c>
      <c r="AV19" s="189">
        <v>2296825.75</v>
      </c>
      <c r="AW19" s="189">
        <v>3354664.27</v>
      </c>
      <c r="AX19" s="189">
        <v>1668052.0000000002</v>
      </c>
      <c r="AY19" s="189">
        <v>1806294.79</v>
      </c>
      <c r="AZ19" s="189">
        <v>1043100.9400000001</v>
      </c>
      <c r="BA19" s="189">
        <v>2655809.17</v>
      </c>
      <c r="BB19" s="189">
        <v>458511.32</v>
      </c>
      <c r="BC19" s="189">
        <v>314615</v>
      </c>
      <c r="BD19" s="189">
        <v>1492335.38</v>
      </c>
      <c r="BE19" s="189">
        <v>2586810.7899999996</v>
      </c>
      <c r="BF19" s="189">
        <v>830288.16</v>
      </c>
      <c r="BG19" s="189">
        <v>1176916.21</v>
      </c>
      <c r="BH19" s="189">
        <v>513126.06</v>
      </c>
      <c r="BI19" s="189">
        <v>685240.69</v>
      </c>
      <c r="BJ19" s="189">
        <v>1002202.8700000001</v>
      </c>
      <c r="BK19" s="189">
        <v>615477.42000000004</v>
      </c>
      <c r="BL19" s="189">
        <v>385644.94000000006</v>
      </c>
      <c r="BM19" s="189">
        <v>369954.66000000003</v>
      </c>
      <c r="BN19" s="189">
        <v>645383.52</v>
      </c>
      <c r="BO19" s="189">
        <v>804700.12000000011</v>
      </c>
      <c r="BP19" s="189">
        <v>167058.88999999998</v>
      </c>
      <c r="BQ19" s="189">
        <v>200587.74</v>
      </c>
      <c r="BR19" s="189">
        <v>101477.26999999999</v>
      </c>
      <c r="BS19" s="189">
        <v>398194.48</v>
      </c>
      <c r="BT19" s="189">
        <v>224225.73</v>
      </c>
      <c r="BU19" s="189">
        <v>501207.95999999996</v>
      </c>
      <c r="BV19" s="189">
        <v>411842.58999999997</v>
      </c>
      <c r="BW19" s="189">
        <v>1446958.0899999999</v>
      </c>
      <c r="BX19" s="189">
        <v>72468.33</v>
      </c>
      <c r="BY19" s="189">
        <v>228058.82</v>
      </c>
      <c r="BZ19" s="189">
        <v>173781.90999999997</v>
      </c>
      <c r="CA19" s="189">
        <v>219997.31999999998</v>
      </c>
      <c r="CB19" s="189">
        <v>114051.07</v>
      </c>
      <c r="CC19" s="189">
        <v>65564.710000000006</v>
      </c>
      <c r="CD19" s="189">
        <v>1115127.3199999998</v>
      </c>
      <c r="CE19" s="189">
        <v>43157.83</v>
      </c>
      <c r="CF19" s="189">
        <v>5416.46</v>
      </c>
      <c r="CG19" s="189">
        <v>65924.63</v>
      </c>
      <c r="CH19" s="189">
        <v>7295.36</v>
      </c>
      <c r="CI19" s="189">
        <v>500.92</v>
      </c>
      <c r="CJ19" s="189">
        <v>3227.17</v>
      </c>
      <c r="CK19" s="189">
        <v>24044.329999999998</v>
      </c>
      <c r="CL19" s="189">
        <v>16774.590000000004</v>
      </c>
      <c r="CM19" s="189">
        <v>42764.1</v>
      </c>
      <c r="CN19" s="189">
        <v>5255.05</v>
      </c>
      <c r="CO19" s="189">
        <v>2561.89</v>
      </c>
      <c r="CP19" s="189">
        <v>56048.6</v>
      </c>
      <c r="CQ19" s="189">
        <v>13203.96</v>
      </c>
      <c r="CR19" s="189">
        <v>2724.7200000000003</v>
      </c>
      <c r="CS19" s="189">
        <v>120585.52</v>
      </c>
      <c r="CT19" s="189">
        <v>8623.6</v>
      </c>
      <c r="CU19" s="189">
        <v>10746.250000000002</v>
      </c>
      <c r="CV19" s="189">
        <v>10809.61</v>
      </c>
      <c r="CW19" s="189">
        <v>10004.32</v>
      </c>
      <c r="CX19" s="189">
        <v>78.349999999999994</v>
      </c>
      <c r="CY19" s="189">
        <v>18744.88</v>
      </c>
      <c r="CZ19" s="189">
        <v>261.39999999999998</v>
      </c>
      <c r="DA19" s="189">
        <v>376.3</v>
      </c>
      <c r="DB19" s="189">
        <v>2237.87</v>
      </c>
      <c r="DC19" s="190">
        <v>350.45</v>
      </c>
    </row>
    <row r="20" spans="1:107">
      <c r="A20" s="187" t="s">
        <v>76</v>
      </c>
      <c r="B20" s="186">
        <v>22225760.639999993</v>
      </c>
      <c r="C20" s="186">
        <v>8827331.799999997</v>
      </c>
      <c r="D20" s="186">
        <v>7272853.0199999996</v>
      </c>
      <c r="E20" s="186">
        <v>1278535.01</v>
      </c>
      <c r="F20" s="186">
        <v>809764.36</v>
      </c>
      <c r="G20" s="186">
        <v>231447.24</v>
      </c>
      <c r="H20" s="186">
        <v>825519</v>
      </c>
      <c r="I20" s="186">
        <v>46331</v>
      </c>
      <c r="J20" s="186">
        <v>1139762.1100000001</v>
      </c>
      <c r="K20" s="186">
        <v>113216.32999999999</v>
      </c>
      <c r="L20" s="186">
        <v>283886.74</v>
      </c>
      <c r="M20" s="186">
        <v>111805</v>
      </c>
      <c r="N20" s="186">
        <v>98864.7</v>
      </c>
      <c r="O20" s="186">
        <v>7163</v>
      </c>
      <c r="P20" s="186">
        <v>34204.6</v>
      </c>
      <c r="Q20" s="186">
        <v>17383</v>
      </c>
      <c r="R20" s="186">
        <v>31624.7</v>
      </c>
      <c r="S20" s="186">
        <v>91489.13</v>
      </c>
      <c r="T20" s="186">
        <v>22041.5</v>
      </c>
      <c r="U20" s="186">
        <v>56683.23</v>
      </c>
      <c r="V20" s="186">
        <v>0</v>
      </c>
      <c r="W20" s="186">
        <v>0</v>
      </c>
      <c r="X20" s="186">
        <v>201894.04</v>
      </c>
      <c r="Y20" s="186">
        <v>0</v>
      </c>
      <c r="Z20" s="186">
        <v>252562.31</v>
      </c>
      <c r="AA20" s="186">
        <v>1661</v>
      </c>
      <c r="AB20" s="186">
        <v>289913.14</v>
      </c>
      <c r="AC20" s="186">
        <v>298328.11</v>
      </c>
      <c r="AD20" s="186">
        <v>225749.41</v>
      </c>
      <c r="AE20" s="186">
        <v>8427</v>
      </c>
      <c r="AF20" s="186">
        <v>120046.3</v>
      </c>
      <c r="AG20" s="186">
        <v>4996154.5</v>
      </c>
      <c r="AH20" s="186">
        <v>1652222.7100000002</v>
      </c>
      <c r="AI20" s="186">
        <v>504429.51</v>
      </c>
      <c r="AJ20" s="186">
        <v>925855.16999999993</v>
      </c>
      <c r="AK20" s="186">
        <v>425579.83999999997</v>
      </c>
      <c r="AL20" s="186">
        <v>364716.72</v>
      </c>
      <c r="AM20" s="186">
        <v>19467.8</v>
      </c>
      <c r="AN20" s="186">
        <v>0</v>
      </c>
      <c r="AO20" s="186">
        <v>199421.92</v>
      </c>
      <c r="AP20" s="186">
        <v>125090.1</v>
      </c>
      <c r="AQ20" s="186">
        <v>76197.41</v>
      </c>
      <c r="AR20" s="186">
        <v>33895</v>
      </c>
      <c r="AS20" s="186">
        <v>167027</v>
      </c>
      <c r="AT20" s="186">
        <v>486705.73000000004</v>
      </c>
      <c r="AU20" s="186">
        <v>487126.72</v>
      </c>
      <c r="AV20" s="186">
        <v>373712.84</v>
      </c>
      <c r="AW20" s="186">
        <v>384167.91000000003</v>
      </c>
      <c r="AX20" s="186">
        <v>170228.29</v>
      </c>
      <c r="AY20" s="186">
        <v>372920.06</v>
      </c>
      <c r="AZ20" s="186">
        <v>135854</v>
      </c>
      <c r="BA20" s="186">
        <v>339146.55</v>
      </c>
      <c r="BB20" s="186">
        <v>204563.63</v>
      </c>
      <c r="BC20" s="186">
        <v>72861.399999999994</v>
      </c>
      <c r="BD20" s="186">
        <v>467967.70999999996</v>
      </c>
      <c r="BE20" s="186">
        <v>219086.9</v>
      </c>
      <c r="BF20" s="186">
        <v>328695.94</v>
      </c>
      <c r="BG20" s="186">
        <v>523701.5</v>
      </c>
      <c r="BH20" s="186">
        <v>106718</v>
      </c>
      <c r="BI20" s="186">
        <v>204282.8</v>
      </c>
      <c r="BJ20" s="186">
        <v>128324.76</v>
      </c>
      <c r="BK20" s="186">
        <v>192927.29</v>
      </c>
      <c r="BL20" s="186">
        <v>102110</v>
      </c>
      <c r="BM20" s="186">
        <v>33455</v>
      </c>
      <c r="BN20" s="186">
        <v>119803.5</v>
      </c>
      <c r="BO20" s="186">
        <v>142058</v>
      </c>
      <c r="BP20" s="186">
        <v>186479.64</v>
      </c>
      <c r="BQ20" s="186">
        <v>143768.54999999999</v>
      </c>
      <c r="BR20" s="186">
        <v>106367</v>
      </c>
      <c r="BS20" s="186">
        <v>188418.46</v>
      </c>
      <c r="BT20" s="186">
        <v>55491.5</v>
      </c>
      <c r="BU20" s="186">
        <v>85952.22</v>
      </c>
      <c r="BV20" s="186">
        <v>74220</v>
      </c>
      <c r="BW20" s="186">
        <v>45866.3</v>
      </c>
      <c r="BX20" s="186">
        <v>41285</v>
      </c>
      <c r="BY20" s="186">
        <v>129717.43000000001</v>
      </c>
      <c r="BZ20" s="186">
        <v>89377.8</v>
      </c>
      <c r="CA20" s="186">
        <v>45370.36</v>
      </c>
      <c r="CB20" s="186">
        <v>88966.2</v>
      </c>
      <c r="CC20" s="186">
        <v>182222.72</v>
      </c>
      <c r="CD20" s="186">
        <v>213887.57</v>
      </c>
      <c r="CE20" s="186">
        <v>91660.5</v>
      </c>
      <c r="CF20" s="186">
        <v>11546</v>
      </c>
      <c r="CG20" s="186">
        <v>42402.3</v>
      </c>
      <c r="CH20" s="186">
        <v>37397.879999999997</v>
      </c>
      <c r="CI20" s="186">
        <v>55780.36</v>
      </c>
      <c r="CJ20" s="186">
        <v>12645</v>
      </c>
      <c r="CK20" s="186">
        <v>65632.320000000007</v>
      </c>
      <c r="CL20" s="186">
        <v>56652.38</v>
      </c>
      <c r="CM20" s="186">
        <v>31739.1</v>
      </c>
      <c r="CN20" s="186">
        <v>50849.599999999999</v>
      </c>
      <c r="CO20" s="186">
        <v>23663</v>
      </c>
      <c r="CP20" s="186">
        <v>41293.089999999997</v>
      </c>
      <c r="CQ20" s="186">
        <v>68779.28</v>
      </c>
      <c r="CR20" s="186">
        <v>45125.7</v>
      </c>
      <c r="CS20" s="186">
        <v>45011.8</v>
      </c>
      <c r="CT20" s="186">
        <v>35501.72</v>
      </c>
      <c r="CU20" s="186">
        <v>27259.03</v>
      </c>
      <c r="CV20" s="186">
        <v>19929.2</v>
      </c>
      <c r="CW20" s="186">
        <v>7324</v>
      </c>
      <c r="CX20" s="186">
        <v>41272.5</v>
      </c>
      <c r="CY20" s="186">
        <v>65751.600000000006</v>
      </c>
      <c r="CZ20" s="186">
        <v>38979</v>
      </c>
      <c r="DA20" s="186">
        <v>10879</v>
      </c>
      <c r="DB20" s="186">
        <v>15444.73</v>
      </c>
      <c r="DC20" s="186">
        <v>9372</v>
      </c>
    </row>
    <row r="21" spans="1:107">
      <c r="A21" s="187" t="s">
        <v>77</v>
      </c>
      <c r="B21" s="186">
        <v>7335906.0299999993</v>
      </c>
      <c r="C21" s="186">
        <v>1754356.5799999998</v>
      </c>
      <c r="D21" s="186">
        <v>3034771.56</v>
      </c>
      <c r="E21" s="186">
        <v>990910.47999999986</v>
      </c>
      <c r="F21" s="186">
        <v>296212.42</v>
      </c>
      <c r="G21" s="186">
        <v>382533.6</v>
      </c>
      <c r="H21" s="186">
        <v>0</v>
      </c>
      <c r="I21" s="186">
        <v>41077.79</v>
      </c>
      <c r="J21" s="186">
        <v>33249.42</v>
      </c>
      <c r="K21" s="186">
        <v>20436.5</v>
      </c>
      <c r="L21" s="186">
        <v>38719.839999999997</v>
      </c>
      <c r="M21" s="186">
        <v>63241.53</v>
      </c>
      <c r="N21" s="186">
        <v>10113</v>
      </c>
      <c r="O21" s="186">
        <v>6798.29</v>
      </c>
      <c r="P21" s="186">
        <v>36905.300000000003</v>
      </c>
      <c r="Q21" s="186">
        <v>26297.78</v>
      </c>
      <c r="R21" s="186">
        <v>95413.18</v>
      </c>
      <c r="S21" s="186">
        <v>237068.5</v>
      </c>
      <c r="T21" s="186">
        <v>9069.4399999999987</v>
      </c>
      <c r="U21" s="186">
        <v>34523.4</v>
      </c>
      <c r="V21" s="186">
        <v>0</v>
      </c>
      <c r="W21" s="186">
        <v>0</v>
      </c>
      <c r="X21" s="186">
        <v>51822.38</v>
      </c>
      <c r="Y21" s="186">
        <v>2458.4</v>
      </c>
      <c r="Z21" s="186">
        <v>360947.3</v>
      </c>
      <c r="AA21" s="186">
        <v>2115.58</v>
      </c>
      <c r="AB21" s="186">
        <v>263916.02999999997</v>
      </c>
      <c r="AC21" s="186">
        <v>166511.38</v>
      </c>
      <c r="AD21" s="186">
        <v>123131.31</v>
      </c>
      <c r="AE21" s="186">
        <v>20008.099999999999</v>
      </c>
      <c r="AF21" s="186">
        <v>125768.3</v>
      </c>
      <c r="AG21" s="186">
        <v>1722286.7999999998</v>
      </c>
      <c r="AH21" s="186">
        <v>587558.40000000002</v>
      </c>
      <c r="AI21" s="186">
        <v>599158.05999999994</v>
      </c>
      <c r="AJ21" s="186">
        <v>223430.41999999998</v>
      </c>
      <c r="AK21" s="186">
        <v>174209.69</v>
      </c>
      <c r="AL21" s="186">
        <v>65464.549999999996</v>
      </c>
      <c r="AM21" s="186">
        <v>56538.180000000008</v>
      </c>
      <c r="AN21" s="186">
        <v>777</v>
      </c>
      <c r="AO21" s="186">
        <v>60491.53</v>
      </c>
      <c r="AP21" s="186">
        <v>115214.87</v>
      </c>
      <c r="AQ21" s="186">
        <v>137744.47</v>
      </c>
      <c r="AR21" s="186">
        <v>40838.17</v>
      </c>
      <c r="AS21" s="186">
        <v>106786.76</v>
      </c>
      <c r="AT21" s="186">
        <v>18874.099999999999</v>
      </c>
      <c r="AU21" s="186">
        <v>29337.67</v>
      </c>
      <c r="AV21" s="186">
        <v>14008.03</v>
      </c>
      <c r="AW21" s="186">
        <v>62724.13</v>
      </c>
      <c r="AX21" s="186">
        <v>15819.14</v>
      </c>
      <c r="AY21" s="186">
        <v>31452.77</v>
      </c>
      <c r="AZ21" s="186">
        <v>24424.44</v>
      </c>
      <c r="BA21" s="186">
        <v>49630.400000000001</v>
      </c>
      <c r="BB21" s="186">
        <v>72085</v>
      </c>
      <c r="BC21" s="186">
        <v>35475.5</v>
      </c>
      <c r="BD21" s="186">
        <v>174891.85</v>
      </c>
      <c r="BE21" s="186">
        <v>39469.24</v>
      </c>
      <c r="BF21" s="186">
        <v>14213.699999999999</v>
      </c>
      <c r="BG21" s="186">
        <v>22046.080000000002</v>
      </c>
      <c r="BH21" s="186">
        <v>22183.25</v>
      </c>
      <c r="BI21" s="186">
        <v>34702.129999999997</v>
      </c>
      <c r="BJ21" s="186">
        <v>4658.08</v>
      </c>
      <c r="BK21" s="186">
        <v>19701.04</v>
      </c>
      <c r="BL21" s="186">
        <v>8043.5</v>
      </c>
      <c r="BM21" s="186">
        <v>5458</v>
      </c>
      <c r="BN21" s="186">
        <v>11092</v>
      </c>
      <c r="BO21" s="186">
        <v>40331.08</v>
      </c>
      <c r="BP21" s="186">
        <v>9484.5</v>
      </c>
      <c r="BQ21" s="186">
        <v>8798.2000000000007</v>
      </c>
      <c r="BR21" s="186">
        <v>4418.5</v>
      </c>
      <c r="BS21" s="186">
        <v>21424.5</v>
      </c>
      <c r="BT21" s="186">
        <v>370</v>
      </c>
      <c r="BU21" s="186">
        <v>49822.8</v>
      </c>
      <c r="BV21" s="186">
        <v>1259</v>
      </c>
      <c r="BW21" s="186">
        <v>31419.78</v>
      </c>
      <c r="BX21" s="186">
        <v>9146.17</v>
      </c>
      <c r="BY21" s="186">
        <v>12196</v>
      </c>
      <c r="BZ21" s="186">
        <v>5574</v>
      </c>
      <c r="CA21" s="186">
        <v>5685.78</v>
      </c>
      <c r="CB21" s="186">
        <v>2545.5</v>
      </c>
      <c r="CC21" s="186">
        <v>15150.5</v>
      </c>
      <c r="CD21" s="186">
        <v>25872.53</v>
      </c>
      <c r="CE21" s="186">
        <v>10818.5</v>
      </c>
      <c r="CF21" s="186">
        <v>10100.5</v>
      </c>
      <c r="CG21" s="186">
        <v>12002.18</v>
      </c>
      <c r="CH21" s="186">
        <v>22558.2</v>
      </c>
      <c r="CI21" s="186">
        <v>15925.5</v>
      </c>
      <c r="CJ21" s="186">
        <v>13792.5</v>
      </c>
      <c r="CK21" s="186">
        <v>17455.18</v>
      </c>
      <c r="CL21" s="186">
        <v>23889</v>
      </c>
      <c r="CM21" s="186">
        <v>24269.919999999998</v>
      </c>
      <c r="CN21" s="186">
        <v>20230.8</v>
      </c>
      <c r="CO21" s="186">
        <v>6772.2</v>
      </c>
      <c r="CP21" s="186">
        <v>18490.5</v>
      </c>
      <c r="CQ21" s="186">
        <v>14386</v>
      </c>
      <c r="CR21" s="186">
        <v>12907.5</v>
      </c>
      <c r="CS21" s="186">
        <v>9325.6</v>
      </c>
      <c r="CT21" s="186">
        <v>16516</v>
      </c>
      <c r="CU21" s="186">
        <v>12992.3</v>
      </c>
      <c r="CV21" s="186">
        <v>20460.5</v>
      </c>
      <c r="CW21" s="186">
        <v>0</v>
      </c>
      <c r="CX21" s="186">
        <v>8060</v>
      </c>
      <c r="CY21" s="186">
        <v>23054.400000000001</v>
      </c>
      <c r="CZ21" s="186">
        <v>13918.8</v>
      </c>
      <c r="DA21" s="186">
        <v>6170.7800000000007</v>
      </c>
      <c r="DB21" s="186">
        <v>1666</v>
      </c>
      <c r="DC21" s="186">
        <v>3729.03</v>
      </c>
    </row>
    <row r="22" spans="1:107">
      <c r="A22" s="187" t="s">
        <v>80</v>
      </c>
      <c r="B22" s="186">
        <v>1485668.290000001</v>
      </c>
      <c r="C22" s="186">
        <v>845395.19000000053</v>
      </c>
      <c r="D22" s="186">
        <v>231254.91000000003</v>
      </c>
      <c r="E22" s="186">
        <v>95220.3</v>
      </c>
      <c r="F22" s="186">
        <v>56851.12</v>
      </c>
      <c r="G22" s="186">
        <v>8067.8</v>
      </c>
      <c r="H22" s="186">
        <v>310.89999999999998</v>
      </c>
      <c r="I22" s="186">
        <v>6541</v>
      </c>
      <c r="J22" s="186">
        <v>181070.39</v>
      </c>
      <c r="K22" s="186">
        <v>15000.5</v>
      </c>
      <c r="L22" s="186">
        <v>3054.6</v>
      </c>
      <c r="M22" s="186">
        <v>3950.6</v>
      </c>
      <c r="N22" s="186">
        <v>2136.5</v>
      </c>
      <c r="O22" s="186">
        <v>1066</v>
      </c>
      <c r="P22" s="186">
        <v>1497.6</v>
      </c>
      <c r="Q22" s="186">
        <v>1180</v>
      </c>
      <c r="R22" s="186">
        <v>2590.38</v>
      </c>
      <c r="S22" s="186">
        <v>8635</v>
      </c>
      <c r="T22" s="186">
        <v>8182.8</v>
      </c>
      <c r="U22" s="186">
        <v>7237.2</v>
      </c>
      <c r="V22" s="186">
        <v>0</v>
      </c>
      <c r="W22" s="186">
        <v>0</v>
      </c>
      <c r="X22" s="186">
        <v>29542.23</v>
      </c>
      <c r="Y22" s="186">
        <v>0</v>
      </c>
      <c r="Z22" s="186">
        <v>17001.989999999998</v>
      </c>
      <c r="AA22" s="186">
        <v>0</v>
      </c>
      <c r="AB22" s="186">
        <v>18801.469999999998</v>
      </c>
      <c r="AC22" s="186">
        <v>10774.59</v>
      </c>
      <c r="AD22" s="186">
        <v>19100.02</v>
      </c>
      <c r="AE22" s="186">
        <v>0</v>
      </c>
      <c r="AF22" s="186">
        <v>11793</v>
      </c>
      <c r="AG22" s="186">
        <v>162407.20000000001</v>
      </c>
      <c r="AH22" s="186">
        <v>31262.880000000001</v>
      </c>
      <c r="AI22" s="186">
        <v>25791.83</v>
      </c>
      <c r="AJ22" s="186">
        <v>6425.5</v>
      </c>
      <c r="AK22" s="186">
        <v>28477.960000000003</v>
      </c>
      <c r="AL22" s="186">
        <v>26749.42</v>
      </c>
      <c r="AM22" s="186">
        <v>1623.7400000000002</v>
      </c>
      <c r="AN22" s="186">
        <v>0</v>
      </c>
      <c r="AO22" s="186">
        <v>11928.7</v>
      </c>
      <c r="AP22" s="186">
        <v>5933.6</v>
      </c>
      <c r="AQ22" s="186">
        <v>7391</v>
      </c>
      <c r="AR22" s="186">
        <v>6159</v>
      </c>
      <c r="AS22" s="186">
        <v>6815.6</v>
      </c>
      <c r="AT22" s="186">
        <v>46198.79</v>
      </c>
      <c r="AU22" s="186">
        <v>26926.9</v>
      </c>
      <c r="AV22" s="186">
        <v>22795.7</v>
      </c>
      <c r="AW22" s="186">
        <v>46902.99</v>
      </c>
      <c r="AX22" s="186">
        <v>39044.589999999997</v>
      </c>
      <c r="AY22" s="186">
        <v>48823.06</v>
      </c>
      <c r="AZ22" s="186">
        <v>10425.1</v>
      </c>
      <c r="BA22" s="186">
        <v>23086.3</v>
      </c>
      <c r="BB22" s="186">
        <v>18340.77</v>
      </c>
      <c r="BC22" s="186">
        <v>7033.98</v>
      </c>
      <c r="BD22" s="186">
        <v>39566.97</v>
      </c>
      <c r="BE22" s="186">
        <v>10478.700000000001</v>
      </c>
      <c r="BF22" s="186">
        <v>37284.1</v>
      </c>
      <c r="BG22" s="186">
        <v>10494.76</v>
      </c>
      <c r="BH22" s="186">
        <v>20572.810000000001</v>
      </c>
      <c r="BI22" s="186">
        <v>20736</v>
      </c>
      <c r="BJ22" s="186">
        <v>4448.3999999999996</v>
      </c>
      <c r="BK22" s="186">
        <v>32474.7</v>
      </c>
      <c r="BL22" s="186">
        <v>6484</v>
      </c>
      <c r="BM22" s="186">
        <v>4141</v>
      </c>
      <c r="BN22" s="186">
        <v>17211.5</v>
      </c>
      <c r="BO22" s="186">
        <v>40365.5</v>
      </c>
      <c r="BP22" s="186">
        <v>16107.800000000001</v>
      </c>
      <c r="BQ22" s="186">
        <v>5825.18</v>
      </c>
      <c r="BR22" s="186">
        <v>4861</v>
      </c>
      <c r="BS22" s="186">
        <v>0</v>
      </c>
      <c r="BT22" s="186">
        <v>7661</v>
      </c>
      <c r="BU22" s="186">
        <v>10000.66</v>
      </c>
      <c r="BV22" s="186">
        <v>9185.1</v>
      </c>
      <c r="BW22" s="186">
        <v>14791</v>
      </c>
      <c r="BX22" s="186">
        <v>2065.46</v>
      </c>
      <c r="BY22" s="186">
        <v>13921.3</v>
      </c>
      <c r="BZ22" s="186">
        <v>2102</v>
      </c>
      <c r="CA22" s="186">
        <v>6328.16</v>
      </c>
      <c r="CB22" s="186">
        <v>2031.89</v>
      </c>
      <c r="CC22" s="186">
        <v>14347.04</v>
      </c>
      <c r="CD22" s="186">
        <v>7745.8</v>
      </c>
      <c r="CE22" s="186">
        <v>8350.0999999999985</v>
      </c>
      <c r="CF22" s="186">
        <v>2579.6999999999998</v>
      </c>
      <c r="CG22" s="186">
        <v>4078.2</v>
      </c>
      <c r="CH22" s="186">
        <v>5146.87</v>
      </c>
      <c r="CI22" s="186">
        <v>8453</v>
      </c>
      <c r="CJ22" s="186">
        <v>1398.18</v>
      </c>
      <c r="CK22" s="186">
        <v>8554.94</v>
      </c>
      <c r="CL22" s="186">
        <v>11418.68</v>
      </c>
      <c r="CM22" s="186">
        <v>4829.8</v>
      </c>
      <c r="CN22" s="186">
        <v>2388.9</v>
      </c>
      <c r="CO22" s="186">
        <v>5139.3</v>
      </c>
      <c r="CP22" s="186">
        <v>8309</v>
      </c>
      <c r="CQ22" s="186">
        <v>10635.18</v>
      </c>
      <c r="CR22" s="186">
        <v>6835.6799999999994</v>
      </c>
      <c r="CS22" s="186">
        <v>5339.16</v>
      </c>
      <c r="CT22" s="186">
        <v>1975.81</v>
      </c>
      <c r="CU22" s="186">
        <v>16526.36</v>
      </c>
      <c r="CV22" s="186">
        <v>5885</v>
      </c>
      <c r="CW22" s="186">
        <v>5913.9</v>
      </c>
      <c r="CX22" s="186">
        <v>4387.1000000000004</v>
      </c>
      <c r="CY22" s="186">
        <v>5850</v>
      </c>
      <c r="CZ22" s="186">
        <v>9468.9</v>
      </c>
      <c r="DA22" s="186">
        <v>2455.11</v>
      </c>
      <c r="DB22" s="186">
        <v>5786.9</v>
      </c>
      <c r="DC22" s="186">
        <v>4651.51</v>
      </c>
    </row>
    <row r="23" spans="1:107">
      <c r="A23" s="187" t="s">
        <v>81</v>
      </c>
      <c r="B23" s="186">
        <v>750939.65999999992</v>
      </c>
      <c r="C23" s="186">
        <v>571611.3899999999</v>
      </c>
      <c r="D23" s="186">
        <v>72202</v>
      </c>
      <c r="E23" s="186">
        <v>19110.5</v>
      </c>
      <c r="F23" s="186">
        <v>13011.65</v>
      </c>
      <c r="G23" s="186">
        <v>0</v>
      </c>
      <c r="H23" s="186">
        <v>0</v>
      </c>
      <c r="I23" s="186">
        <v>2310</v>
      </c>
      <c r="J23" s="186">
        <v>10910</v>
      </c>
      <c r="K23" s="186">
        <v>23192.789999999997</v>
      </c>
      <c r="L23" s="186">
        <v>1190</v>
      </c>
      <c r="M23" s="186">
        <v>3130</v>
      </c>
      <c r="N23" s="186">
        <v>149</v>
      </c>
      <c r="O23" s="186">
        <v>535</v>
      </c>
      <c r="P23" s="186">
        <v>1295</v>
      </c>
      <c r="Q23" s="186">
        <v>965</v>
      </c>
      <c r="R23" s="186">
        <v>535</v>
      </c>
      <c r="S23" s="186">
        <v>1640</v>
      </c>
      <c r="T23" s="186">
        <v>6209</v>
      </c>
      <c r="U23" s="186">
        <v>17358.329999999998</v>
      </c>
      <c r="V23" s="186">
        <v>0</v>
      </c>
      <c r="W23" s="186">
        <v>0</v>
      </c>
      <c r="X23" s="186">
        <v>-8591.7000000000007</v>
      </c>
      <c r="Y23" s="186">
        <v>0</v>
      </c>
      <c r="Z23" s="186">
        <v>20707.5</v>
      </c>
      <c r="AA23" s="186">
        <v>0</v>
      </c>
      <c r="AB23" s="186">
        <v>3469</v>
      </c>
      <c r="AC23" s="186">
        <v>3525.7</v>
      </c>
      <c r="AD23" s="186">
        <v>0</v>
      </c>
      <c r="AE23" s="186">
        <v>0</v>
      </c>
      <c r="AF23" s="186">
        <v>6215</v>
      </c>
      <c r="AG23" s="186">
        <v>47456</v>
      </c>
      <c r="AH23" s="186">
        <v>12664</v>
      </c>
      <c r="AI23" s="186">
        <v>5867</v>
      </c>
      <c r="AJ23" s="186">
        <v>5585</v>
      </c>
      <c r="AK23" s="186">
        <v>380</v>
      </c>
      <c r="AL23" s="186">
        <v>12631.65</v>
      </c>
      <c r="AM23" s="186">
        <v>0</v>
      </c>
      <c r="AN23" s="186">
        <v>0</v>
      </c>
      <c r="AO23" s="186">
        <v>1165</v>
      </c>
      <c r="AP23" s="186">
        <v>2285</v>
      </c>
      <c r="AQ23" s="186">
        <v>865</v>
      </c>
      <c r="AR23" s="186">
        <v>610</v>
      </c>
      <c r="AS23" s="186">
        <v>2933</v>
      </c>
      <c r="AT23" s="186">
        <v>19161</v>
      </c>
      <c r="AU23" s="186">
        <v>19125</v>
      </c>
      <c r="AV23" s="186">
        <v>9387</v>
      </c>
      <c r="AW23" s="186">
        <v>24993.47</v>
      </c>
      <c r="AX23" s="186">
        <v>20699.5</v>
      </c>
      <c r="AY23" s="186">
        <v>20961.719999999998</v>
      </c>
      <c r="AZ23" s="186">
        <v>8085.3</v>
      </c>
      <c r="BA23" s="186">
        <v>43410</v>
      </c>
      <c r="BB23" s="186">
        <v>13319.56</v>
      </c>
      <c r="BC23" s="186">
        <v>4583.72</v>
      </c>
      <c r="BD23" s="186">
        <v>9598.7900000000009</v>
      </c>
      <c r="BE23" s="186">
        <v>12064.38</v>
      </c>
      <c r="BF23" s="186">
        <v>11320</v>
      </c>
      <c r="BG23" s="186">
        <v>1461</v>
      </c>
      <c r="BH23" s="186">
        <v>23867.43</v>
      </c>
      <c r="BI23" s="186">
        <v>7005</v>
      </c>
      <c r="BJ23" s="186">
        <v>1774.8</v>
      </c>
      <c r="BK23" s="186">
        <v>9292.5</v>
      </c>
      <c r="BL23" s="186">
        <v>9971</v>
      </c>
      <c r="BM23" s="186">
        <v>19946</v>
      </c>
      <c r="BN23" s="186">
        <v>212</v>
      </c>
      <c r="BO23" s="186">
        <v>25008.02</v>
      </c>
      <c r="BP23" s="186">
        <v>3293.7</v>
      </c>
      <c r="BQ23" s="186">
        <v>91</v>
      </c>
      <c r="BR23" s="186">
        <v>2528</v>
      </c>
      <c r="BS23" s="186">
        <v>948</v>
      </c>
      <c r="BT23" s="186">
        <v>5722</v>
      </c>
      <c r="BU23" s="186">
        <v>13234.92</v>
      </c>
      <c r="BV23" s="186">
        <v>1193</v>
      </c>
      <c r="BW23" s="186">
        <v>9568.0499999999993</v>
      </c>
      <c r="BX23" s="186">
        <v>10285</v>
      </c>
      <c r="BY23" s="186">
        <v>14767</v>
      </c>
      <c r="BZ23" s="186">
        <v>607</v>
      </c>
      <c r="CA23" s="186">
        <v>2079</v>
      </c>
      <c r="CB23" s="186">
        <v>1489.79</v>
      </c>
      <c r="CC23" s="186">
        <v>1897.7</v>
      </c>
      <c r="CD23" s="186">
        <v>4610.74</v>
      </c>
      <c r="CE23" s="186">
        <v>5487.6</v>
      </c>
      <c r="CF23" s="186">
        <v>0</v>
      </c>
      <c r="CG23" s="186">
        <v>2795</v>
      </c>
      <c r="CH23" s="186">
        <v>2397.9</v>
      </c>
      <c r="CI23" s="186">
        <v>11238.5</v>
      </c>
      <c r="CJ23" s="186">
        <v>1063.8</v>
      </c>
      <c r="CK23" s="186">
        <v>15422</v>
      </c>
      <c r="CL23" s="186">
        <v>13825</v>
      </c>
      <c r="CM23" s="186">
        <v>6195</v>
      </c>
      <c r="CN23" s="186">
        <v>4325</v>
      </c>
      <c r="CO23" s="186">
        <v>20867</v>
      </c>
      <c r="CP23" s="186">
        <v>7912</v>
      </c>
      <c r="CQ23" s="186">
        <v>2130</v>
      </c>
      <c r="CR23" s="186">
        <v>5350</v>
      </c>
      <c r="CS23" s="186">
        <v>4464</v>
      </c>
      <c r="CT23" s="186">
        <v>12671</v>
      </c>
      <c r="CU23" s="186">
        <v>4629.5</v>
      </c>
      <c r="CV23" s="186">
        <v>6008</v>
      </c>
      <c r="CW23" s="186">
        <v>7900</v>
      </c>
      <c r="CX23" s="186">
        <v>10890</v>
      </c>
      <c r="CY23" s="186">
        <v>4078</v>
      </c>
      <c r="CZ23" s="186">
        <v>22230</v>
      </c>
      <c r="DA23" s="186">
        <v>1500</v>
      </c>
      <c r="DB23" s="186">
        <v>2812</v>
      </c>
      <c r="DC23" s="186">
        <v>0</v>
      </c>
    </row>
    <row r="24" spans="1:107">
      <c r="A24" s="187" t="s">
        <v>84</v>
      </c>
      <c r="B24" s="186">
        <v>7237976.7599999998</v>
      </c>
      <c r="C24" s="186">
        <v>6845391.9699999997</v>
      </c>
      <c r="D24" s="186">
        <v>3800</v>
      </c>
      <c r="E24" s="186">
        <v>0</v>
      </c>
      <c r="F24" s="186">
        <v>0</v>
      </c>
      <c r="G24" s="186">
        <v>0</v>
      </c>
      <c r="H24" s="186">
        <v>256902.13</v>
      </c>
      <c r="I24" s="186">
        <v>67941.760000000009</v>
      </c>
      <c r="J24" s="186">
        <v>7710</v>
      </c>
      <c r="K24" s="186">
        <v>0</v>
      </c>
      <c r="L24" s="186">
        <v>0</v>
      </c>
      <c r="M24" s="186">
        <v>0</v>
      </c>
      <c r="N24" s="186">
        <v>0</v>
      </c>
      <c r="O24" s="186">
        <v>56230.9</v>
      </c>
      <c r="P24" s="186">
        <v>0</v>
      </c>
      <c r="Q24" s="186">
        <v>0</v>
      </c>
      <c r="R24" s="186">
        <v>0</v>
      </c>
      <c r="S24" s="186">
        <v>0</v>
      </c>
      <c r="T24" s="186">
        <v>0</v>
      </c>
      <c r="U24" s="186">
        <v>0</v>
      </c>
      <c r="V24" s="186">
        <v>0</v>
      </c>
      <c r="W24" s="186">
        <v>0</v>
      </c>
      <c r="X24" s="186">
        <v>0</v>
      </c>
      <c r="Y24" s="186">
        <v>0</v>
      </c>
      <c r="Z24" s="186">
        <v>0</v>
      </c>
      <c r="AA24" s="186">
        <v>0</v>
      </c>
      <c r="AB24" s="186">
        <v>0</v>
      </c>
      <c r="AC24" s="186">
        <v>0</v>
      </c>
      <c r="AD24" s="186">
        <v>0</v>
      </c>
      <c r="AE24" s="186">
        <v>0</v>
      </c>
      <c r="AF24" s="186">
        <v>3800</v>
      </c>
      <c r="AG24" s="186">
        <v>0</v>
      </c>
      <c r="AH24" s="186">
        <v>0</v>
      </c>
      <c r="AI24" s="186">
        <v>0</v>
      </c>
      <c r="AJ24" s="186">
        <v>0</v>
      </c>
      <c r="AK24" s="186">
        <v>0</v>
      </c>
      <c r="AL24" s="186">
        <v>0</v>
      </c>
      <c r="AM24" s="186">
        <v>0</v>
      </c>
      <c r="AN24" s="186">
        <v>0</v>
      </c>
      <c r="AO24" s="186">
        <v>6136581.1699999999</v>
      </c>
      <c r="AP24" s="186">
        <v>7700</v>
      </c>
      <c r="AQ24" s="186">
        <v>85828.88</v>
      </c>
      <c r="AR24" s="186">
        <v>0</v>
      </c>
      <c r="AS24" s="186">
        <v>3200</v>
      </c>
      <c r="AT24" s="186">
        <v>600</v>
      </c>
      <c r="AU24" s="186">
        <v>0</v>
      </c>
      <c r="AV24" s="186">
        <v>32256.68</v>
      </c>
      <c r="AW24" s="186">
        <v>18415.54</v>
      </c>
      <c r="AX24" s="186">
        <v>10417.48</v>
      </c>
      <c r="AY24" s="186">
        <v>7759</v>
      </c>
      <c r="AZ24" s="186">
        <v>7648</v>
      </c>
      <c r="BA24" s="186">
        <v>16900</v>
      </c>
      <c r="BB24" s="186">
        <v>29167</v>
      </c>
      <c r="BC24" s="186">
        <v>0</v>
      </c>
      <c r="BD24" s="186">
        <v>21973</v>
      </c>
      <c r="BE24" s="186">
        <v>20828.07</v>
      </c>
      <c r="BF24" s="186">
        <v>16390</v>
      </c>
      <c r="BG24" s="186">
        <v>4700</v>
      </c>
      <c r="BH24" s="186">
        <v>27957</v>
      </c>
      <c r="BI24" s="186">
        <v>0</v>
      </c>
      <c r="BJ24" s="186">
        <v>1000</v>
      </c>
      <c r="BK24" s="186">
        <v>30318.400000000001</v>
      </c>
      <c r="BL24" s="186">
        <v>200</v>
      </c>
      <c r="BM24" s="186">
        <v>0</v>
      </c>
      <c r="BN24" s="186">
        <v>0</v>
      </c>
      <c r="BO24" s="186">
        <v>37880</v>
      </c>
      <c r="BP24" s="186">
        <v>5556</v>
      </c>
      <c r="BQ24" s="186">
        <v>10090</v>
      </c>
      <c r="BR24" s="186">
        <v>19086.64</v>
      </c>
      <c r="BS24" s="186">
        <v>0</v>
      </c>
      <c r="BT24" s="186">
        <v>3010</v>
      </c>
      <c r="BU24" s="186">
        <v>36227.269999999997</v>
      </c>
      <c r="BV24" s="186">
        <v>6276.7</v>
      </c>
      <c r="BW24" s="186">
        <v>8530</v>
      </c>
      <c r="BX24" s="186">
        <v>1976</v>
      </c>
      <c r="BY24" s="186">
        <v>9408</v>
      </c>
      <c r="BZ24" s="186">
        <v>0</v>
      </c>
      <c r="CA24" s="186">
        <v>2900</v>
      </c>
      <c r="CB24" s="186">
        <v>0</v>
      </c>
      <c r="CC24" s="186">
        <v>21624.97</v>
      </c>
      <c r="CD24" s="186">
        <v>3519</v>
      </c>
      <c r="CE24" s="186">
        <v>3336</v>
      </c>
      <c r="CF24" s="186">
        <v>4041</v>
      </c>
      <c r="CG24" s="186">
        <v>5936</v>
      </c>
      <c r="CH24" s="186">
        <v>9150</v>
      </c>
      <c r="CI24" s="186">
        <v>14935.17</v>
      </c>
      <c r="CJ24" s="186">
        <v>3840</v>
      </c>
      <c r="CK24" s="186">
        <v>1800</v>
      </c>
      <c r="CL24" s="186">
        <v>22350</v>
      </c>
      <c r="CM24" s="186">
        <v>9708</v>
      </c>
      <c r="CN24" s="186">
        <v>18194</v>
      </c>
      <c r="CO24" s="186">
        <v>2000</v>
      </c>
      <c r="CP24" s="186">
        <v>8600</v>
      </c>
      <c r="CQ24" s="186">
        <v>15435</v>
      </c>
      <c r="CR24" s="186">
        <v>25096</v>
      </c>
      <c r="CS24" s="186">
        <v>2450</v>
      </c>
      <c r="CT24" s="186">
        <v>6190</v>
      </c>
      <c r="CU24" s="186">
        <v>12840</v>
      </c>
      <c r="CV24" s="186">
        <v>5000</v>
      </c>
      <c r="CW24" s="186">
        <v>0</v>
      </c>
      <c r="CX24" s="186">
        <v>900</v>
      </c>
      <c r="CY24" s="186">
        <v>7380</v>
      </c>
      <c r="CZ24" s="186">
        <v>11094</v>
      </c>
      <c r="DA24" s="186">
        <v>0</v>
      </c>
      <c r="DB24" s="186">
        <v>2640</v>
      </c>
      <c r="DC24" s="186">
        <v>6552</v>
      </c>
    </row>
    <row r="25" spans="1:107">
      <c r="A25" s="187" t="s">
        <v>86</v>
      </c>
      <c r="B25" s="186">
        <v>3051752.44</v>
      </c>
      <c r="C25" s="186">
        <v>1012729.2000000001</v>
      </c>
      <c r="D25" s="186">
        <v>92129</v>
      </c>
      <c r="E25" s="186">
        <v>823168.32</v>
      </c>
      <c r="F25" s="186">
        <v>676531.25</v>
      </c>
      <c r="G25" s="186">
        <v>15822</v>
      </c>
      <c r="H25" s="186">
        <v>0</v>
      </c>
      <c r="I25" s="186">
        <v>11483</v>
      </c>
      <c r="J25" s="186">
        <v>4340</v>
      </c>
      <c r="K25" s="186">
        <v>20162.13</v>
      </c>
      <c r="L25" s="186">
        <v>22965</v>
      </c>
      <c r="M25" s="186">
        <v>0</v>
      </c>
      <c r="N25" s="186">
        <v>0</v>
      </c>
      <c r="O25" s="186">
        <v>0</v>
      </c>
      <c r="P25" s="186">
        <v>7143</v>
      </c>
      <c r="Q25" s="186">
        <v>35714</v>
      </c>
      <c r="R25" s="186">
        <v>4340</v>
      </c>
      <c r="S25" s="186">
        <v>107678.11</v>
      </c>
      <c r="T25" s="186">
        <v>0</v>
      </c>
      <c r="U25" s="186">
        <v>0</v>
      </c>
      <c r="V25" s="186">
        <v>0</v>
      </c>
      <c r="W25" s="186">
        <v>0</v>
      </c>
      <c r="X25" s="186">
        <v>23265</v>
      </c>
      <c r="Y25" s="186">
        <v>0</v>
      </c>
      <c r="Z25" s="186">
        <v>174286</v>
      </c>
      <c r="AA25" s="186">
        <v>0</v>
      </c>
      <c r="AB25" s="186">
        <v>184636.43</v>
      </c>
      <c r="AC25" s="186">
        <v>320819.26</v>
      </c>
      <c r="AD25" s="186">
        <v>120161.63</v>
      </c>
      <c r="AE25" s="186">
        <v>0</v>
      </c>
      <c r="AF25" s="186">
        <v>20162</v>
      </c>
      <c r="AG25" s="186">
        <v>24501</v>
      </c>
      <c r="AH25" s="186">
        <v>24501</v>
      </c>
      <c r="AI25" s="186">
        <v>22965</v>
      </c>
      <c r="AJ25" s="186">
        <v>217547.43</v>
      </c>
      <c r="AK25" s="186">
        <v>660709.25</v>
      </c>
      <c r="AL25" s="186">
        <v>15822</v>
      </c>
      <c r="AM25" s="186">
        <v>0</v>
      </c>
      <c r="AN25" s="186">
        <v>0</v>
      </c>
      <c r="AO25" s="186">
        <v>19520.11</v>
      </c>
      <c r="AP25" s="186">
        <v>11483</v>
      </c>
      <c r="AQ25" s="186">
        <v>0</v>
      </c>
      <c r="AR25" s="186">
        <v>154079</v>
      </c>
      <c r="AS25" s="186">
        <v>7143</v>
      </c>
      <c r="AT25" s="186">
        <v>38136.68</v>
      </c>
      <c r="AU25" s="186">
        <v>23639.09</v>
      </c>
      <c r="AV25" s="186">
        <v>112681.27</v>
      </c>
      <c r="AW25" s="186">
        <v>29183.08</v>
      </c>
      <c r="AX25" s="186">
        <v>71226.23</v>
      </c>
      <c r="AY25" s="186">
        <v>76471.14</v>
      </c>
      <c r="AZ25" s="186">
        <v>11749.85</v>
      </c>
      <c r="BA25" s="186">
        <v>65626.77</v>
      </c>
      <c r="BB25" s="186">
        <v>13275.94</v>
      </c>
      <c r="BC25" s="186">
        <v>12824.93</v>
      </c>
      <c r="BD25" s="186">
        <v>17913.88</v>
      </c>
      <c r="BE25" s="186">
        <v>22418.07</v>
      </c>
      <c r="BF25" s="186">
        <v>47974.720000000001</v>
      </c>
      <c r="BG25" s="186">
        <v>14932.36</v>
      </c>
      <c r="BH25" s="186">
        <v>17588.79</v>
      </c>
      <c r="BI25" s="186">
        <v>31077.79</v>
      </c>
      <c r="BJ25" s="186">
        <v>27149.08</v>
      </c>
      <c r="BK25" s="186">
        <v>17034.68</v>
      </c>
      <c r="BL25" s="186">
        <v>18623.310000000001</v>
      </c>
      <c r="BM25" s="186">
        <v>27722.43</v>
      </c>
      <c r="BN25" s="186">
        <v>11473.7</v>
      </c>
      <c r="BO25" s="186">
        <v>32105.63</v>
      </c>
      <c r="BP25" s="186">
        <v>1803.21</v>
      </c>
      <c r="BQ25" s="186">
        <v>4182.57</v>
      </c>
      <c r="BR25" s="186">
        <v>2237.33</v>
      </c>
      <c r="BS25" s="186">
        <v>4136.34</v>
      </c>
      <c r="BT25" s="186">
        <v>10157.75</v>
      </c>
      <c r="BU25" s="186">
        <v>5497.94</v>
      </c>
      <c r="BV25" s="186">
        <v>9581.32</v>
      </c>
      <c r="BW25" s="186">
        <v>3189.39</v>
      </c>
      <c r="BX25" s="186">
        <v>1743.55</v>
      </c>
      <c r="BY25" s="186">
        <v>2705.46</v>
      </c>
      <c r="BZ25" s="186">
        <v>990.81</v>
      </c>
      <c r="CA25" s="186">
        <v>7338.66</v>
      </c>
      <c r="CB25" s="186">
        <v>6215.03</v>
      </c>
      <c r="CC25" s="186">
        <v>7963.76</v>
      </c>
      <c r="CD25" s="186">
        <v>7226.07</v>
      </c>
      <c r="CE25" s="186">
        <v>1773.71</v>
      </c>
      <c r="CF25" s="186">
        <v>0</v>
      </c>
      <c r="CG25" s="186">
        <v>143.05000000000001</v>
      </c>
      <c r="CH25" s="186">
        <v>1127.6300000000001</v>
      </c>
      <c r="CI25" s="186">
        <v>0</v>
      </c>
      <c r="CJ25" s="186">
        <v>235.92</v>
      </c>
      <c r="CK25" s="186">
        <v>0</v>
      </c>
      <c r="CL25" s="186">
        <v>0</v>
      </c>
      <c r="CM25" s="186">
        <v>234.99</v>
      </c>
      <c r="CN25" s="186">
        <v>29.81</v>
      </c>
      <c r="CO25" s="186">
        <v>0</v>
      </c>
      <c r="CP25" s="186">
        <v>337.68</v>
      </c>
      <c r="CQ25" s="186">
        <v>72.87</v>
      </c>
      <c r="CR25" s="186">
        <v>0</v>
      </c>
      <c r="CS25" s="186">
        <v>686.09</v>
      </c>
      <c r="CT25" s="186">
        <v>0</v>
      </c>
      <c r="CU25" s="186">
        <v>56.31</v>
      </c>
      <c r="CV25" s="186">
        <v>0.06</v>
      </c>
      <c r="CW25" s="186">
        <v>0</v>
      </c>
      <c r="CX25" s="186">
        <v>0</v>
      </c>
      <c r="CY25" s="186">
        <v>5.59</v>
      </c>
      <c r="CZ25" s="186">
        <v>0</v>
      </c>
      <c r="DA25" s="186">
        <v>0</v>
      </c>
      <c r="DB25" s="186">
        <v>1.77</v>
      </c>
      <c r="DC25" s="186">
        <v>0</v>
      </c>
    </row>
    <row r="26" spans="1:107">
      <c r="A26" s="187" t="s">
        <v>88</v>
      </c>
      <c r="B26" s="186">
        <v>1782129.49</v>
      </c>
      <c r="C26" s="186">
        <v>1001370.98</v>
      </c>
      <c r="D26" s="186">
        <v>0</v>
      </c>
      <c r="E26" s="186">
        <v>1886.8</v>
      </c>
      <c r="F26" s="186">
        <v>0</v>
      </c>
      <c r="G26" s="186">
        <v>0</v>
      </c>
      <c r="H26" s="186">
        <v>0</v>
      </c>
      <c r="I26" s="186">
        <v>0</v>
      </c>
      <c r="J26" s="186">
        <v>687625.29</v>
      </c>
      <c r="K26" s="186">
        <v>0</v>
      </c>
      <c r="L26" s="186">
        <v>0</v>
      </c>
      <c r="M26" s="186">
        <v>0</v>
      </c>
      <c r="N26" s="186">
        <v>0</v>
      </c>
      <c r="O26" s="186">
        <v>70226.42</v>
      </c>
      <c r="P26" s="186">
        <v>0</v>
      </c>
      <c r="Q26" s="186">
        <v>0</v>
      </c>
      <c r="R26" s="186">
        <v>0</v>
      </c>
      <c r="S26" s="186">
        <v>21020</v>
      </c>
      <c r="T26" s="186">
        <v>0</v>
      </c>
      <c r="U26" s="186">
        <v>0</v>
      </c>
      <c r="V26" s="186">
        <v>0</v>
      </c>
      <c r="W26" s="186">
        <v>0</v>
      </c>
      <c r="X26" s="186">
        <v>0</v>
      </c>
      <c r="Y26" s="186">
        <v>0</v>
      </c>
      <c r="Z26" s="186">
        <v>0</v>
      </c>
      <c r="AA26" s="186">
        <v>0</v>
      </c>
      <c r="AB26" s="186">
        <v>1886.8</v>
      </c>
      <c r="AC26" s="186">
        <v>0</v>
      </c>
      <c r="AD26" s="186">
        <v>0</v>
      </c>
      <c r="AE26" s="186">
        <v>0</v>
      </c>
      <c r="AF26" s="186">
        <v>0</v>
      </c>
      <c r="AG26" s="186">
        <v>0</v>
      </c>
      <c r="AH26" s="186">
        <v>0</v>
      </c>
      <c r="AI26" s="186">
        <v>0</v>
      </c>
      <c r="AJ26" s="186">
        <v>0</v>
      </c>
      <c r="AK26" s="186">
        <v>0</v>
      </c>
      <c r="AL26" s="186">
        <v>0</v>
      </c>
      <c r="AM26" s="186">
        <v>0</v>
      </c>
      <c r="AN26" s="186">
        <v>0</v>
      </c>
      <c r="AO26" s="186">
        <v>336805.61</v>
      </c>
      <c r="AP26" s="186">
        <v>3000</v>
      </c>
      <c r="AQ26" s="186">
        <v>13925.94</v>
      </c>
      <c r="AR26" s="186">
        <v>0</v>
      </c>
      <c r="AS26" s="186">
        <v>198799.73</v>
      </c>
      <c r="AT26" s="186">
        <v>0</v>
      </c>
      <c r="AU26" s="186">
        <v>0</v>
      </c>
      <c r="AV26" s="186">
        <v>118490.06</v>
      </c>
      <c r="AW26" s="186">
        <v>0</v>
      </c>
      <c r="AX26" s="186">
        <v>129722.47</v>
      </c>
      <c r="AY26" s="186">
        <v>46289</v>
      </c>
      <c r="AZ26" s="186">
        <v>7526.4</v>
      </c>
      <c r="BA26" s="186">
        <v>0</v>
      </c>
      <c r="BB26" s="186">
        <v>0</v>
      </c>
      <c r="BC26" s="186">
        <v>0</v>
      </c>
      <c r="BD26" s="186">
        <v>4237</v>
      </c>
      <c r="BE26" s="186">
        <v>0</v>
      </c>
      <c r="BF26" s="186">
        <v>0</v>
      </c>
      <c r="BG26" s="186">
        <v>0</v>
      </c>
      <c r="BH26" s="186">
        <v>6292</v>
      </c>
      <c r="BI26" s="186">
        <v>22603.57</v>
      </c>
      <c r="BJ26" s="186">
        <v>0</v>
      </c>
      <c r="BK26" s="186">
        <v>0</v>
      </c>
      <c r="BL26" s="186">
        <v>0</v>
      </c>
      <c r="BM26" s="186">
        <v>0</v>
      </c>
      <c r="BN26" s="186">
        <v>0</v>
      </c>
      <c r="BO26" s="186">
        <v>98804</v>
      </c>
      <c r="BP26" s="186">
        <v>0</v>
      </c>
      <c r="BQ26" s="186">
        <v>9800</v>
      </c>
      <c r="BR26" s="186">
        <v>0</v>
      </c>
      <c r="BS26" s="186">
        <v>0</v>
      </c>
      <c r="BT26" s="186">
        <v>0</v>
      </c>
      <c r="BU26" s="186">
        <v>2662.2</v>
      </c>
      <c r="BV26" s="186">
        <v>0</v>
      </c>
      <c r="BW26" s="186">
        <v>0</v>
      </c>
      <c r="BX26" s="186">
        <v>0</v>
      </c>
      <c r="BY26" s="186">
        <v>0</v>
      </c>
      <c r="BZ26" s="186">
        <v>0</v>
      </c>
      <c r="CA26" s="186">
        <v>2413</v>
      </c>
      <c r="CB26" s="186">
        <v>0</v>
      </c>
      <c r="CC26" s="186">
        <v>0</v>
      </c>
      <c r="CD26" s="186">
        <v>0</v>
      </c>
      <c r="CE26" s="186">
        <v>0</v>
      </c>
      <c r="CF26" s="186">
        <v>0</v>
      </c>
      <c r="CG26" s="186">
        <v>0</v>
      </c>
      <c r="CH26" s="186">
        <v>0</v>
      </c>
      <c r="CI26" s="186">
        <v>0</v>
      </c>
      <c r="CJ26" s="186">
        <v>0</v>
      </c>
      <c r="CK26" s="186">
        <v>0</v>
      </c>
      <c r="CL26" s="186">
        <v>0</v>
      </c>
      <c r="CM26" s="186">
        <v>0</v>
      </c>
      <c r="CN26" s="186">
        <v>0</v>
      </c>
      <c r="CO26" s="186">
        <v>0</v>
      </c>
      <c r="CP26" s="186">
        <v>0</v>
      </c>
      <c r="CQ26" s="186">
        <v>0</v>
      </c>
      <c r="CR26" s="186">
        <v>0</v>
      </c>
      <c r="CS26" s="186">
        <v>0</v>
      </c>
      <c r="CT26" s="186">
        <v>0</v>
      </c>
      <c r="CU26" s="186">
        <v>0</v>
      </c>
      <c r="CV26" s="186">
        <v>0</v>
      </c>
      <c r="CW26" s="186">
        <v>0</v>
      </c>
      <c r="CX26" s="186">
        <v>0</v>
      </c>
      <c r="CY26" s="186">
        <v>0</v>
      </c>
      <c r="CZ26" s="186">
        <v>0</v>
      </c>
      <c r="DA26" s="186">
        <v>0</v>
      </c>
      <c r="DB26" s="186">
        <v>0</v>
      </c>
      <c r="DC26" s="186">
        <v>0</v>
      </c>
    </row>
    <row r="27" spans="1:107">
      <c r="A27" s="187" t="s">
        <v>89</v>
      </c>
      <c r="B27" s="186">
        <v>588485.03</v>
      </c>
      <c r="C27" s="186">
        <v>343866.35</v>
      </c>
      <c r="D27" s="186">
        <v>151904.79</v>
      </c>
      <c r="E27" s="186">
        <v>6578.1</v>
      </c>
      <c r="F27" s="186">
        <v>736.75</v>
      </c>
      <c r="G27" s="186">
        <v>0</v>
      </c>
      <c r="H27" s="186">
        <v>0</v>
      </c>
      <c r="I27" s="186">
        <v>22855</v>
      </c>
      <c r="J27" s="186">
        <v>49518.64</v>
      </c>
      <c r="K27" s="186">
        <v>1400</v>
      </c>
      <c r="L27" s="186">
        <v>420</v>
      </c>
      <c r="M27" s="186">
        <v>2400</v>
      </c>
      <c r="N27" s="186">
        <v>0</v>
      </c>
      <c r="O27" s="186">
        <v>304</v>
      </c>
      <c r="P27" s="186">
        <v>660</v>
      </c>
      <c r="Q27" s="186">
        <v>66</v>
      </c>
      <c r="R27" s="186">
        <v>594</v>
      </c>
      <c r="S27" s="186">
        <v>1518</v>
      </c>
      <c r="T27" s="186">
        <v>330</v>
      </c>
      <c r="U27" s="186">
        <v>2536</v>
      </c>
      <c r="V27" s="186">
        <v>0</v>
      </c>
      <c r="W27" s="186">
        <v>0</v>
      </c>
      <c r="X27" s="186">
        <v>-161.9</v>
      </c>
      <c r="Y27" s="186">
        <v>0</v>
      </c>
      <c r="Z27" s="186">
        <v>3383</v>
      </c>
      <c r="AA27" s="186">
        <v>0</v>
      </c>
      <c r="AB27" s="186">
        <v>66</v>
      </c>
      <c r="AC27" s="186">
        <v>2018</v>
      </c>
      <c r="AD27" s="186">
        <v>1273</v>
      </c>
      <c r="AE27" s="186">
        <v>0</v>
      </c>
      <c r="AF27" s="186">
        <v>957</v>
      </c>
      <c r="AG27" s="186">
        <v>94185.72</v>
      </c>
      <c r="AH27" s="186">
        <v>30213.41</v>
      </c>
      <c r="AI27" s="186">
        <v>26548.66</v>
      </c>
      <c r="AJ27" s="186">
        <v>2797.4</v>
      </c>
      <c r="AK27" s="186">
        <v>536.75</v>
      </c>
      <c r="AL27" s="186">
        <v>0</v>
      </c>
      <c r="AM27" s="186">
        <v>200</v>
      </c>
      <c r="AN27" s="186">
        <v>0</v>
      </c>
      <c r="AO27" s="186">
        <v>1767</v>
      </c>
      <c r="AP27" s="186">
        <v>5033</v>
      </c>
      <c r="AQ27" s="186">
        <v>1915</v>
      </c>
      <c r="AR27" s="186">
        <v>3290</v>
      </c>
      <c r="AS27" s="186">
        <v>11920</v>
      </c>
      <c r="AT27" s="186">
        <v>3941</v>
      </c>
      <c r="AU27" s="186">
        <v>7281.9</v>
      </c>
      <c r="AV27" s="186">
        <v>6181.2</v>
      </c>
      <c r="AW27" s="186">
        <v>4790</v>
      </c>
      <c r="AX27" s="186">
        <v>1433</v>
      </c>
      <c r="AY27" s="186">
        <v>8796</v>
      </c>
      <c r="AZ27" s="186">
        <v>13635</v>
      </c>
      <c r="BA27" s="186">
        <v>10834</v>
      </c>
      <c r="BB27" s="186">
        <v>5926</v>
      </c>
      <c r="BC27" s="186">
        <v>1776</v>
      </c>
      <c r="BD27" s="186">
        <v>6693.32</v>
      </c>
      <c r="BE27" s="186">
        <v>2353</v>
      </c>
      <c r="BF27" s="186">
        <v>19135</v>
      </c>
      <c r="BG27" s="186">
        <v>4680</v>
      </c>
      <c r="BH27" s="186">
        <v>3340</v>
      </c>
      <c r="BI27" s="186">
        <v>15822</v>
      </c>
      <c r="BJ27" s="186">
        <v>2237</v>
      </c>
      <c r="BK27" s="186">
        <v>13809</v>
      </c>
      <c r="BL27" s="186">
        <v>4093</v>
      </c>
      <c r="BM27" s="186">
        <v>54506</v>
      </c>
      <c r="BN27" s="186">
        <v>21973.87</v>
      </c>
      <c r="BO27" s="186">
        <v>2329.5</v>
      </c>
      <c r="BP27" s="186">
        <v>3932</v>
      </c>
      <c r="BQ27" s="186">
        <v>3944.5</v>
      </c>
      <c r="BR27" s="186">
        <v>5945.5</v>
      </c>
      <c r="BS27" s="186">
        <v>6230</v>
      </c>
      <c r="BT27" s="186">
        <v>2797.7</v>
      </c>
      <c r="BU27" s="186">
        <v>15415</v>
      </c>
      <c r="BV27" s="186">
        <v>11150</v>
      </c>
      <c r="BW27" s="186">
        <v>4297</v>
      </c>
      <c r="BX27" s="186">
        <v>8023.7</v>
      </c>
      <c r="BY27" s="186">
        <v>325</v>
      </c>
      <c r="BZ27" s="186">
        <v>1686</v>
      </c>
      <c r="CA27" s="186">
        <v>2726</v>
      </c>
      <c r="CB27" s="186">
        <v>5131.3</v>
      </c>
      <c r="CC27" s="186">
        <v>6444</v>
      </c>
      <c r="CD27" s="186">
        <v>4575</v>
      </c>
      <c r="CE27" s="186">
        <v>0</v>
      </c>
      <c r="CF27" s="186">
        <v>0</v>
      </c>
      <c r="CG27" s="186">
        <v>2265</v>
      </c>
      <c r="CH27" s="186">
        <v>1880</v>
      </c>
      <c r="CI27" s="186">
        <v>3970</v>
      </c>
      <c r="CJ27" s="186">
        <v>180</v>
      </c>
      <c r="CK27" s="186">
        <v>0</v>
      </c>
      <c r="CL27" s="186">
        <v>0</v>
      </c>
      <c r="CM27" s="186">
        <v>1138</v>
      </c>
      <c r="CN27" s="186">
        <v>822</v>
      </c>
      <c r="CO27" s="186">
        <v>0</v>
      </c>
      <c r="CP27" s="186">
        <v>2150</v>
      </c>
      <c r="CQ27" s="186">
        <v>2006</v>
      </c>
      <c r="CR27" s="186">
        <v>0</v>
      </c>
      <c r="CS27" s="186">
        <v>1150</v>
      </c>
      <c r="CT27" s="186">
        <v>0</v>
      </c>
      <c r="CU27" s="186">
        <v>4342.8</v>
      </c>
      <c r="CV27" s="186">
        <v>0</v>
      </c>
      <c r="CW27" s="186">
        <v>0</v>
      </c>
      <c r="CX27" s="186">
        <v>0</v>
      </c>
      <c r="CY27" s="186">
        <v>0</v>
      </c>
      <c r="CZ27" s="186">
        <v>0</v>
      </c>
      <c r="DA27" s="186">
        <v>0</v>
      </c>
      <c r="DB27" s="186">
        <v>1849.06</v>
      </c>
      <c r="DC27" s="186">
        <v>0</v>
      </c>
    </row>
    <row r="28" spans="1:107">
      <c r="A28" s="187" t="s">
        <v>93</v>
      </c>
      <c r="B28" s="186">
        <v>115087.91000000002</v>
      </c>
      <c r="C28" s="186">
        <v>72904.710000000006</v>
      </c>
      <c r="D28" s="186">
        <v>3413.1</v>
      </c>
      <c r="E28" s="186">
        <v>6759.66</v>
      </c>
      <c r="F28" s="186">
        <v>620.09999999999991</v>
      </c>
      <c r="G28" s="186">
        <v>9569</v>
      </c>
      <c r="H28" s="186">
        <v>228</v>
      </c>
      <c r="I28" s="186">
        <v>2982.68</v>
      </c>
      <c r="J28" s="186">
        <v>3680</v>
      </c>
      <c r="K28" s="186">
        <v>1189.0999999999999</v>
      </c>
      <c r="L28" s="186">
        <v>0</v>
      </c>
      <c r="M28" s="186">
        <v>1580</v>
      </c>
      <c r="N28" s="186">
        <v>0</v>
      </c>
      <c r="O28" s="186">
        <v>648</v>
      </c>
      <c r="P28" s="186">
        <v>1311.5</v>
      </c>
      <c r="Q28" s="186">
        <v>528</v>
      </c>
      <c r="R28" s="186">
        <v>2006.26</v>
      </c>
      <c r="S28" s="186">
        <v>3479.8</v>
      </c>
      <c r="T28" s="186">
        <v>408</v>
      </c>
      <c r="U28" s="186">
        <v>0</v>
      </c>
      <c r="V28" s="186">
        <v>0</v>
      </c>
      <c r="W28" s="186">
        <v>0</v>
      </c>
      <c r="X28" s="186">
        <v>2651</v>
      </c>
      <c r="Y28" s="186">
        <v>0</v>
      </c>
      <c r="Z28" s="186">
        <v>440</v>
      </c>
      <c r="AA28" s="186">
        <v>0</v>
      </c>
      <c r="AB28" s="186">
        <v>1488</v>
      </c>
      <c r="AC28" s="186">
        <v>1740.66</v>
      </c>
      <c r="AD28" s="186">
        <v>440</v>
      </c>
      <c r="AE28" s="186">
        <v>0</v>
      </c>
      <c r="AF28" s="186">
        <v>0</v>
      </c>
      <c r="AG28" s="186">
        <v>540</v>
      </c>
      <c r="AH28" s="186">
        <v>1608</v>
      </c>
      <c r="AI28" s="186">
        <v>1265.0999999999999</v>
      </c>
      <c r="AJ28" s="186">
        <v>3780</v>
      </c>
      <c r="AK28" s="186">
        <v>262.89999999999998</v>
      </c>
      <c r="AL28" s="186">
        <v>357.2</v>
      </c>
      <c r="AM28" s="186">
        <v>0</v>
      </c>
      <c r="AN28" s="186">
        <v>0</v>
      </c>
      <c r="AO28" s="186">
        <v>7896</v>
      </c>
      <c r="AP28" s="186">
        <v>0</v>
      </c>
      <c r="AQ28" s="186">
        <v>0</v>
      </c>
      <c r="AR28" s="186">
        <v>0</v>
      </c>
      <c r="AS28" s="186">
        <v>4115.05</v>
      </c>
      <c r="AT28" s="186">
        <v>0</v>
      </c>
      <c r="AU28" s="186">
        <v>0</v>
      </c>
      <c r="AV28" s="186">
        <v>1388.3</v>
      </c>
      <c r="AW28" s="186">
        <v>20796</v>
      </c>
      <c r="AX28" s="186">
        <v>0</v>
      </c>
      <c r="AY28" s="186">
        <v>5280</v>
      </c>
      <c r="AZ28" s="186">
        <v>1800</v>
      </c>
      <c r="BA28" s="186">
        <v>2000</v>
      </c>
      <c r="BB28" s="186">
        <v>0</v>
      </c>
      <c r="BC28" s="186">
        <v>421</v>
      </c>
      <c r="BD28" s="186">
        <v>3696</v>
      </c>
      <c r="BE28" s="186">
        <v>0</v>
      </c>
      <c r="BF28" s="186">
        <v>19140</v>
      </c>
      <c r="BG28" s="186">
        <v>217.4</v>
      </c>
      <c r="BH28" s="186">
        <v>0</v>
      </c>
      <c r="BI28" s="186">
        <v>0</v>
      </c>
      <c r="BJ28" s="186">
        <v>0</v>
      </c>
      <c r="BK28" s="186">
        <v>1097.8</v>
      </c>
      <c r="BL28" s="186">
        <v>0</v>
      </c>
      <c r="BM28" s="186">
        <v>0</v>
      </c>
      <c r="BN28" s="186">
        <v>0</v>
      </c>
      <c r="BO28" s="186">
        <v>1140</v>
      </c>
      <c r="BP28" s="186">
        <v>0</v>
      </c>
      <c r="BQ28" s="186">
        <v>437.16</v>
      </c>
      <c r="BR28" s="186">
        <v>1050</v>
      </c>
      <c r="BS28" s="186">
        <v>0</v>
      </c>
      <c r="BT28" s="186">
        <v>0</v>
      </c>
      <c r="BU28" s="186">
        <v>166.6</v>
      </c>
      <c r="BV28" s="186">
        <v>0</v>
      </c>
      <c r="BW28" s="186">
        <v>0</v>
      </c>
      <c r="BX28" s="186">
        <v>162.19999999999999</v>
      </c>
      <c r="BY28" s="186">
        <v>980.6</v>
      </c>
      <c r="BZ28" s="186">
        <v>0</v>
      </c>
      <c r="CA28" s="186">
        <v>0</v>
      </c>
      <c r="CB28" s="186">
        <v>0</v>
      </c>
      <c r="CC28" s="186">
        <v>0</v>
      </c>
      <c r="CD28" s="186">
        <v>0</v>
      </c>
      <c r="CE28" s="186">
        <v>0</v>
      </c>
      <c r="CF28" s="186">
        <v>0</v>
      </c>
      <c r="CG28" s="186">
        <v>222</v>
      </c>
      <c r="CH28" s="186">
        <v>105</v>
      </c>
      <c r="CI28" s="186">
        <v>0</v>
      </c>
      <c r="CJ28" s="186">
        <v>0</v>
      </c>
      <c r="CK28" s="186">
        <v>0</v>
      </c>
      <c r="CL28" s="186">
        <v>0</v>
      </c>
      <c r="CM28" s="186">
        <v>0</v>
      </c>
      <c r="CN28" s="186">
        <v>0</v>
      </c>
      <c r="CO28" s="186">
        <v>0</v>
      </c>
      <c r="CP28" s="186">
        <v>438.9</v>
      </c>
      <c r="CQ28" s="186">
        <v>0</v>
      </c>
      <c r="CR28" s="186">
        <v>0</v>
      </c>
      <c r="CS28" s="186">
        <v>0</v>
      </c>
      <c r="CT28" s="186">
        <v>0</v>
      </c>
      <c r="CU28" s="186">
        <v>354.7</v>
      </c>
      <c r="CV28" s="186">
        <v>0</v>
      </c>
      <c r="CW28" s="186">
        <v>0</v>
      </c>
      <c r="CX28" s="186">
        <v>0</v>
      </c>
      <c r="CY28" s="186">
        <v>0</v>
      </c>
      <c r="CZ28" s="186">
        <v>0</v>
      </c>
      <c r="DA28" s="186">
        <v>0</v>
      </c>
      <c r="DB28" s="186">
        <v>0</v>
      </c>
      <c r="DC28" s="186">
        <v>0</v>
      </c>
    </row>
    <row r="29" spans="1:107">
      <c r="A29" s="187" t="s">
        <v>94</v>
      </c>
      <c r="B29" s="186">
        <v>523101.05</v>
      </c>
      <c r="C29" s="186">
        <v>211797.08000000002</v>
      </c>
      <c r="D29" s="186">
        <v>196581.78999999998</v>
      </c>
      <c r="E29" s="186">
        <v>46382.65</v>
      </c>
      <c r="F29" s="186">
        <v>13780.1</v>
      </c>
      <c r="G29" s="186">
        <v>14274.34</v>
      </c>
      <c r="H29" s="186">
        <v>2042</v>
      </c>
      <c r="I29" s="186">
        <v>4300.95</v>
      </c>
      <c r="J29" s="186">
        <v>7832.2199999999993</v>
      </c>
      <c r="K29" s="186">
        <v>8682.2099999999991</v>
      </c>
      <c r="L29" s="186">
        <v>5375.02</v>
      </c>
      <c r="M29" s="186">
        <v>3945.5499999999997</v>
      </c>
      <c r="N29" s="186">
        <v>1987.1</v>
      </c>
      <c r="O29" s="186">
        <v>0</v>
      </c>
      <c r="P29" s="186">
        <v>1044.8699999999999</v>
      </c>
      <c r="Q29" s="186">
        <v>378.41</v>
      </c>
      <c r="R29" s="186">
        <v>827.43000000000006</v>
      </c>
      <c r="S29" s="186">
        <v>1776.65</v>
      </c>
      <c r="T29" s="186">
        <v>758.23</v>
      </c>
      <c r="U29" s="186">
        <v>919.59</v>
      </c>
      <c r="V29" s="186">
        <v>0</v>
      </c>
      <c r="W29" s="186">
        <v>0</v>
      </c>
      <c r="X29" s="186">
        <v>3691.6000000000004</v>
      </c>
      <c r="Y29" s="186">
        <v>0</v>
      </c>
      <c r="Z29" s="186">
        <v>7770.24</v>
      </c>
      <c r="AA29" s="186">
        <v>0</v>
      </c>
      <c r="AB29" s="186">
        <v>4840.3499999999995</v>
      </c>
      <c r="AC29" s="186">
        <v>9750.5300000000007</v>
      </c>
      <c r="AD29" s="186">
        <v>20329.93</v>
      </c>
      <c r="AE29" s="186">
        <v>0</v>
      </c>
      <c r="AF29" s="186">
        <v>15180.6</v>
      </c>
      <c r="AG29" s="186">
        <v>57900.979999999996</v>
      </c>
      <c r="AH29" s="186">
        <v>38490.97</v>
      </c>
      <c r="AI29" s="186">
        <v>85009.239999999991</v>
      </c>
      <c r="AJ29" s="186">
        <v>414.86</v>
      </c>
      <c r="AK29" s="186">
        <v>8169.8700000000008</v>
      </c>
      <c r="AL29" s="186">
        <v>3075.39</v>
      </c>
      <c r="AM29" s="186">
        <v>2534.84</v>
      </c>
      <c r="AN29" s="186">
        <v>0</v>
      </c>
      <c r="AO29" s="186">
        <v>1085.0999999999999</v>
      </c>
      <c r="AP29" s="186">
        <v>1636.35</v>
      </c>
      <c r="AQ29" s="186">
        <v>7796.27</v>
      </c>
      <c r="AR29" s="186">
        <v>825.7</v>
      </c>
      <c r="AS29" s="186">
        <v>2061.63</v>
      </c>
      <c r="AT29" s="186">
        <v>200</v>
      </c>
      <c r="AU29" s="186">
        <v>3721</v>
      </c>
      <c r="AV29" s="186">
        <v>307</v>
      </c>
      <c r="AW29" s="186">
        <v>1525.5</v>
      </c>
      <c r="AX29" s="186">
        <v>86</v>
      </c>
      <c r="AY29" s="186">
        <v>991</v>
      </c>
      <c r="AZ29" s="186">
        <v>0</v>
      </c>
      <c r="BA29" s="186">
        <v>1956</v>
      </c>
      <c r="BB29" s="186">
        <v>3699.9</v>
      </c>
      <c r="BC29" s="186">
        <v>1883</v>
      </c>
      <c r="BD29" s="186">
        <v>242.6</v>
      </c>
      <c r="BE29" s="186">
        <v>931</v>
      </c>
      <c r="BF29" s="186">
        <v>3911.5</v>
      </c>
      <c r="BG29" s="186">
        <v>11298.2</v>
      </c>
      <c r="BH29" s="186">
        <v>2046</v>
      </c>
      <c r="BI29" s="186">
        <v>1135</v>
      </c>
      <c r="BJ29" s="186">
        <v>0</v>
      </c>
      <c r="BK29" s="186">
        <v>683.4</v>
      </c>
      <c r="BL29" s="186">
        <v>0</v>
      </c>
      <c r="BM29" s="186">
        <v>0</v>
      </c>
      <c r="BN29" s="186">
        <v>2211.1</v>
      </c>
      <c r="BO29" s="186">
        <v>5097.7</v>
      </c>
      <c r="BP29" s="186">
        <v>2444</v>
      </c>
      <c r="BQ29" s="186">
        <v>2691</v>
      </c>
      <c r="BR29" s="186">
        <v>0</v>
      </c>
      <c r="BS29" s="186">
        <v>83</v>
      </c>
      <c r="BT29" s="186">
        <v>0</v>
      </c>
      <c r="BU29" s="186">
        <v>2000.5</v>
      </c>
      <c r="BV29" s="186">
        <v>0</v>
      </c>
      <c r="BW29" s="186">
        <v>5939.71</v>
      </c>
      <c r="BX29" s="186">
        <v>949.6</v>
      </c>
      <c r="BY29" s="186">
        <v>5394</v>
      </c>
      <c r="BZ29" s="186">
        <v>0</v>
      </c>
      <c r="CA29" s="186">
        <v>877.4</v>
      </c>
      <c r="CB29" s="186">
        <v>1957</v>
      </c>
      <c r="CC29" s="186">
        <v>14633.3</v>
      </c>
      <c r="CD29" s="186">
        <v>2184.8000000000002</v>
      </c>
      <c r="CE29" s="186">
        <v>3503.3</v>
      </c>
      <c r="CF29" s="186">
        <v>3607.55</v>
      </c>
      <c r="CG29" s="186">
        <v>4129.2</v>
      </c>
      <c r="CH29" s="186">
        <v>13057.199999999999</v>
      </c>
      <c r="CI29" s="186">
        <v>4228</v>
      </c>
      <c r="CJ29" s="186">
        <v>8070.4</v>
      </c>
      <c r="CK29" s="186">
        <v>5457.4</v>
      </c>
      <c r="CL29" s="186">
        <v>5756</v>
      </c>
      <c r="CM29" s="186">
        <v>8273.2000000000007</v>
      </c>
      <c r="CN29" s="186">
        <v>8352.5</v>
      </c>
      <c r="CO29" s="186">
        <v>3000</v>
      </c>
      <c r="CP29" s="186">
        <v>7744.5</v>
      </c>
      <c r="CQ29" s="186">
        <v>8001.5</v>
      </c>
      <c r="CR29" s="186">
        <v>3231</v>
      </c>
      <c r="CS29" s="186">
        <v>5305.4</v>
      </c>
      <c r="CT29" s="186">
        <v>3494.8999999999996</v>
      </c>
      <c r="CU29" s="186">
        <v>8899.1</v>
      </c>
      <c r="CV29" s="186">
        <v>5439.4</v>
      </c>
      <c r="CW29" s="186">
        <v>745.66</v>
      </c>
      <c r="CX29" s="186">
        <v>141.52000000000001</v>
      </c>
      <c r="CY29" s="186">
        <v>5047.45</v>
      </c>
      <c r="CZ29" s="186">
        <v>734.44</v>
      </c>
      <c r="DA29" s="186">
        <v>0</v>
      </c>
      <c r="DB29" s="186">
        <v>1092.2</v>
      </c>
      <c r="DC29" s="186">
        <v>0</v>
      </c>
    </row>
    <row r="30" spans="1:107">
      <c r="A30" s="187" t="s">
        <v>90</v>
      </c>
      <c r="B30" s="186">
        <v>1666306.3300000003</v>
      </c>
      <c r="C30" s="186">
        <v>857338.09000000008</v>
      </c>
      <c r="D30" s="186">
        <v>47321</v>
      </c>
      <c r="E30" s="186">
        <v>121932.78</v>
      </c>
      <c r="F30" s="186">
        <v>112648.97</v>
      </c>
      <c r="G30" s="186">
        <v>120133.61</v>
      </c>
      <c r="H30" s="186">
        <v>0</v>
      </c>
      <c r="I30" s="186">
        <v>0</v>
      </c>
      <c r="J30" s="186">
        <v>304985.86000000004</v>
      </c>
      <c r="K30" s="186">
        <v>2330</v>
      </c>
      <c r="L30" s="186">
        <v>0</v>
      </c>
      <c r="M30" s="186">
        <v>0</v>
      </c>
      <c r="N30" s="186">
        <v>77616.02</v>
      </c>
      <c r="O30" s="186">
        <v>0</v>
      </c>
      <c r="P30" s="186">
        <v>0</v>
      </c>
      <c r="Q30" s="186">
        <v>0</v>
      </c>
      <c r="R30" s="186">
        <v>0</v>
      </c>
      <c r="S30" s="186">
        <v>0</v>
      </c>
      <c r="T30" s="186">
        <v>0</v>
      </c>
      <c r="U30" s="186">
        <v>0</v>
      </c>
      <c r="V30" s="186">
        <v>20000</v>
      </c>
      <c r="W30" s="186">
        <v>0</v>
      </c>
      <c r="X30" s="186">
        <v>109697.78</v>
      </c>
      <c r="Y30" s="186">
        <v>0</v>
      </c>
      <c r="Z30" s="186">
        <v>9376</v>
      </c>
      <c r="AA30" s="186">
        <v>0</v>
      </c>
      <c r="AB30" s="186">
        <v>0</v>
      </c>
      <c r="AC30" s="186">
        <v>0</v>
      </c>
      <c r="AD30" s="186">
        <v>2859</v>
      </c>
      <c r="AE30" s="186">
        <v>0</v>
      </c>
      <c r="AF30" s="186">
        <v>36439</v>
      </c>
      <c r="AG30" s="186">
        <v>2482</v>
      </c>
      <c r="AH30" s="186">
        <v>3150</v>
      </c>
      <c r="AI30" s="186">
        <v>5250</v>
      </c>
      <c r="AJ30" s="186">
        <v>2000</v>
      </c>
      <c r="AK30" s="186">
        <v>24000</v>
      </c>
      <c r="AL30" s="186">
        <v>88648.97</v>
      </c>
      <c r="AM30" s="186">
        <v>0</v>
      </c>
      <c r="AN30" s="186">
        <v>0</v>
      </c>
      <c r="AO30" s="186">
        <v>16097</v>
      </c>
      <c r="AP30" s="186">
        <v>5020</v>
      </c>
      <c r="AQ30" s="186">
        <v>12498</v>
      </c>
      <c r="AR30" s="186">
        <v>9000</v>
      </c>
      <c r="AS30" s="186">
        <v>8800</v>
      </c>
      <c r="AT30" s="186">
        <v>18686.36</v>
      </c>
      <c r="AU30" s="186">
        <v>0</v>
      </c>
      <c r="AV30" s="186">
        <v>21211</v>
      </c>
      <c r="AW30" s="186">
        <v>28444.7</v>
      </c>
      <c r="AX30" s="186">
        <v>5350</v>
      </c>
      <c r="AY30" s="186">
        <v>28051.82</v>
      </c>
      <c r="AZ30" s="186">
        <v>11330.68</v>
      </c>
      <c r="BA30" s="186">
        <v>29043.05</v>
      </c>
      <c r="BB30" s="186">
        <v>31383.49</v>
      </c>
      <c r="BC30" s="186">
        <v>0</v>
      </c>
      <c r="BD30" s="186">
        <v>29917.64</v>
      </c>
      <c r="BE30" s="186">
        <v>6919</v>
      </c>
      <c r="BF30" s="186">
        <v>13749</v>
      </c>
      <c r="BG30" s="186">
        <v>18287.150000000001</v>
      </c>
      <c r="BH30" s="186">
        <v>60327.5</v>
      </c>
      <c r="BI30" s="186">
        <v>21419.98</v>
      </c>
      <c r="BJ30" s="186">
        <v>0</v>
      </c>
      <c r="BK30" s="186">
        <v>44233.78</v>
      </c>
      <c r="BL30" s="186">
        <v>31495.46</v>
      </c>
      <c r="BM30" s="186">
        <v>14223.4</v>
      </c>
      <c r="BN30" s="186">
        <v>30530.21</v>
      </c>
      <c r="BO30" s="186">
        <v>0</v>
      </c>
      <c r="BP30" s="186">
        <v>18967</v>
      </c>
      <c r="BQ30" s="186">
        <v>14920</v>
      </c>
      <c r="BR30" s="186">
        <v>13500</v>
      </c>
      <c r="BS30" s="186">
        <v>2000</v>
      </c>
      <c r="BT30" s="186">
        <v>8499</v>
      </c>
      <c r="BU30" s="186">
        <v>38631.26</v>
      </c>
      <c r="BV30" s="186">
        <v>0</v>
      </c>
      <c r="BW30" s="186">
        <v>0</v>
      </c>
      <c r="BX30" s="186">
        <v>5100</v>
      </c>
      <c r="BY30" s="186">
        <v>29020.2</v>
      </c>
      <c r="BZ30" s="186">
        <v>8060</v>
      </c>
      <c r="CA30" s="186">
        <v>14539.029999999999</v>
      </c>
      <c r="CB30" s="186">
        <v>23009</v>
      </c>
      <c r="CC30" s="186">
        <v>20464</v>
      </c>
      <c r="CD30" s="186">
        <v>35573.54</v>
      </c>
      <c r="CE30" s="186">
        <v>1611</v>
      </c>
      <c r="CF30" s="186">
        <v>0</v>
      </c>
      <c r="CG30" s="186">
        <v>12822.44</v>
      </c>
      <c r="CH30" s="186">
        <v>9494.4</v>
      </c>
      <c r="CI30" s="186">
        <v>476</v>
      </c>
      <c r="CJ30" s="186">
        <v>1800</v>
      </c>
      <c r="CK30" s="186">
        <v>6192</v>
      </c>
      <c r="CL30" s="186">
        <v>7200</v>
      </c>
      <c r="CM30" s="186">
        <v>19804</v>
      </c>
      <c r="CN30" s="186">
        <v>7199</v>
      </c>
      <c r="CO30" s="186">
        <v>0</v>
      </c>
      <c r="CP30" s="186">
        <v>5400</v>
      </c>
      <c r="CQ30" s="186">
        <v>7220</v>
      </c>
      <c r="CR30" s="186">
        <v>0</v>
      </c>
      <c r="CS30" s="186">
        <v>11324</v>
      </c>
      <c r="CT30" s="186">
        <v>0</v>
      </c>
      <c r="CU30" s="186">
        <v>16909</v>
      </c>
      <c r="CV30" s="186">
        <v>7639</v>
      </c>
      <c r="CW30" s="186">
        <v>0</v>
      </c>
      <c r="CX30" s="186">
        <v>3700</v>
      </c>
      <c r="CY30" s="186">
        <v>9248</v>
      </c>
      <c r="CZ30" s="186">
        <v>0</v>
      </c>
      <c r="DA30" s="186">
        <v>0</v>
      </c>
      <c r="DB30" s="186">
        <v>997</v>
      </c>
      <c r="DC30" s="186">
        <v>0</v>
      </c>
    </row>
    <row r="31" spans="1:107">
      <c r="A31" s="187" t="s">
        <v>85</v>
      </c>
      <c r="B31" s="186">
        <v>3651278.1700000013</v>
      </c>
      <c r="C31" s="186">
        <v>3333109.7900000014</v>
      </c>
      <c r="D31" s="186">
        <v>1997</v>
      </c>
      <c r="E31" s="186">
        <v>131370.38</v>
      </c>
      <c r="F31" s="186">
        <v>184801</v>
      </c>
      <c r="G31" s="186">
        <v>0</v>
      </c>
      <c r="H31" s="186">
        <v>0</v>
      </c>
      <c r="I31" s="186">
        <v>0</v>
      </c>
      <c r="J31" s="186">
        <v>0</v>
      </c>
      <c r="K31" s="186">
        <v>0</v>
      </c>
      <c r="L31" s="186">
        <v>0</v>
      </c>
      <c r="M31" s="186">
        <v>0</v>
      </c>
      <c r="N31" s="186">
        <v>0</v>
      </c>
      <c r="O31" s="186">
        <v>0</v>
      </c>
      <c r="P31" s="186">
        <v>0</v>
      </c>
      <c r="Q31" s="186">
        <v>0</v>
      </c>
      <c r="R31" s="186">
        <v>0</v>
      </c>
      <c r="S31" s="186">
        <v>0</v>
      </c>
      <c r="T31" s="186">
        <v>0</v>
      </c>
      <c r="U31" s="186">
        <v>0</v>
      </c>
      <c r="V31" s="186">
        <v>0</v>
      </c>
      <c r="W31" s="186">
        <v>0</v>
      </c>
      <c r="X31" s="186">
        <v>0</v>
      </c>
      <c r="Y31" s="186">
        <v>0</v>
      </c>
      <c r="Z31" s="186">
        <v>0</v>
      </c>
      <c r="AA31" s="186">
        <v>0</v>
      </c>
      <c r="AB31" s="186">
        <v>0</v>
      </c>
      <c r="AC31" s="186">
        <v>0</v>
      </c>
      <c r="AD31" s="186">
        <v>131370.38</v>
      </c>
      <c r="AE31" s="186">
        <v>0</v>
      </c>
      <c r="AF31" s="186">
        <v>0</v>
      </c>
      <c r="AG31" s="186">
        <v>0</v>
      </c>
      <c r="AH31" s="186">
        <v>1997</v>
      </c>
      <c r="AI31" s="186">
        <v>0</v>
      </c>
      <c r="AJ31" s="186">
        <v>0</v>
      </c>
      <c r="AK31" s="186">
        <v>184801</v>
      </c>
      <c r="AL31" s="186">
        <v>0</v>
      </c>
      <c r="AM31" s="186">
        <v>0</v>
      </c>
      <c r="AN31" s="186">
        <v>0</v>
      </c>
      <c r="AO31" s="186">
        <v>11100</v>
      </c>
      <c r="AP31" s="186">
        <v>0</v>
      </c>
      <c r="AQ31" s="186">
        <v>0</v>
      </c>
      <c r="AR31" s="186">
        <v>0</v>
      </c>
      <c r="AS31" s="186">
        <v>975</v>
      </c>
      <c r="AT31" s="186">
        <v>55993.22</v>
      </c>
      <c r="AU31" s="186">
        <v>150107.62</v>
      </c>
      <c r="AV31" s="186">
        <v>132724.78999999998</v>
      </c>
      <c r="AW31" s="186">
        <v>161477.80000000002</v>
      </c>
      <c r="AX31" s="186">
        <v>120604.37</v>
      </c>
      <c r="AY31" s="186">
        <v>182268.28</v>
      </c>
      <c r="AZ31" s="186">
        <v>171743.72</v>
      </c>
      <c r="BA31" s="186">
        <v>327811.56</v>
      </c>
      <c r="BB31" s="186">
        <v>34148.33</v>
      </c>
      <c r="BC31" s="186">
        <v>52546.2</v>
      </c>
      <c r="BD31" s="186">
        <v>44548.54</v>
      </c>
      <c r="BE31" s="186">
        <v>69890.320000000007</v>
      </c>
      <c r="BF31" s="186">
        <v>44626.57</v>
      </c>
      <c r="BG31" s="186">
        <v>156581.12</v>
      </c>
      <c r="BH31" s="186">
        <v>21197.07</v>
      </c>
      <c r="BI31" s="186">
        <v>82266.84</v>
      </c>
      <c r="BJ31" s="186">
        <v>90982.09</v>
      </c>
      <c r="BK31" s="186">
        <v>164926.82999999999</v>
      </c>
      <c r="BL31" s="186">
        <v>102553.46</v>
      </c>
      <c r="BM31" s="186">
        <v>96451.93</v>
      </c>
      <c r="BN31" s="186">
        <v>96064.14</v>
      </c>
      <c r="BO31" s="186">
        <v>32461.9</v>
      </c>
      <c r="BP31" s="186">
        <v>40888.15</v>
      </c>
      <c r="BQ31" s="186">
        <v>32710.82</v>
      </c>
      <c r="BR31" s="186">
        <v>23287.56</v>
      </c>
      <c r="BS31" s="186">
        <v>54603.74</v>
      </c>
      <c r="BT31" s="186">
        <v>40471.699999999997</v>
      </c>
      <c r="BU31" s="186">
        <v>122299.48</v>
      </c>
      <c r="BV31" s="186">
        <v>72923.45</v>
      </c>
      <c r="BW31" s="186">
        <v>4208.8600000000006</v>
      </c>
      <c r="BX31" s="186">
        <v>38362.21</v>
      </c>
      <c r="BY31" s="186">
        <v>35105.29</v>
      </c>
      <c r="BZ31" s="186">
        <v>12224.77</v>
      </c>
      <c r="CA31" s="186">
        <v>45255.39</v>
      </c>
      <c r="CB31" s="186">
        <v>55460.480000000003</v>
      </c>
      <c r="CC31" s="186">
        <v>133955.07999999999</v>
      </c>
      <c r="CD31" s="186">
        <v>182682.78</v>
      </c>
      <c r="CE31" s="186">
        <v>10186.5</v>
      </c>
      <c r="CF31" s="186">
        <v>30</v>
      </c>
      <c r="CG31" s="186">
        <v>165.45</v>
      </c>
      <c r="CH31" s="186">
        <v>4053.74</v>
      </c>
      <c r="CI31" s="186">
        <v>0</v>
      </c>
      <c r="CJ31" s="186">
        <v>1144.05</v>
      </c>
      <c r="CK31" s="186">
        <v>20</v>
      </c>
      <c r="CL31" s="186">
        <v>0</v>
      </c>
      <c r="CM31" s="186">
        <v>5531.8</v>
      </c>
      <c r="CN31" s="186">
        <v>118.9</v>
      </c>
      <c r="CO31" s="186">
        <v>0</v>
      </c>
      <c r="CP31" s="186">
        <v>1078.1399999999999</v>
      </c>
      <c r="CQ31" s="186">
        <v>4416.41</v>
      </c>
      <c r="CR31" s="186">
        <v>0</v>
      </c>
      <c r="CS31" s="186">
        <v>140.88999999999999</v>
      </c>
      <c r="CT31" s="186">
        <v>5</v>
      </c>
      <c r="CU31" s="186">
        <v>1384.55</v>
      </c>
      <c r="CV31" s="186">
        <v>22</v>
      </c>
      <c r="CW31" s="186">
        <v>0</v>
      </c>
      <c r="CX31" s="186">
        <v>0</v>
      </c>
      <c r="CY31" s="186">
        <v>42</v>
      </c>
      <c r="CZ31" s="186">
        <v>0</v>
      </c>
      <c r="DA31" s="186">
        <v>0</v>
      </c>
      <c r="DB31" s="186">
        <v>2003</v>
      </c>
      <c r="DC31" s="186">
        <v>4275.8999999999996</v>
      </c>
    </row>
    <row r="32" spans="1:107">
      <c r="A32" s="187" t="s">
        <v>243</v>
      </c>
      <c r="B32" s="186">
        <v>414563.12000000023</v>
      </c>
      <c r="C32" s="186">
        <v>50769.909999999996</v>
      </c>
      <c r="D32" s="186">
        <v>17990</v>
      </c>
      <c r="E32" s="186">
        <v>43324.1</v>
      </c>
      <c r="F32" s="186">
        <v>21616</v>
      </c>
      <c r="G32" s="186">
        <v>172484</v>
      </c>
      <c r="H32" s="186">
        <v>0</v>
      </c>
      <c r="I32" s="186">
        <v>11190.000000000233</v>
      </c>
      <c r="J32" s="186">
        <v>4800</v>
      </c>
      <c r="K32" s="186">
        <v>0</v>
      </c>
      <c r="L32" s="186">
        <v>0</v>
      </c>
      <c r="M32" s="186">
        <v>0</v>
      </c>
      <c r="N32" s="186">
        <v>0</v>
      </c>
      <c r="O32" s="186">
        <v>44608</v>
      </c>
      <c r="P32" s="186">
        <v>0</v>
      </c>
      <c r="Q32" s="186">
        <v>0</v>
      </c>
      <c r="R32" s="186">
        <v>12268.5</v>
      </c>
      <c r="S32" s="186">
        <v>12681.54</v>
      </c>
      <c r="T32" s="186">
        <v>0</v>
      </c>
      <c r="U32" s="186">
        <v>0</v>
      </c>
      <c r="V32" s="186">
        <v>0</v>
      </c>
      <c r="W32" s="186">
        <v>0</v>
      </c>
      <c r="X32" s="186">
        <v>13539.06</v>
      </c>
      <c r="Y32" s="186">
        <v>0</v>
      </c>
      <c r="Z32" s="186">
        <v>1270</v>
      </c>
      <c r="AA32" s="186">
        <v>0</v>
      </c>
      <c r="AB32" s="186">
        <v>13739.04</v>
      </c>
      <c r="AC32" s="186">
        <v>5610</v>
      </c>
      <c r="AD32" s="186">
        <v>9166</v>
      </c>
      <c r="AE32" s="186">
        <v>0</v>
      </c>
      <c r="AF32" s="186">
        <v>8390</v>
      </c>
      <c r="AG32" s="186">
        <v>1600</v>
      </c>
      <c r="AH32" s="186">
        <v>0</v>
      </c>
      <c r="AI32" s="186">
        <v>8000</v>
      </c>
      <c r="AJ32" s="186">
        <v>22831.07</v>
      </c>
      <c r="AK32" s="186">
        <v>4520</v>
      </c>
      <c r="AL32" s="186">
        <v>12290</v>
      </c>
      <c r="AM32" s="186">
        <v>4806</v>
      </c>
      <c r="AN32" s="186">
        <v>0</v>
      </c>
      <c r="AO32" s="186">
        <v>0</v>
      </c>
      <c r="AP32" s="186">
        <v>0</v>
      </c>
      <c r="AQ32" s="186">
        <v>0</v>
      </c>
      <c r="AR32" s="186">
        <v>0</v>
      </c>
      <c r="AS32" s="186">
        <v>0</v>
      </c>
      <c r="AT32" s="186">
        <v>0</v>
      </c>
      <c r="AU32" s="186">
        <v>2700</v>
      </c>
      <c r="AV32" s="186">
        <v>0</v>
      </c>
      <c r="AW32" s="186">
        <v>0</v>
      </c>
      <c r="AX32" s="186">
        <v>0</v>
      </c>
      <c r="AY32" s="186">
        <v>0</v>
      </c>
      <c r="AZ32" s="186">
        <v>0</v>
      </c>
      <c r="BA32" s="186">
        <v>0</v>
      </c>
      <c r="BB32" s="186">
        <v>0</v>
      </c>
      <c r="BC32" s="186">
        <v>0</v>
      </c>
      <c r="BD32" s="186">
        <v>3320</v>
      </c>
      <c r="BE32" s="186">
        <v>0</v>
      </c>
      <c r="BF32" s="186">
        <v>1550</v>
      </c>
      <c r="BG32" s="186">
        <v>0</v>
      </c>
      <c r="BH32" s="186">
        <v>0</v>
      </c>
      <c r="BI32" s="186">
        <v>0</v>
      </c>
      <c r="BJ32" s="186">
        <v>0</v>
      </c>
      <c r="BK32" s="186">
        <v>0</v>
      </c>
      <c r="BL32" s="186">
        <v>0</v>
      </c>
      <c r="BM32" s="186">
        <v>0</v>
      </c>
      <c r="BN32" s="186">
        <v>0</v>
      </c>
      <c r="BO32" s="186">
        <v>38834.949999999997</v>
      </c>
      <c r="BP32" s="186">
        <v>0</v>
      </c>
      <c r="BQ32" s="186">
        <v>0</v>
      </c>
      <c r="BR32" s="186">
        <v>0</v>
      </c>
      <c r="BS32" s="186">
        <v>0</v>
      </c>
      <c r="BT32" s="186">
        <v>0</v>
      </c>
      <c r="BU32" s="186">
        <v>0</v>
      </c>
      <c r="BV32" s="186">
        <v>0</v>
      </c>
      <c r="BW32" s="186">
        <v>0</v>
      </c>
      <c r="BX32" s="186">
        <v>0</v>
      </c>
      <c r="BY32" s="186">
        <v>0</v>
      </c>
      <c r="BZ32" s="186">
        <v>0</v>
      </c>
      <c r="CA32" s="186">
        <v>0</v>
      </c>
      <c r="CB32" s="186">
        <v>2800</v>
      </c>
      <c r="CC32" s="186">
        <v>1564.96</v>
      </c>
      <c r="CD32" s="186">
        <v>0</v>
      </c>
      <c r="CE32" s="186">
        <v>0</v>
      </c>
      <c r="CF32" s="186">
        <v>0</v>
      </c>
      <c r="CG32" s="186">
        <v>0</v>
      </c>
      <c r="CH32" s="186">
        <v>0</v>
      </c>
      <c r="CI32" s="186">
        <v>0</v>
      </c>
      <c r="CJ32" s="186">
        <v>0</v>
      </c>
      <c r="CK32" s="186">
        <v>0</v>
      </c>
      <c r="CL32" s="186">
        <v>0</v>
      </c>
      <c r="CM32" s="186">
        <v>0</v>
      </c>
      <c r="CN32" s="186">
        <v>0</v>
      </c>
      <c r="CO32" s="186">
        <v>0</v>
      </c>
      <c r="CP32" s="186">
        <v>0</v>
      </c>
      <c r="CQ32" s="186">
        <v>0</v>
      </c>
      <c r="CR32" s="186">
        <v>0</v>
      </c>
      <c r="CS32" s="186">
        <v>0</v>
      </c>
      <c r="CT32" s="186">
        <v>0</v>
      </c>
      <c r="CU32" s="186">
        <v>0</v>
      </c>
      <c r="CV32" s="186">
        <v>0</v>
      </c>
      <c r="CW32" s="186">
        <v>0</v>
      </c>
      <c r="CX32" s="186">
        <v>0</v>
      </c>
      <c r="CY32" s="186">
        <v>0</v>
      </c>
      <c r="CZ32" s="186">
        <v>0</v>
      </c>
      <c r="DA32" s="186">
        <v>0</v>
      </c>
      <c r="DB32" s="186">
        <v>0</v>
      </c>
      <c r="DC32" s="186">
        <v>0</v>
      </c>
    </row>
    <row r="33" spans="1:107" s="191" customFormat="1">
      <c r="A33" s="188" t="s">
        <v>69</v>
      </c>
      <c r="B33" s="189">
        <v>50828954.919999987</v>
      </c>
      <c r="C33" s="189">
        <v>25727973.040000003</v>
      </c>
      <c r="D33" s="189">
        <v>11126218.169999998</v>
      </c>
      <c r="E33" s="189">
        <v>3565179.0799999991</v>
      </c>
      <c r="F33" s="189">
        <v>2186573.7200000002</v>
      </c>
      <c r="G33" s="189">
        <v>954331.59</v>
      </c>
      <c r="H33" s="189">
        <v>1085002.03</v>
      </c>
      <c r="I33" s="189">
        <v>217013.18000000025</v>
      </c>
      <c r="J33" s="189">
        <v>2435483.9300000002</v>
      </c>
      <c r="K33" s="189">
        <v>205609.56</v>
      </c>
      <c r="L33" s="189">
        <v>355611.19999999995</v>
      </c>
      <c r="M33" s="189">
        <v>190052.68</v>
      </c>
      <c r="N33" s="189">
        <v>190866.32</v>
      </c>
      <c r="O33" s="189">
        <v>187579.61</v>
      </c>
      <c r="P33" s="189">
        <v>84061.87</v>
      </c>
      <c r="Q33" s="189">
        <v>82512.19</v>
      </c>
      <c r="R33" s="189">
        <v>150199.45000000001</v>
      </c>
      <c r="S33" s="189">
        <v>486986.73</v>
      </c>
      <c r="T33" s="189">
        <v>46998.97</v>
      </c>
      <c r="U33" s="189">
        <v>119257.75</v>
      </c>
      <c r="V33" s="189">
        <v>20000</v>
      </c>
      <c r="W33" s="189">
        <v>0</v>
      </c>
      <c r="X33" s="189">
        <v>427349.48999999993</v>
      </c>
      <c r="Y33" s="189">
        <v>2458.4</v>
      </c>
      <c r="Z33" s="189">
        <v>847744.34</v>
      </c>
      <c r="AA33" s="189">
        <v>3776.58</v>
      </c>
      <c r="AB33" s="189">
        <v>782756.25999999989</v>
      </c>
      <c r="AC33" s="189">
        <v>819078.2300000001</v>
      </c>
      <c r="AD33" s="189">
        <v>653580.67999999993</v>
      </c>
      <c r="AE33" s="189">
        <v>28435.1</v>
      </c>
      <c r="AF33" s="189">
        <v>348751.19999999995</v>
      </c>
      <c r="AG33" s="189">
        <v>7109514.2000000002</v>
      </c>
      <c r="AH33" s="189">
        <v>2383668.3700000006</v>
      </c>
      <c r="AI33" s="189">
        <v>1284284.3999999999</v>
      </c>
      <c r="AJ33" s="189">
        <v>1410666.8499999999</v>
      </c>
      <c r="AK33" s="189">
        <v>1511647.26</v>
      </c>
      <c r="AL33" s="189">
        <v>589755.9</v>
      </c>
      <c r="AM33" s="189">
        <v>85170.560000000012</v>
      </c>
      <c r="AN33" s="189">
        <v>777</v>
      </c>
      <c r="AO33" s="189">
        <v>6803859.1400000006</v>
      </c>
      <c r="AP33" s="189">
        <v>282395.92</v>
      </c>
      <c r="AQ33" s="189">
        <v>344161.97000000003</v>
      </c>
      <c r="AR33" s="189">
        <v>248696.87</v>
      </c>
      <c r="AS33" s="189">
        <v>520576.76999999996</v>
      </c>
      <c r="AT33" s="189">
        <v>688496.88</v>
      </c>
      <c r="AU33" s="189">
        <v>749965.89999999991</v>
      </c>
      <c r="AV33" s="189">
        <v>845143.87000000011</v>
      </c>
      <c r="AW33" s="189">
        <v>783421.12</v>
      </c>
      <c r="AX33" s="189">
        <v>584631.06999999995</v>
      </c>
      <c r="AY33" s="189">
        <v>830063.85</v>
      </c>
      <c r="AZ33" s="189">
        <v>404222.49</v>
      </c>
      <c r="BA33" s="189">
        <v>909444.63000000012</v>
      </c>
      <c r="BB33" s="189">
        <v>425909.62000000005</v>
      </c>
      <c r="BC33" s="189">
        <v>189405.72999999998</v>
      </c>
      <c r="BD33" s="189">
        <v>824567.29999999993</v>
      </c>
      <c r="BE33" s="189">
        <v>404438.68</v>
      </c>
      <c r="BF33" s="189">
        <v>557990.52999999991</v>
      </c>
      <c r="BG33" s="189">
        <v>768399.57</v>
      </c>
      <c r="BH33" s="189">
        <v>312089.85000000003</v>
      </c>
      <c r="BI33" s="189">
        <v>441051.11</v>
      </c>
      <c r="BJ33" s="189">
        <v>260574.21</v>
      </c>
      <c r="BK33" s="189">
        <v>526499.42000000004</v>
      </c>
      <c r="BL33" s="189">
        <v>283573.73</v>
      </c>
      <c r="BM33" s="189">
        <v>255903.75999999998</v>
      </c>
      <c r="BN33" s="189">
        <v>310572.02</v>
      </c>
      <c r="BO33" s="189">
        <v>496416.28</v>
      </c>
      <c r="BP33" s="189">
        <v>288956</v>
      </c>
      <c r="BQ33" s="189">
        <v>237258.98</v>
      </c>
      <c r="BR33" s="189">
        <v>183281.53</v>
      </c>
      <c r="BS33" s="189">
        <v>277844.03999999998</v>
      </c>
      <c r="BT33" s="189">
        <v>134180.65</v>
      </c>
      <c r="BU33" s="189">
        <v>381910.85000000003</v>
      </c>
      <c r="BV33" s="189">
        <v>185788.57</v>
      </c>
      <c r="BW33" s="189">
        <v>127810.09000000001</v>
      </c>
      <c r="BX33" s="189">
        <v>119098.88999999998</v>
      </c>
      <c r="BY33" s="189">
        <v>253540.28</v>
      </c>
      <c r="BZ33" s="189">
        <v>120622.38</v>
      </c>
      <c r="CA33" s="189">
        <v>135512.78</v>
      </c>
      <c r="CB33" s="189">
        <v>189606.19</v>
      </c>
      <c r="CC33" s="189">
        <v>420268.03000000009</v>
      </c>
      <c r="CD33" s="189">
        <v>487877.82999999996</v>
      </c>
      <c r="CE33" s="189">
        <v>136727.21000000002</v>
      </c>
      <c r="CF33" s="189">
        <v>31904.75</v>
      </c>
      <c r="CG33" s="189">
        <v>86960.819999999992</v>
      </c>
      <c r="CH33" s="189">
        <v>106368.82</v>
      </c>
      <c r="CI33" s="189">
        <v>115006.53</v>
      </c>
      <c r="CJ33" s="189">
        <v>44169.850000000006</v>
      </c>
      <c r="CK33" s="189">
        <v>120533.84</v>
      </c>
      <c r="CL33" s="189">
        <v>141091.06</v>
      </c>
      <c r="CM33" s="189">
        <v>111723.81000000001</v>
      </c>
      <c r="CN33" s="189">
        <v>112510.50999999998</v>
      </c>
      <c r="CO33" s="189">
        <v>61441.5</v>
      </c>
      <c r="CP33" s="189">
        <v>101753.80999999998</v>
      </c>
      <c r="CQ33" s="189">
        <v>133082.23999999999</v>
      </c>
      <c r="CR33" s="189">
        <v>98545.88</v>
      </c>
      <c r="CS33" s="189">
        <v>85196.939999999988</v>
      </c>
      <c r="CT33" s="189">
        <v>76354.429999999993</v>
      </c>
      <c r="CU33" s="189">
        <v>106193.65000000001</v>
      </c>
      <c r="CV33" s="189">
        <v>70383.16</v>
      </c>
      <c r="CW33" s="189">
        <v>21883.56</v>
      </c>
      <c r="CX33" s="189">
        <v>69351.12</v>
      </c>
      <c r="CY33" s="189">
        <v>120457.04</v>
      </c>
      <c r="CZ33" s="189">
        <v>96425.140000000014</v>
      </c>
      <c r="DA33" s="189">
        <v>21004.89</v>
      </c>
      <c r="DB33" s="189">
        <v>34292.660000000003</v>
      </c>
      <c r="DC33" s="190">
        <v>28580.440000000002</v>
      </c>
    </row>
    <row r="34" spans="1:107">
      <c r="A34" s="187" t="s">
        <v>78</v>
      </c>
      <c r="B34" s="186">
        <v>2326698.4500000007</v>
      </c>
      <c r="C34" s="186">
        <v>1657525.6600000004</v>
      </c>
      <c r="D34" s="186">
        <v>40719.49</v>
      </c>
      <c r="E34" s="186">
        <v>64124.87</v>
      </c>
      <c r="F34" s="186">
        <v>53823.6</v>
      </c>
      <c r="G34" s="186">
        <v>0</v>
      </c>
      <c r="H34" s="186">
        <v>0</v>
      </c>
      <c r="I34" s="186">
        <v>0</v>
      </c>
      <c r="J34" s="186">
        <v>489855.18</v>
      </c>
      <c r="K34" s="186">
        <v>0</v>
      </c>
      <c r="L34" s="186">
        <v>0</v>
      </c>
      <c r="M34" s="186">
        <v>0</v>
      </c>
      <c r="N34" s="186">
        <v>2706</v>
      </c>
      <c r="O34" s="186">
        <v>0</v>
      </c>
      <c r="P34" s="186">
        <v>0</v>
      </c>
      <c r="Q34" s="186">
        <v>0</v>
      </c>
      <c r="R34" s="186">
        <v>0</v>
      </c>
      <c r="S34" s="186">
        <v>264</v>
      </c>
      <c r="T34" s="186">
        <v>0</v>
      </c>
      <c r="U34" s="186">
        <v>0</v>
      </c>
      <c r="V34" s="186">
        <v>0</v>
      </c>
      <c r="W34" s="186">
        <v>0</v>
      </c>
      <c r="X34" s="186">
        <v>-6593.7300000000005</v>
      </c>
      <c r="Y34" s="186">
        <v>0</v>
      </c>
      <c r="Z34" s="186">
        <v>17679.650000000001</v>
      </c>
      <c r="AA34" s="186">
        <v>0</v>
      </c>
      <c r="AB34" s="186">
        <v>17679.650000000001</v>
      </c>
      <c r="AC34" s="186">
        <v>17679.650000000001</v>
      </c>
      <c r="AD34" s="186">
        <v>17679.650000000001</v>
      </c>
      <c r="AE34" s="186">
        <v>0</v>
      </c>
      <c r="AF34" s="186">
        <v>14181.32</v>
      </c>
      <c r="AG34" s="186">
        <v>9449.7199999999993</v>
      </c>
      <c r="AH34" s="186">
        <v>17088.449999999997</v>
      </c>
      <c r="AI34" s="186">
        <v>0</v>
      </c>
      <c r="AJ34" s="186">
        <v>17679.650000000001</v>
      </c>
      <c r="AK34" s="186">
        <v>26911.89</v>
      </c>
      <c r="AL34" s="186">
        <v>26911.71</v>
      </c>
      <c r="AM34" s="186">
        <v>0</v>
      </c>
      <c r="AN34" s="186">
        <v>0</v>
      </c>
      <c r="AO34" s="186">
        <v>0</v>
      </c>
      <c r="AP34" s="186">
        <v>0</v>
      </c>
      <c r="AQ34" s="186">
        <v>0</v>
      </c>
      <c r="AR34" s="186">
        <v>0</v>
      </c>
      <c r="AS34" s="186">
        <v>0</v>
      </c>
      <c r="AT34" s="186">
        <v>105396</v>
      </c>
      <c r="AU34" s="186">
        <v>100322.8</v>
      </c>
      <c r="AV34" s="186">
        <v>13211.029999999999</v>
      </c>
      <c r="AW34" s="186">
        <v>102157</v>
      </c>
      <c r="AX34" s="186">
        <v>74311.839999999997</v>
      </c>
      <c r="AY34" s="186">
        <v>92120.12000000001</v>
      </c>
      <c r="AZ34" s="186">
        <v>27590.5</v>
      </c>
      <c r="BA34" s="186">
        <v>154182</v>
      </c>
      <c r="BB34" s="186">
        <v>14067</v>
      </c>
      <c r="BC34" s="186">
        <v>29626.010000000002</v>
      </c>
      <c r="BD34" s="186">
        <v>44922.48</v>
      </c>
      <c r="BE34" s="186">
        <v>88256</v>
      </c>
      <c r="BF34" s="186">
        <v>87507.36</v>
      </c>
      <c r="BG34" s="186">
        <v>54120.35</v>
      </c>
      <c r="BH34" s="186">
        <v>75114.460000000006</v>
      </c>
      <c r="BI34" s="186">
        <v>24382.400000000001</v>
      </c>
      <c r="BJ34" s="186">
        <v>64254.76</v>
      </c>
      <c r="BK34" s="186">
        <v>63658.549999999996</v>
      </c>
      <c r="BL34" s="186">
        <v>46837.599999999999</v>
      </c>
      <c r="BM34" s="186">
        <v>33483.230000000003</v>
      </c>
      <c r="BN34" s="186">
        <v>36185.33</v>
      </c>
      <c r="BO34" s="186">
        <v>125021.09</v>
      </c>
      <c r="BP34" s="186">
        <v>6530</v>
      </c>
      <c r="BQ34" s="186">
        <v>8204</v>
      </c>
      <c r="BR34" s="186">
        <v>11607.03</v>
      </c>
      <c r="BS34" s="186">
        <v>9095</v>
      </c>
      <c r="BT34" s="186">
        <v>11518</v>
      </c>
      <c r="BU34" s="186">
        <v>10767.96</v>
      </c>
      <c r="BV34" s="186">
        <v>21462</v>
      </c>
      <c r="BW34" s="186">
        <v>18708.75</v>
      </c>
      <c r="BX34" s="186">
        <v>6577.61</v>
      </c>
      <c r="BY34" s="186">
        <v>21364</v>
      </c>
      <c r="BZ34" s="186">
        <v>5351.25</v>
      </c>
      <c r="CA34" s="186">
        <v>11030</v>
      </c>
      <c r="CB34" s="186">
        <v>460</v>
      </c>
      <c r="CC34" s="186">
        <v>22490.25</v>
      </c>
      <c r="CD34" s="186">
        <v>12444.16</v>
      </c>
      <c r="CE34" s="186">
        <v>897</v>
      </c>
      <c r="CF34" s="186">
        <v>0</v>
      </c>
      <c r="CG34" s="186">
        <v>2750.46</v>
      </c>
      <c r="CH34" s="186">
        <v>521.6</v>
      </c>
      <c r="CI34" s="186">
        <v>0</v>
      </c>
      <c r="CJ34" s="186">
        <v>987</v>
      </c>
      <c r="CK34" s="186">
        <v>1</v>
      </c>
      <c r="CL34" s="186">
        <v>4516</v>
      </c>
      <c r="CM34" s="186">
        <v>3838.5</v>
      </c>
      <c r="CN34" s="186">
        <v>2641</v>
      </c>
      <c r="CO34" s="186">
        <v>315.83999999999997</v>
      </c>
      <c r="CP34" s="186">
        <v>3</v>
      </c>
      <c r="CQ34" s="186">
        <v>2453</v>
      </c>
      <c r="CR34" s="186">
        <v>0</v>
      </c>
      <c r="CS34" s="186">
        <v>2452.6</v>
      </c>
      <c r="CT34" s="186">
        <v>0</v>
      </c>
      <c r="CU34" s="186">
        <v>503</v>
      </c>
      <c r="CV34" s="186">
        <v>0</v>
      </c>
      <c r="CW34" s="186">
        <v>500</v>
      </c>
      <c r="CX34" s="186">
        <v>0</v>
      </c>
      <c r="CY34" s="186">
        <v>655.7</v>
      </c>
      <c r="CZ34" s="186">
        <v>0</v>
      </c>
      <c r="DA34" s="186">
        <v>0</v>
      </c>
      <c r="DB34" s="186">
        <v>0.24</v>
      </c>
      <c r="DC34" s="186">
        <v>151.80000000000001</v>
      </c>
    </row>
    <row r="35" spans="1:107">
      <c r="A35" s="187" t="s">
        <v>79</v>
      </c>
      <c r="B35" s="186">
        <v>1915343.86</v>
      </c>
      <c r="C35" s="186">
        <v>1043489.5399999998</v>
      </c>
      <c r="D35" s="186">
        <v>49883.56</v>
      </c>
      <c r="E35" s="186">
        <v>242200.85000000003</v>
      </c>
      <c r="F35" s="186">
        <v>70019.73</v>
      </c>
      <c r="G35" s="186">
        <v>31260.75</v>
      </c>
      <c r="H35" s="186">
        <v>126141.6</v>
      </c>
      <c r="I35" s="186">
        <v>5496.07</v>
      </c>
      <c r="J35" s="186">
        <v>246696.08</v>
      </c>
      <c r="K35" s="186">
        <v>20462.580000000002</v>
      </c>
      <c r="L35" s="186">
        <v>1448.19</v>
      </c>
      <c r="M35" s="186">
        <v>1909.49</v>
      </c>
      <c r="N35" s="186">
        <v>6108.39</v>
      </c>
      <c r="O35" s="186">
        <v>886.74</v>
      </c>
      <c r="P35" s="186">
        <v>4187.13</v>
      </c>
      <c r="Q35" s="186">
        <v>2953.05</v>
      </c>
      <c r="R35" s="186">
        <v>4078.08</v>
      </c>
      <c r="S35" s="186">
        <v>9301.75</v>
      </c>
      <c r="T35" s="186">
        <v>10294.84</v>
      </c>
      <c r="U35" s="186">
        <v>29653.039999999997</v>
      </c>
      <c r="V35" s="186">
        <v>0</v>
      </c>
      <c r="W35" s="186">
        <v>0</v>
      </c>
      <c r="X35" s="186">
        <v>71302.87</v>
      </c>
      <c r="Y35" s="186">
        <v>0</v>
      </c>
      <c r="Z35" s="186">
        <v>75278.87999999999</v>
      </c>
      <c r="AA35" s="186">
        <v>0</v>
      </c>
      <c r="AB35" s="186">
        <v>28114.79</v>
      </c>
      <c r="AC35" s="186">
        <v>43567.360000000001</v>
      </c>
      <c r="AD35" s="186">
        <v>23916.199999999997</v>
      </c>
      <c r="AE35" s="186">
        <v>20.75</v>
      </c>
      <c r="AF35" s="186">
        <v>6647.34</v>
      </c>
      <c r="AG35" s="186">
        <v>10538.9</v>
      </c>
      <c r="AH35" s="186">
        <v>9099.24</v>
      </c>
      <c r="AI35" s="186">
        <v>23598.080000000002</v>
      </c>
      <c r="AJ35" s="186">
        <v>8872.4</v>
      </c>
      <c r="AK35" s="186">
        <v>48464.35</v>
      </c>
      <c r="AL35" s="186">
        <v>18617.099999999999</v>
      </c>
      <c r="AM35" s="186">
        <v>2938.2799999999997</v>
      </c>
      <c r="AN35" s="186">
        <v>0</v>
      </c>
      <c r="AO35" s="186">
        <v>2789.7</v>
      </c>
      <c r="AP35" s="186">
        <v>6650.66</v>
      </c>
      <c r="AQ35" s="186">
        <v>28676.09</v>
      </c>
      <c r="AR35" s="186">
        <v>13357.46</v>
      </c>
      <c r="AS35" s="186">
        <v>10198.81</v>
      </c>
      <c r="AT35" s="186">
        <v>28855.98</v>
      </c>
      <c r="AU35" s="186">
        <v>48492.25</v>
      </c>
      <c r="AV35" s="186">
        <v>20172.150000000001</v>
      </c>
      <c r="AW35" s="186">
        <v>45552.31</v>
      </c>
      <c r="AX35" s="186">
        <v>24688.329999999998</v>
      </c>
      <c r="AY35" s="186">
        <v>48003.65</v>
      </c>
      <c r="AZ35" s="186">
        <v>32895.19</v>
      </c>
      <c r="BA35" s="186">
        <v>25786.9</v>
      </c>
      <c r="BB35" s="186">
        <v>40916.119999999995</v>
      </c>
      <c r="BC35" s="186">
        <v>35690.67</v>
      </c>
      <c r="BD35" s="186">
        <v>44801.79</v>
      </c>
      <c r="BE35" s="186">
        <v>46255.79</v>
      </c>
      <c r="BF35" s="186">
        <v>68456.62</v>
      </c>
      <c r="BG35" s="186">
        <v>47863.040000000001</v>
      </c>
      <c r="BH35" s="186">
        <v>18629.990000000002</v>
      </c>
      <c r="BI35" s="186">
        <v>12150</v>
      </c>
      <c r="BJ35" s="186">
        <v>12902.66</v>
      </c>
      <c r="BK35" s="186">
        <v>26215.59</v>
      </c>
      <c r="BL35" s="186">
        <v>12106.92</v>
      </c>
      <c r="BM35" s="186">
        <v>13352</v>
      </c>
      <c r="BN35" s="186">
        <v>14519.7</v>
      </c>
      <c r="BO35" s="186">
        <v>15703.830000000002</v>
      </c>
      <c r="BP35" s="186">
        <v>7037.02</v>
      </c>
      <c r="BQ35" s="186">
        <v>2927.5</v>
      </c>
      <c r="BR35" s="186">
        <v>11168.74</v>
      </c>
      <c r="BS35" s="186">
        <v>2539</v>
      </c>
      <c r="BT35" s="186">
        <v>3173.66</v>
      </c>
      <c r="BU35" s="186">
        <v>17922.46</v>
      </c>
      <c r="BV35" s="186">
        <v>2681</v>
      </c>
      <c r="BW35" s="186">
        <v>109626.95</v>
      </c>
      <c r="BX35" s="186">
        <v>6460.5</v>
      </c>
      <c r="BY35" s="186">
        <v>4434.99</v>
      </c>
      <c r="BZ35" s="186">
        <v>5171.75</v>
      </c>
      <c r="CA35" s="186">
        <v>6725</v>
      </c>
      <c r="CB35" s="186">
        <v>5924.6</v>
      </c>
      <c r="CC35" s="186">
        <v>23508.83</v>
      </c>
      <c r="CD35" s="186">
        <v>17959.349999999999</v>
      </c>
      <c r="CE35" s="186">
        <v>1728</v>
      </c>
      <c r="CF35" s="186">
        <v>584</v>
      </c>
      <c r="CG35" s="186">
        <v>325</v>
      </c>
      <c r="CH35" s="186">
        <v>1300</v>
      </c>
      <c r="CI35" s="186">
        <v>4790</v>
      </c>
      <c r="CJ35" s="186">
        <v>280</v>
      </c>
      <c r="CK35" s="186">
        <v>2410</v>
      </c>
      <c r="CL35" s="186">
        <v>1044</v>
      </c>
      <c r="CM35" s="186">
        <v>4595.6099999999997</v>
      </c>
      <c r="CN35" s="186">
        <v>3733</v>
      </c>
      <c r="CO35" s="186">
        <v>3090</v>
      </c>
      <c r="CP35" s="186">
        <v>3640</v>
      </c>
      <c r="CQ35" s="186">
        <v>3634</v>
      </c>
      <c r="CR35" s="186">
        <v>4726</v>
      </c>
      <c r="CS35" s="186">
        <v>1281</v>
      </c>
      <c r="CT35" s="186">
        <v>0</v>
      </c>
      <c r="CU35" s="186">
        <v>832</v>
      </c>
      <c r="CV35" s="186">
        <v>2900</v>
      </c>
      <c r="CW35" s="186">
        <v>0</v>
      </c>
      <c r="CX35" s="186">
        <v>4500</v>
      </c>
      <c r="CY35" s="186">
        <v>5344</v>
      </c>
      <c r="CZ35" s="186">
        <v>3863</v>
      </c>
      <c r="DA35" s="186">
        <v>390</v>
      </c>
      <c r="DB35" s="186">
        <v>14617.800000000001</v>
      </c>
      <c r="DC35" s="186">
        <v>936.58</v>
      </c>
    </row>
    <row r="36" spans="1:107">
      <c r="A36" s="187" t="s">
        <v>83</v>
      </c>
      <c r="B36" s="186">
        <v>949831.01</v>
      </c>
      <c r="C36" s="186">
        <v>0</v>
      </c>
      <c r="D36" s="186">
        <v>0</v>
      </c>
      <c r="E36" s="186">
        <v>0</v>
      </c>
      <c r="F36" s="186">
        <v>0</v>
      </c>
      <c r="G36" s="186">
        <v>0</v>
      </c>
      <c r="H36" s="186">
        <v>949831.01</v>
      </c>
      <c r="I36" s="186">
        <v>0</v>
      </c>
      <c r="J36" s="186">
        <v>0</v>
      </c>
      <c r="K36" s="186">
        <v>0</v>
      </c>
      <c r="L36" s="186">
        <v>0</v>
      </c>
      <c r="M36" s="186">
        <v>0</v>
      </c>
      <c r="N36" s="186">
        <v>0</v>
      </c>
      <c r="O36" s="186">
        <v>0</v>
      </c>
      <c r="P36" s="186">
        <v>0</v>
      </c>
      <c r="Q36" s="186">
        <v>0</v>
      </c>
      <c r="R36" s="186">
        <v>0</v>
      </c>
      <c r="S36" s="186">
        <v>0</v>
      </c>
      <c r="T36" s="186">
        <v>0</v>
      </c>
      <c r="U36" s="186">
        <v>0</v>
      </c>
      <c r="V36" s="186">
        <v>0</v>
      </c>
      <c r="W36" s="186">
        <v>0</v>
      </c>
      <c r="X36" s="186">
        <v>0</v>
      </c>
      <c r="Y36" s="186">
        <v>0</v>
      </c>
      <c r="Z36" s="186">
        <v>0</v>
      </c>
      <c r="AA36" s="186">
        <v>0</v>
      </c>
      <c r="AB36" s="186">
        <v>0</v>
      </c>
      <c r="AC36" s="186">
        <v>0</v>
      </c>
      <c r="AD36" s="186">
        <v>0</v>
      </c>
      <c r="AE36" s="186">
        <v>0</v>
      </c>
      <c r="AF36" s="186">
        <v>0</v>
      </c>
      <c r="AG36" s="186">
        <v>0</v>
      </c>
      <c r="AH36" s="186">
        <v>0</v>
      </c>
      <c r="AI36" s="186">
        <v>0</v>
      </c>
      <c r="AJ36" s="186">
        <v>0</v>
      </c>
      <c r="AK36" s="186">
        <v>0</v>
      </c>
      <c r="AL36" s="186">
        <v>0</v>
      </c>
      <c r="AM36" s="186">
        <v>0</v>
      </c>
      <c r="AN36" s="186">
        <v>0</v>
      </c>
      <c r="AO36" s="186">
        <v>0</v>
      </c>
      <c r="AP36" s="186">
        <v>0</v>
      </c>
      <c r="AQ36" s="186">
        <v>0</v>
      </c>
      <c r="AR36" s="186">
        <v>0</v>
      </c>
      <c r="AS36" s="186">
        <v>0</v>
      </c>
      <c r="AT36" s="186">
        <v>0</v>
      </c>
      <c r="AU36" s="186">
        <v>0</v>
      </c>
      <c r="AV36" s="186">
        <v>0</v>
      </c>
      <c r="AW36" s="186">
        <v>0</v>
      </c>
      <c r="AX36" s="186">
        <v>0</v>
      </c>
      <c r="AY36" s="186">
        <v>0</v>
      </c>
      <c r="AZ36" s="186">
        <v>0</v>
      </c>
      <c r="BA36" s="186">
        <v>0</v>
      </c>
      <c r="BB36" s="186">
        <v>0</v>
      </c>
      <c r="BC36" s="186">
        <v>0</v>
      </c>
      <c r="BD36" s="186">
        <v>0</v>
      </c>
      <c r="BE36" s="186">
        <v>0</v>
      </c>
      <c r="BF36" s="186">
        <v>0</v>
      </c>
      <c r="BG36" s="186">
        <v>0</v>
      </c>
      <c r="BH36" s="186">
        <v>0</v>
      </c>
      <c r="BI36" s="186">
        <v>0</v>
      </c>
      <c r="BJ36" s="186">
        <v>0</v>
      </c>
      <c r="BK36" s="186">
        <v>0</v>
      </c>
      <c r="BL36" s="186">
        <v>0</v>
      </c>
      <c r="BM36" s="186">
        <v>0</v>
      </c>
      <c r="BN36" s="186">
        <v>0</v>
      </c>
      <c r="BO36" s="186">
        <v>0</v>
      </c>
      <c r="BP36" s="186">
        <v>0</v>
      </c>
      <c r="BQ36" s="186">
        <v>0</v>
      </c>
      <c r="BR36" s="186">
        <v>0</v>
      </c>
      <c r="BS36" s="186">
        <v>0</v>
      </c>
      <c r="BT36" s="186">
        <v>0</v>
      </c>
      <c r="BU36" s="186">
        <v>0</v>
      </c>
      <c r="BV36" s="186">
        <v>0</v>
      </c>
      <c r="BW36" s="186">
        <v>0</v>
      </c>
      <c r="BX36" s="186">
        <v>0</v>
      </c>
      <c r="BY36" s="186">
        <v>0</v>
      </c>
      <c r="BZ36" s="186">
        <v>0</v>
      </c>
      <c r="CA36" s="186">
        <v>0</v>
      </c>
      <c r="CB36" s="186">
        <v>0</v>
      </c>
      <c r="CC36" s="186">
        <v>0</v>
      </c>
      <c r="CD36" s="186">
        <v>0</v>
      </c>
      <c r="CE36" s="186">
        <v>0</v>
      </c>
      <c r="CF36" s="186">
        <v>0</v>
      </c>
      <c r="CG36" s="186">
        <v>0</v>
      </c>
      <c r="CH36" s="186">
        <v>0</v>
      </c>
      <c r="CI36" s="186">
        <v>0</v>
      </c>
      <c r="CJ36" s="186">
        <v>0</v>
      </c>
      <c r="CK36" s="186">
        <v>0</v>
      </c>
      <c r="CL36" s="186">
        <v>0</v>
      </c>
      <c r="CM36" s="186">
        <v>0</v>
      </c>
      <c r="CN36" s="186">
        <v>0</v>
      </c>
      <c r="CO36" s="186">
        <v>0</v>
      </c>
      <c r="CP36" s="186">
        <v>0</v>
      </c>
      <c r="CQ36" s="186">
        <v>0</v>
      </c>
      <c r="CR36" s="186">
        <v>0</v>
      </c>
      <c r="CS36" s="186">
        <v>0</v>
      </c>
      <c r="CT36" s="186">
        <v>0</v>
      </c>
      <c r="CU36" s="186">
        <v>0</v>
      </c>
      <c r="CV36" s="186">
        <v>0</v>
      </c>
      <c r="CW36" s="186">
        <v>0</v>
      </c>
      <c r="CX36" s="186">
        <v>0</v>
      </c>
      <c r="CY36" s="186">
        <v>0</v>
      </c>
      <c r="CZ36" s="186">
        <v>0</v>
      </c>
      <c r="DA36" s="186">
        <v>0</v>
      </c>
      <c r="DB36" s="186">
        <v>0</v>
      </c>
      <c r="DC36" s="186">
        <v>0</v>
      </c>
    </row>
    <row r="37" spans="1:107">
      <c r="A37" s="187" t="s">
        <v>87</v>
      </c>
      <c r="B37" s="186">
        <v>1425420.0600000003</v>
      </c>
      <c r="C37" s="186">
        <v>1126766.9100000001</v>
      </c>
      <c r="D37" s="186">
        <v>0</v>
      </c>
      <c r="E37" s="186">
        <v>40434.229999999996</v>
      </c>
      <c r="F37" s="186">
        <v>32334.59</v>
      </c>
      <c r="G37" s="186">
        <v>0</v>
      </c>
      <c r="H37" s="186">
        <v>0</v>
      </c>
      <c r="I37" s="186">
        <v>0</v>
      </c>
      <c r="J37" s="186">
        <v>166754.99</v>
      </c>
      <c r="K37" s="186">
        <v>0</v>
      </c>
      <c r="L37" s="186">
        <v>0</v>
      </c>
      <c r="M37" s="186">
        <v>0</v>
      </c>
      <c r="N37" s="186">
        <v>0</v>
      </c>
      <c r="O37" s="186">
        <v>0</v>
      </c>
      <c r="P37" s="186">
        <v>0</v>
      </c>
      <c r="Q37" s="186">
        <v>0</v>
      </c>
      <c r="R37" s="186">
        <v>0</v>
      </c>
      <c r="S37" s="186">
        <v>0</v>
      </c>
      <c r="T37" s="186">
        <v>0</v>
      </c>
      <c r="U37" s="186">
        <v>47169.81</v>
      </c>
      <c r="V37" s="186">
        <v>0</v>
      </c>
      <c r="W37" s="186">
        <v>0</v>
      </c>
      <c r="X37" s="186">
        <v>-8945.27</v>
      </c>
      <c r="Y37" s="186">
        <v>0</v>
      </c>
      <c r="Z37" s="186">
        <v>11959.529999999999</v>
      </c>
      <c r="AA37" s="186">
        <v>0</v>
      </c>
      <c r="AB37" s="186">
        <v>11959.529999999999</v>
      </c>
      <c r="AC37" s="186">
        <v>13500.91</v>
      </c>
      <c r="AD37" s="186">
        <v>11959.529999999999</v>
      </c>
      <c r="AE37" s="186">
        <v>0</v>
      </c>
      <c r="AF37" s="186">
        <v>0</v>
      </c>
      <c r="AG37" s="186">
        <v>0</v>
      </c>
      <c r="AH37" s="186">
        <v>0</v>
      </c>
      <c r="AI37" s="186">
        <v>0</v>
      </c>
      <c r="AJ37" s="186">
        <v>11959.529999999999</v>
      </c>
      <c r="AK37" s="186">
        <v>16167.29</v>
      </c>
      <c r="AL37" s="186">
        <v>16167.3</v>
      </c>
      <c r="AM37" s="186">
        <v>0</v>
      </c>
      <c r="AN37" s="186">
        <v>0</v>
      </c>
      <c r="AO37" s="186">
        <v>0</v>
      </c>
      <c r="AP37" s="186">
        <v>0</v>
      </c>
      <c r="AQ37" s="186">
        <v>0</v>
      </c>
      <c r="AR37" s="186">
        <v>0</v>
      </c>
      <c r="AS37" s="186">
        <v>0</v>
      </c>
      <c r="AT37" s="186">
        <v>54008.15</v>
      </c>
      <c r="AU37" s="186">
        <v>119926.15</v>
      </c>
      <c r="AV37" s="186">
        <v>25868</v>
      </c>
      <c r="AW37" s="186">
        <v>83015.290000000008</v>
      </c>
      <c r="AX37" s="186">
        <v>60276</v>
      </c>
      <c r="AY37" s="186">
        <v>59066.92</v>
      </c>
      <c r="AZ37" s="186">
        <v>17838.66</v>
      </c>
      <c r="BA37" s="186">
        <v>72717</v>
      </c>
      <c r="BB37" s="186">
        <v>31182</v>
      </c>
      <c r="BC37" s="186">
        <v>28746</v>
      </c>
      <c r="BD37" s="186">
        <v>127151.90000000001</v>
      </c>
      <c r="BE37" s="186">
        <v>39481.67</v>
      </c>
      <c r="BF37" s="186">
        <v>64440</v>
      </c>
      <c r="BG37" s="186">
        <v>7547</v>
      </c>
      <c r="BH37" s="186">
        <v>29461.68</v>
      </c>
      <c r="BI37" s="186">
        <v>6215</v>
      </c>
      <c r="BJ37" s="186">
        <v>386</v>
      </c>
      <c r="BK37" s="186">
        <v>47022</v>
      </c>
      <c r="BL37" s="186">
        <v>28745</v>
      </c>
      <c r="BM37" s="186">
        <v>1348</v>
      </c>
      <c r="BN37" s="186">
        <v>574</v>
      </c>
      <c r="BO37" s="186">
        <v>66514.5</v>
      </c>
      <c r="BP37" s="186">
        <v>1115</v>
      </c>
      <c r="BQ37" s="186">
        <v>218</v>
      </c>
      <c r="BR37" s="186">
        <v>1800.09</v>
      </c>
      <c r="BS37" s="186">
        <v>365</v>
      </c>
      <c r="BT37" s="186">
        <v>3172</v>
      </c>
      <c r="BU37" s="186">
        <v>1596</v>
      </c>
      <c r="BV37" s="186">
        <v>951</v>
      </c>
      <c r="BW37" s="186">
        <v>22309</v>
      </c>
      <c r="BX37" s="186">
        <v>163</v>
      </c>
      <c r="BY37" s="186">
        <v>30389</v>
      </c>
      <c r="BZ37" s="186">
        <v>162</v>
      </c>
      <c r="CA37" s="186">
        <v>21288.06</v>
      </c>
      <c r="CB37" s="186">
        <v>430</v>
      </c>
      <c r="CC37" s="186">
        <v>36354.6</v>
      </c>
      <c r="CD37" s="186">
        <v>30763.239999999998</v>
      </c>
      <c r="CE37" s="186">
        <v>542</v>
      </c>
      <c r="CF37" s="186">
        <v>16</v>
      </c>
      <c r="CG37" s="186">
        <v>1928</v>
      </c>
      <c r="CH37" s="186">
        <v>103</v>
      </c>
      <c r="CI37" s="186">
        <v>111</v>
      </c>
      <c r="CJ37" s="186">
        <v>116</v>
      </c>
      <c r="CK37" s="186">
        <v>57</v>
      </c>
      <c r="CL37" s="186">
        <v>98</v>
      </c>
      <c r="CM37" s="186">
        <v>30</v>
      </c>
      <c r="CN37" s="186">
        <v>241</v>
      </c>
      <c r="CO37" s="186">
        <v>103</v>
      </c>
      <c r="CP37" s="186">
        <v>331</v>
      </c>
      <c r="CQ37" s="186">
        <v>134</v>
      </c>
      <c r="CR37" s="186">
        <v>25</v>
      </c>
      <c r="CS37" s="186">
        <v>48</v>
      </c>
      <c r="CT37" s="186">
        <v>20</v>
      </c>
      <c r="CU37" s="186">
        <v>34</v>
      </c>
      <c r="CV37" s="186">
        <v>15</v>
      </c>
      <c r="CW37" s="186">
        <v>0</v>
      </c>
      <c r="CX37" s="186">
        <v>74</v>
      </c>
      <c r="CY37" s="186">
        <v>10</v>
      </c>
      <c r="CZ37" s="186">
        <v>8</v>
      </c>
      <c r="DA37" s="186">
        <v>0</v>
      </c>
      <c r="DB37" s="186">
        <v>102</v>
      </c>
      <c r="DC37" s="186">
        <v>14</v>
      </c>
    </row>
    <row r="38" spans="1:107">
      <c r="A38" s="187" t="s">
        <v>91</v>
      </c>
      <c r="B38" s="186">
        <v>107632.81</v>
      </c>
      <c r="C38" s="186">
        <v>0</v>
      </c>
      <c r="D38" s="186">
        <v>0</v>
      </c>
      <c r="E38" s="186">
        <v>0</v>
      </c>
      <c r="F38" s="186">
        <v>0</v>
      </c>
      <c r="G38" s="186">
        <v>0</v>
      </c>
      <c r="H38" s="186">
        <v>0</v>
      </c>
      <c r="I38" s="186">
        <v>106347.81</v>
      </c>
      <c r="J38" s="186">
        <v>0</v>
      </c>
      <c r="K38" s="186">
        <v>0</v>
      </c>
      <c r="L38" s="186">
        <v>0</v>
      </c>
      <c r="M38" s="186">
        <v>1285</v>
      </c>
      <c r="N38" s="186">
        <v>0</v>
      </c>
      <c r="O38" s="186">
        <v>0</v>
      </c>
      <c r="P38" s="186">
        <v>0</v>
      </c>
      <c r="Q38" s="186">
        <v>0</v>
      </c>
      <c r="R38" s="186">
        <v>0</v>
      </c>
      <c r="S38" s="186">
        <v>0</v>
      </c>
      <c r="T38" s="186">
        <v>0</v>
      </c>
      <c r="U38" s="186">
        <v>0</v>
      </c>
      <c r="V38" s="186">
        <v>0</v>
      </c>
      <c r="W38" s="186">
        <v>0</v>
      </c>
      <c r="X38" s="186">
        <v>0</v>
      </c>
      <c r="Y38" s="186">
        <v>0</v>
      </c>
      <c r="Z38" s="186">
        <v>0</v>
      </c>
      <c r="AA38" s="186">
        <v>0</v>
      </c>
      <c r="AB38" s="186">
        <v>0</v>
      </c>
      <c r="AC38" s="186">
        <v>0</v>
      </c>
      <c r="AD38" s="186">
        <v>0</v>
      </c>
      <c r="AE38" s="186">
        <v>0</v>
      </c>
      <c r="AF38" s="186">
        <v>0</v>
      </c>
      <c r="AG38" s="186">
        <v>0</v>
      </c>
      <c r="AH38" s="186">
        <v>0</v>
      </c>
      <c r="AI38" s="186">
        <v>0</v>
      </c>
      <c r="AJ38" s="186">
        <v>0</v>
      </c>
      <c r="AK38" s="186">
        <v>0</v>
      </c>
      <c r="AL38" s="186">
        <v>0</v>
      </c>
      <c r="AM38" s="186">
        <v>0</v>
      </c>
      <c r="AN38" s="186">
        <v>0</v>
      </c>
      <c r="AO38" s="186">
        <v>0</v>
      </c>
      <c r="AP38" s="186">
        <v>0</v>
      </c>
      <c r="AQ38" s="186">
        <v>0</v>
      </c>
      <c r="AR38" s="186">
        <v>0</v>
      </c>
      <c r="AS38" s="186">
        <v>0</v>
      </c>
      <c r="AT38" s="186">
        <v>0</v>
      </c>
      <c r="AU38" s="186">
        <v>0</v>
      </c>
      <c r="AV38" s="186">
        <v>0</v>
      </c>
      <c r="AW38" s="186">
        <v>0</v>
      </c>
      <c r="AX38" s="186">
        <v>0</v>
      </c>
      <c r="AY38" s="186">
        <v>0</v>
      </c>
      <c r="AZ38" s="186">
        <v>0</v>
      </c>
      <c r="BA38" s="186">
        <v>0</v>
      </c>
      <c r="BB38" s="186">
        <v>0</v>
      </c>
      <c r="BC38" s="186">
        <v>0</v>
      </c>
      <c r="BD38" s="186">
        <v>0</v>
      </c>
      <c r="BE38" s="186">
        <v>0</v>
      </c>
      <c r="BF38" s="186">
        <v>0</v>
      </c>
      <c r="BG38" s="186">
        <v>0</v>
      </c>
      <c r="BH38" s="186">
        <v>0</v>
      </c>
      <c r="BI38" s="186">
        <v>0</v>
      </c>
      <c r="BJ38" s="186">
        <v>0</v>
      </c>
      <c r="BK38" s="186">
        <v>0</v>
      </c>
      <c r="BL38" s="186">
        <v>0</v>
      </c>
      <c r="BM38" s="186">
        <v>0</v>
      </c>
      <c r="BN38" s="186">
        <v>0</v>
      </c>
      <c r="BO38" s="186">
        <v>0</v>
      </c>
      <c r="BP38" s="186">
        <v>0</v>
      </c>
      <c r="BQ38" s="186">
        <v>0</v>
      </c>
      <c r="BR38" s="186">
        <v>0</v>
      </c>
      <c r="BS38" s="186">
        <v>0</v>
      </c>
      <c r="BT38" s="186">
        <v>0</v>
      </c>
      <c r="BU38" s="186">
        <v>0</v>
      </c>
      <c r="BV38" s="186">
        <v>0</v>
      </c>
      <c r="BW38" s="186">
        <v>0</v>
      </c>
      <c r="BX38" s="186">
        <v>0</v>
      </c>
      <c r="BY38" s="186">
        <v>0</v>
      </c>
      <c r="BZ38" s="186">
        <v>0</v>
      </c>
      <c r="CA38" s="186">
        <v>0</v>
      </c>
      <c r="CB38" s="186">
        <v>0</v>
      </c>
      <c r="CC38" s="186">
        <v>0</v>
      </c>
      <c r="CD38" s="186">
        <v>0</v>
      </c>
      <c r="CE38" s="186">
        <v>0</v>
      </c>
      <c r="CF38" s="186">
        <v>0</v>
      </c>
      <c r="CG38" s="186">
        <v>0</v>
      </c>
      <c r="CH38" s="186">
        <v>0</v>
      </c>
      <c r="CI38" s="186">
        <v>0</v>
      </c>
      <c r="CJ38" s="186">
        <v>0</v>
      </c>
      <c r="CK38" s="186">
        <v>0</v>
      </c>
      <c r="CL38" s="186">
        <v>0</v>
      </c>
      <c r="CM38" s="186">
        <v>0</v>
      </c>
      <c r="CN38" s="186">
        <v>0</v>
      </c>
      <c r="CO38" s="186">
        <v>0</v>
      </c>
      <c r="CP38" s="186">
        <v>0</v>
      </c>
      <c r="CQ38" s="186">
        <v>0</v>
      </c>
      <c r="CR38" s="186">
        <v>0</v>
      </c>
      <c r="CS38" s="186">
        <v>0</v>
      </c>
      <c r="CT38" s="186">
        <v>0</v>
      </c>
      <c r="CU38" s="186">
        <v>0</v>
      </c>
      <c r="CV38" s="186">
        <v>0</v>
      </c>
      <c r="CW38" s="186">
        <v>0</v>
      </c>
      <c r="CX38" s="186">
        <v>0</v>
      </c>
      <c r="CY38" s="186">
        <v>0</v>
      </c>
      <c r="CZ38" s="186">
        <v>0</v>
      </c>
      <c r="DA38" s="186">
        <v>0</v>
      </c>
      <c r="DB38" s="186">
        <v>0</v>
      </c>
      <c r="DC38" s="186">
        <v>0</v>
      </c>
    </row>
    <row r="39" spans="1:107">
      <c r="A39" s="187" t="s">
        <v>92</v>
      </c>
      <c r="B39" s="186">
        <v>417941.67</v>
      </c>
      <c r="C39" s="186">
        <v>227797.72</v>
      </c>
      <c r="D39" s="186">
        <v>41092</v>
      </c>
      <c r="E39" s="186">
        <v>15178</v>
      </c>
      <c r="F39" s="186">
        <v>300</v>
      </c>
      <c r="G39" s="186">
        <v>0</v>
      </c>
      <c r="H39" s="186">
        <v>0</v>
      </c>
      <c r="I39" s="186">
        <v>0</v>
      </c>
      <c r="J39" s="186">
        <v>133573.95000000001</v>
      </c>
      <c r="K39" s="186">
        <v>0</v>
      </c>
      <c r="L39" s="186">
        <v>0</v>
      </c>
      <c r="M39" s="186">
        <v>0</v>
      </c>
      <c r="N39" s="186">
        <v>0</v>
      </c>
      <c r="O39" s="186">
        <v>0</v>
      </c>
      <c r="P39" s="186">
        <v>0</v>
      </c>
      <c r="Q39" s="186">
        <v>0</v>
      </c>
      <c r="R39" s="186">
        <v>0</v>
      </c>
      <c r="S39" s="186">
        <v>0</v>
      </c>
      <c r="T39" s="186">
        <v>0</v>
      </c>
      <c r="U39" s="186">
        <v>0</v>
      </c>
      <c r="V39" s="186">
        <v>0</v>
      </c>
      <c r="W39" s="186">
        <v>0</v>
      </c>
      <c r="X39" s="186">
        <v>2618</v>
      </c>
      <c r="Y39" s="186">
        <v>0</v>
      </c>
      <c r="Z39" s="186">
        <v>3140</v>
      </c>
      <c r="AA39" s="186">
        <v>0</v>
      </c>
      <c r="AB39" s="186">
        <v>3140</v>
      </c>
      <c r="AC39" s="186">
        <v>3140</v>
      </c>
      <c r="AD39" s="186">
        <v>3140</v>
      </c>
      <c r="AE39" s="186">
        <v>0</v>
      </c>
      <c r="AF39" s="186">
        <v>38610</v>
      </c>
      <c r="AG39" s="186">
        <v>1241</v>
      </c>
      <c r="AH39" s="186">
        <v>1241</v>
      </c>
      <c r="AI39" s="186">
        <v>0</v>
      </c>
      <c r="AJ39" s="186">
        <v>0</v>
      </c>
      <c r="AK39" s="186">
        <v>0</v>
      </c>
      <c r="AL39" s="186">
        <v>300</v>
      </c>
      <c r="AM39" s="186">
        <v>0</v>
      </c>
      <c r="AN39" s="186">
        <v>0</v>
      </c>
      <c r="AO39" s="186">
        <v>0</v>
      </c>
      <c r="AP39" s="186">
        <v>0</v>
      </c>
      <c r="AQ39" s="186">
        <v>5400</v>
      </c>
      <c r="AR39" s="186">
        <v>0</v>
      </c>
      <c r="AS39" s="186">
        <v>0</v>
      </c>
      <c r="AT39" s="186">
        <v>31697.09</v>
      </c>
      <c r="AU39" s="186">
        <v>14239</v>
      </c>
      <c r="AV39" s="186">
        <v>0</v>
      </c>
      <c r="AW39" s="186">
        <v>18607.95</v>
      </c>
      <c r="AX39" s="186">
        <v>21617.65</v>
      </c>
      <c r="AY39" s="186">
        <v>11374</v>
      </c>
      <c r="AZ39" s="186">
        <v>4500</v>
      </c>
      <c r="BA39" s="186">
        <v>3930</v>
      </c>
      <c r="BB39" s="186">
        <v>1600</v>
      </c>
      <c r="BC39" s="186">
        <v>0</v>
      </c>
      <c r="BD39" s="186">
        <v>30939</v>
      </c>
      <c r="BE39" s="186">
        <v>23793.85</v>
      </c>
      <c r="BF39" s="186">
        <v>3557</v>
      </c>
      <c r="BG39" s="186">
        <v>0</v>
      </c>
      <c r="BH39" s="186">
        <v>7400</v>
      </c>
      <c r="BI39" s="186">
        <v>0</v>
      </c>
      <c r="BJ39" s="186">
        <v>1200</v>
      </c>
      <c r="BK39" s="186">
        <v>3645</v>
      </c>
      <c r="BL39" s="186">
        <v>1850</v>
      </c>
      <c r="BM39" s="186">
        <v>0</v>
      </c>
      <c r="BN39" s="186">
        <v>0</v>
      </c>
      <c r="BO39" s="186">
        <v>0</v>
      </c>
      <c r="BP39" s="186">
        <v>800</v>
      </c>
      <c r="BQ39" s="186">
        <v>0</v>
      </c>
      <c r="BR39" s="186">
        <v>754.72</v>
      </c>
      <c r="BS39" s="186">
        <v>0</v>
      </c>
      <c r="BT39" s="186">
        <v>0</v>
      </c>
      <c r="BU39" s="186">
        <v>0</v>
      </c>
      <c r="BV39" s="186">
        <v>0</v>
      </c>
      <c r="BW39" s="186">
        <v>7664</v>
      </c>
      <c r="BX39" s="186">
        <v>1500</v>
      </c>
      <c r="BY39" s="186">
        <v>5998</v>
      </c>
      <c r="BZ39" s="186">
        <v>0</v>
      </c>
      <c r="CA39" s="186">
        <v>0</v>
      </c>
      <c r="CB39" s="186">
        <v>0</v>
      </c>
      <c r="CC39" s="186">
        <v>0</v>
      </c>
      <c r="CD39" s="186">
        <v>0</v>
      </c>
      <c r="CE39" s="186">
        <v>0</v>
      </c>
      <c r="CF39" s="186">
        <v>0</v>
      </c>
      <c r="CG39" s="186">
        <v>0</v>
      </c>
      <c r="CH39" s="186">
        <v>0</v>
      </c>
      <c r="CI39" s="186">
        <v>0</v>
      </c>
      <c r="CJ39" s="186">
        <v>0</v>
      </c>
      <c r="CK39" s="186">
        <v>0</v>
      </c>
      <c r="CL39" s="186">
        <v>3300</v>
      </c>
      <c r="CM39" s="186">
        <v>0</v>
      </c>
      <c r="CN39" s="186">
        <v>0</v>
      </c>
      <c r="CO39" s="186">
        <v>0</v>
      </c>
      <c r="CP39" s="186">
        <v>0</v>
      </c>
      <c r="CQ39" s="186">
        <v>300</v>
      </c>
      <c r="CR39" s="186">
        <v>0</v>
      </c>
      <c r="CS39" s="186">
        <v>1029.46</v>
      </c>
      <c r="CT39" s="186">
        <v>0</v>
      </c>
      <c r="CU39" s="186">
        <v>0</v>
      </c>
      <c r="CV39" s="186">
        <v>5500</v>
      </c>
      <c r="CW39" s="186">
        <v>0</v>
      </c>
      <c r="CX39" s="186">
        <v>0</v>
      </c>
      <c r="CY39" s="186">
        <v>5075</v>
      </c>
      <c r="CZ39" s="186">
        <v>10526</v>
      </c>
      <c r="DA39" s="186">
        <v>0</v>
      </c>
      <c r="DB39" s="186">
        <v>0</v>
      </c>
      <c r="DC39" s="186">
        <v>0</v>
      </c>
    </row>
    <row r="40" spans="1:107">
      <c r="A40" s="187" t="s">
        <v>95</v>
      </c>
      <c r="B40" s="186">
        <v>1804347</v>
      </c>
      <c r="C40" s="186">
        <v>202130</v>
      </c>
      <c r="D40" s="186">
        <v>0</v>
      </c>
      <c r="E40" s="186">
        <v>0</v>
      </c>
      <c r="F40" s="186">
        <v>5000</v>
      </c>
      <c r="G40" s="186">
        <v>0</v>
      </c>
      <c r="H40" s="186">
        <v>1597217</v>
      </c>
      <c r="I40" s="186">
        <v>0</v>
      </c>
      <c r="J40" s="186">
        <v>0</v>
      </c>
      <c r="K40" s="186">
        <v>0</v>
      </c>
      <c r="L40" s="186">
        <v>0</v>
      </c>
      <c r="M40" s="186">
        <v>0</v>
      </c>
      <c r="N40" s="186">
        <v>0</v>
      </c>
      <c r="O40" s="186">
        <v>0</v>
      </c>
      <c r="P40" s="186">
        <v>0</v>
      </c>
      <c r="Q40" s="186">
        <v>0</v>
      </c>
      <c r="R40" s="186">
        <v>0</v>
      </c>
      <c r="S40" s="186">
        <v>0</v>
      </c>
      <c r="T40" s="186">
        <v>0</v>
      </c>
      <c r="U40" s="186">
        <v>0</v>
      </c>
      <c r="V40" s="186">
        <v>0</v>
      </c>
      <c r="W40" s="186">
        <v>0</v>
      </c>
      <c r="X40" s="186">
        <v>0</v>
      </c>
      <c r="Y40" s="186">
        <v>0</v>
      </c>
      <c r="Z40" s="186">
        <v>0</v>
      </c>
      <c r="AA40" s="186">
        <v>0</v>
      </c>
      <c r="AB40" s="186">
        <v>0</v>
      </c>
      <c r="AC40" s="186">
        <v>0</v>
      </c>
      <c r="AD40" s="186">
        <v>0</v>
      </c>
      <c r="AE40" s="186">
        <v>0</v>
      </c>
      <c r="AF40" s="186">
        <v>0</v>
      </c>
      <c r="AG40" s="186">
        <v>0</v>
      </c>
      <c r="AH40" s="186">
        <v>0</v>
      </c>
      <c r="AI40" s="186">
        <v>0</v>
      </c>
      <c r="AJ40" s="186">
        <v>0</v>
      </c>
      <c r="AK40" s="186">
        <v>0</v>
      </c>
      <c r="AL40" s="186">
        <v>5000</v>
      </c>
      <c r="AM40" s="186">
        <v>0</v>
      </c>
      <c r="AN40" s="186">
        <v>0</v>
      </c>
      <c r="AO40" s="186">
        <v>0</v>
      </c>
      <c r="AP40" s="186">
        <v>0</v>
      </c>
      <c r="AQ40" s="186">
        <v>0</v>
      </c>
      <c r="AR40" s="186">
        <v>0</v>
      </c>
      <c r="AS40" s="186">
        <v>0</v>
      </c>
      <c r="AT40" s="186">
        <v>0</v>
      </c>
      <c r="AU40" s="186">
        <v>0</v>
      </c>
      <c r="AV40" s="186">
        <v>0</v>
      </c>
      <c r="AW40" s="186">
        <v>0</v>
      </c>
      <c r="AX40" s="186">
        <v>0</v>
      </c>
      <c r="AY40" s="186">
        <v>0</v>
      </c>
      <c r="AZ40" s="186">
        <v>0</v>
      </c>
      <c r="BA40" s="186">
        <v>0</v>
      </c>
      <c r="BB40" s="186">
        <v>8000</v>
      </c>
      <c r="BC40" s="186">
        <v>0</v>
      </c>
      <c r="BD40" s="186">
        <v>30000</v>
      </c>
      <c r="BE40" s="186">
        <v>22130</v>
      </c>
      <c r="BF40" s="186">
        <v>8000</v>
      </c>
      <c r="BG40" s="186">
        <v>8000</v>
      </c>
      <c r="BH40" s="186">
        <v>0</v>
      </c>
      <c r="BI40" s="186">
        <v>0</v>
      </c>
      <c r="BJ40" s="186">
        <v>0</v>
      </c>
      <c r="BK40" s="186">
        <v>0</v>
      </c>
      <c r="BL40" s="186">
        <v>0</v>
      </c>
      <c r="BM40" s="186">
        <v>0</v>
      </c>
      <c r="BN40" s="186">
        <v>0</v>
      </c>
      <c r="BO40" s="186">
        <v>0</v>
      </c>
      <c r="BP40" s="186">
        <v>0</v>
      </c>
      <c r="BQ40" s="186">
        <v>0</v>
      </c>
      <c r="BR40" s="186">
        <v>3000</v>
      </c>
      <c r="BS40" s="186">
        <v>0</v>
      </c>
      <c r="BT40" s="186">
        <v>0</v>
      </c>
      <c r="BU40" s="186">
        <v>0</v>
      </c>
      <c r="BV40" s="186">
        <v>0</v>
      </c>
      <c r="BW40" s="186">
        <v>0</v>
      </c>
      <c r="BX40" s="186">
        <v>0</v>
      </c>
      <c r="BY40" s="186">
        <v>0</v>
      </c>
      <c r="BZ40" s="186">
        <v>0</v>
      </c>
      <c r="CA40" s="186">
        <v>0</v>
      </c>
      <c r="CB40" s="186">
        <v>0</v>
      </c>
      <c r="CC40" s="186">
        <v>5000</v>
      </c>
      <c r="CD40" s="186">
        <v>5000</v>
      </c>
      <c r="CE40" s="186">
        <v>0</v>
      </c>
      <c r="CF40" s="186">
        <v>0</v>
      </c>
      <c r="CG40" s="186">
        <v>18000</v>
      </c>
      <c r="CH40" s="186">
        <v>30000</v>
      </c>
      <c r="CI40" s="186">
        <v>0</v>
      </c>
      <c r="CJ40" s="186">
        <v>0</v>
      </c>
      <c r="CK40" s="186">
        <v>0</v>
      </c>
      <c r="CL40" s="186">
        <v>0</v>
      </c>
      <c r="CM40" s="186">
        <v>20000</v>
      </c>
      <c r="CN40" s="186">
        <v>0</v>
      </c>
      <c r="CO40" s="186">
        <v>0</v>
      </c>
      <c r="CP40" s="186">
        <v>10000</v>
      </c>
      <c r="CQ40" s="186">
        <v>0</v>
      </c>
      <c r="CR40" s="186">
        <v>0</v>
      </c>
      <c r="CS40" s="186">
        <v>15000</v>
      </c>
      <c r="CT40" s="186">
        <v>0</v>
      </c>
      <c r="CU40" s="186">
        <v>0</v>
      </c>
      <c r="CV40" s="186">
        <v>0</v>
      </c>
      <c r="CW40" s="186">
        <v>0</v>
      </c>
      <c r="CX40" s="186">
        <v>20000</v>
      </c>
      <c r="CY40" s="186">
        <v>0</v>
      </c>
      <c r="CZ40" s="186">
        <v>0</v>
      </c>
      <c r="DA40" s="186">
        <v>0</v>
      </c>
      <c r="DB40" s="186">
        <v>0</v>
      </c>
      <c r="DC40" s="186">
        <v>0</v>
      </c>
    </row>
    <row r="41" spans="1:107">
      <c r="A41" s="187" t="s">
        <v>97</v>
      </c>
      <c r="B41" s="186">
        <v>252296.01</v>
      </c>
      <c r="C41" s="186">
        <v>0</v>
      </c>
      <c r="D41" s="186">
        <v>67169.8</v>
      </c>
      <c r="E41" s="186">
        <v>0</v>
      </c>
      <c r="F41" s="186">
        <v>0</v>
      </c>
      <c r="G41" s="186">
        <v>0</v>
      </c>
      <c r="H41" s="186">
        <v>0</v>
      </c>
      <c r="I41" s="186">
        <v>0</v>
      </c>
      <c r="J41" s="186">
        <v>0</v>
      </c>
      <c r="K41" s="186">
        <v>0</v>
      </c>
      <c r="L41" s="186">
        <v>0</v>
      </c>
      <c r="M41" s="186">
        <v>35126.21</v>
      </c>
      <c r="N41" s="186">
        <v>0</v>
      </c>
      <c r="O41" s="186">
        <v>0</v>
      </c>
      <c r="P41" s="186">
        <v>150000</v>
      </c>
      <c r="Q41" s="186">
        <v>0</v>
      </c>
      <c r="R41" s="186">
        <v>0</v>
      </c>
      <c r="S41" s="186">
        <v>0</v>
      </c>
      <c r="T41" s="186">
        <v>0</v>
      </c>
      <c r="U41" s="186">
        <v>0</v>
      </c>
      <c r="V41" s="186">
        <v>0</v>
      </c>
      <c r="W41" s="186">
        <v>0</v>
      </c>
      <c r="X41" s="186">
        <v>0</v>
      </c>
      <c r="Y41" s="186">
        <v>0</v>
      </c>
      <c r="Z41" s="186">
        <v>0</v>
      </c>
      <c r="AA41" s="186">
        <v>0</v>
      </c>
      <c r="AB41" s="186">
        <v>0</v>
      </c>
      <c r="AC41" s="186">
        <v>0</v>
      </c>
      <c r="AD41" s="186">
        <v>0</v>
      </c>
      <c r="AE41" s="186">
        <v>0</v>
      </c>
      <c r="AF41" s="186">
        <v>0</v>
      </c>
      <c r="AG41" s="186">
        <v>38867.919999999998</v>
      </c>
      <c r="AH41" s="186">
        <v>28301.88</v>
      </c>
      <c r="AI41" s="186">
        <v>0</v>
      </c>
      <c r="AJ41" s="186">
        <v>0</v>
      </c>
      <c r="AK41" s="186">
        <v>0</v>
      </c>
      <c r="AL41" s="186">
        <v>0</v>
      </c>
      <c r="AM41" s="186">
        <v>0</v>
      </c>
      <c r="AN41" s="186">
        <v>0</v>
      </c>
      <c r="AO41" s="186">
        <v>0</v>
      </c>
      <c r="AP41" s="186">
        <v>0</v>
      </c>
      <c r="AQ41" s="186">
        <v>0</v>
      </c>
      <c r="AR41" s="186">
        <v>0</v>
      </c>
      <c r="AS41" s="186">
        <v>0</v>
      </c>
      <c r="AT41" s="186">
        <v>0</v>
      </c>
      <c r="AU41" s="186">
        <v>0</v>
      </c>
      <c r="AV41" s="186">
        <v>0</v>
      </c>
      <c r="AW41" s="186">
        <v>0</v>
      </c>
      <c r="AX41" s="186">
        <v>0</v>
      </c>
      <c r="AY41" s="186">
        <v>0</v>
      </c>
      <c r="AZ41" s="186">
        <v>0</v>
      </c>
      <c r="BA41" s="186">
        <v>0</v>
      </c>
      <c r="BB41" s="186">
        <v>0</v>
      </c>
      <c r="BC41" s="186">
        <v>0</v>
      </c>
      <c r="BD41" s="186">
        <v>0</v>
      </c>
      <c r="BE41" s="186">
        <v>0</v>
      </c>
      <c r="BF41" s="186">
        <v>0</v>
      </c>
      <c r="BG41" s="186">
        <v>0</v>
      </c>
      <c r="BH41" s="186">
        <v>0</v>
      </c>
      <c r="BI41" s="186">
        <v>0</v>
      </c>
      <c r="BJ41" s="186">
        <v>0</v>
      </c>
      <c r="BK41" s="186">
        <v>0</v>
      </c>
      <c r="BL41" s="186">
        <v>0</v>
      </c>
      <c r="BM41" s="186">
        <v>0</v>
      </c>
      <c r="BN41" s="186">
        <v>0</v>
      </c>
      <c r="BO41" s="186">
        <v>0</v>
      </c>
      <c r="BP41" s="186">
        <v>0</v>
      </c>
      <c r="BQ41" s="186">
        <v>0</v>
      </c>
      <c r="BR41" s="186">
        <v>0</v>
      </c>
      <c r="BS41" s="186">
        <v>0</v>
      </c>
      <c r="BT41" s="186">
        <v>0</v>
      </c>
      <c r="BU41" s="186">
        <v>0</v>
      </c>
      <c r="BV41" s="186">
        <v>0</v>
      </c>
      <c r="BW41" s="186">
        <v>0</v>
      </c>
      <c r="BX41" s="186">
        <v>0</v>
      </c>
      <c r="BY41" s="186">
        <v>0</v>
      </c>
      <c r="BZ41" s="186">
        <v>0</v>
      </c>
      <c r="CA41" s="186">
        <v>0</v>
      </c>
      <c r="CB41" s="186">
        <v>0</v>
      </c>
      <c r="CC41" s="186">
        <v>0</v>
      </c>
      <c r="CD41" s="186">
        <v>0</v>
      </c>
      <c r="CE41" s="186">
        <v>0</v>
      </c>
      <c r="CF41" s="186">
        <v>0</v>
      </c>
      <c r="CG41" s="186">
        <v>0</v>
      </c>
      <c r="CH41" s="186">
        <v>0</v>
      </c>
      <c r="CI41" s="186">
        <v>0</v>
      </c>
      <c r="CJ41" s="186">
        <v>0</v>
      </c>
      <c r="CK41" s="186">
        <v>0</v>
      </c>
      <c r="CL41" s="186">
        <v>0</v>
      </c>
      <c r="CM41" s="186">
        <v>0</v>
      </c>
      <c r="CN41" s="186">
        <v>0</v>
      </c>
      <c r="CO41" s="186">
        <v>0</v>
      </c>
      <c r="CP41" s="186">
        <v>0</v>
      </c>
      <c r="CQ41" s="186">
        <v>0</v>
      </c>
      <c r="CR41" s="186">
        <v>0</v>
      </c>
      <c r="CS41" s="186">
        <v>0</v>
      </c>
      <c r="CT41" s="186">
        <v>0</v>
      </c>
      <c r="CU41" s="186">
        <v>0</v>
      </c>
      <c r="CV41" s="186">
        <v>0</v>
      </c>
      <c r="CW41" s="186">
        <v>0</v>
      </c>
      <c r="CX41" s="186">
        <v>0</v>
      </c>
      <c r="CY41" s="186">
        <v>0</v>
      </c>
      <c r="CZ41" s="186">
        <v>0</v>
      </c>
      <c r="DA41" s="186">
        <v>0</v>
      </c>
      <c r="DB41" s="186">
        <v>0</v>
      </c>
      <c r="DC41" s="186">
        <v>0</v>
      </c>
    </row>
    <row r="42" spans="1:107">
      <c r="A42" s="187" t="s">
        <v>98</v>
      </c>
      <c r="B42" s="186">
        <v>350</v>
      </c>
      <c r="C42" s="186">
        <v>-1050</v>
      </c>
      <c r="D42" s="186">
        <v>0</v>
      </c>
      <c r="E42" s="186">
        <v>1400</v>
      </c>
      <c r="F42" s="186">
        <v>0</v>
      </c>
      <c r="G42" s="186">
        <v>0</v>
      </c>
      <c r="H42" s="186">
        <v>0</v>
      </c>
      <c r="I42" s="186">
        <v>0</v>
      </c>
      <c r="J42" s="186">
        <v>0</v>
      </c>
      <c r="K42" s="186">
        <v>0</v>
      </c>
      <c r="L42" s="186">
        <v>0</v>
      </c>
      <c r="M42" s="186">
        <v>0</v>
      </c>
      <c r="N42" s="186">
        <v>0</v>
      </c>
      <c r="O42" s="186">
        <v>0</v>
      </c>
      <c r="P42" s="186">
        <v>0</v>
      </c>
      <c r="Q42" s="186">
        <v>0</v>
      </c>
      <c r="R42" s="186">
        <v>0</v>
      </c>
      <c r="S42" s="186">
        <v>0</v>
      </c>
      <c r="T42" s="186">
        <v>0</v>
      </c>
      <c r="U42" s="186">
        <v>0</v>
      </c>
      <c r="V42" s="186">
        <v>0</v>
      </c>
      <c r="W42" s="186">
        <v>0</v>
      </c>
      <c r="X42" s="186">
        <v>0</v>
      </c>
      <c r="Y42" s="186">
        <v>0</v>
      </c>
      <c r="Z42" s="186">
        <v>1400</v>
      </c>
      <c r="AA42" s="186">
        <v>0</v>
      </c>
      <c r="AB42" s="186">
        <v>0</v>
      </c>
      <c r="AC42" s="186">
        <v>0</v>
      </c>
      <c r="AD42" s="186">
        <v>0</v>
      </c>
      <c r="AE42" s="186">
        <v>0</v>
      </c>
      <c r="AF42" s="186">
        <v>0</v>
      </c>
      <c r="AG42" s="186">
        <v>0</v>
      </c>
      <c r="AH42" s="186">
        <v>0</v>
      </c>
      <c r="AI42" s="186">
        <v>0</v>
      </c>
      <c r="AJ42" s="186">
        <v>0</v>
      </c>
      <c r="AK42" s="186">
        <v>0</v>
      </c>
      <c r="AL42" s="186">
        <v>0</v>
      </c>
      <c r="AM42" s="186">
        <v>0</v>
      </c>
      <c r="AN42" s="186">
        <v>0</v>
      </c>
      <c r="AO42" s="186">
        <v>0</v>
      </c>
      <c r="AP42" s="186">
        <v>0</v>
      </c>
      <c r="AQ42" s="186">
        <v>0</v>
      </c>
      <c r="AR42" s="186">
        <v>0</v>
      </c>
      <c r="AS42" s="186">
        <v>0</v>
      </c>
      <c r="AT42" s="186">
        <v>0</v>
      </c>
      <c r="AU42" s="186">
        <v>0</v>
      </c>
      <c r="AV42" s="186">
        <v>0</v>
      </c>
      <c r="AW42" s="186">
        <v>0</v>
      </c>
      <c r="AX42" s="186">
        <v>0</v>
      </c>
      <c r="AY42" s="186">
        <v>0</v>
      </c>
      <c r="AZ42" s="186">
        <v>0</v>
      </c>
      <c r="BA42" s="186">
        <v>0</v>
      </c>
      <c r="BB42" s="186">
        <v>0</v>
      </c>
      <c r="BC42" s="186">
        <v>0</v>
      </c>
      <c r="BD42" s="186">
        <v>0</v>
      </c>
      <c r="BE42" s="186">
        <v>0</v>
      </c>
      <c r="BF42" s="186">
        <v>0</v>
      </c>
      <c r="BG42" s="186">
        <v>0</v>
      </c>
      <c r="BH42" s="186">
        <v>0</v>
      </c>
      <c r="BI42" s="186">
        <v>0</v>
      </c>
      <c r="BJ42" s="186">
        <v>0</v>
      </c>
      <c r="BK42" s="186">
        <v>0</v>
      </c>
      <c r="BL42" s="186">
        <v>0</v>
      </c>
      <c r="BM42" s="186">
        <v>0</v>
      </c>
      <c r="BN42" s="186">
        <v>0</v>
      </c>
      <c r="BO42" s="186">
        <v>0</v>
      </c>
      <c r="BP42" s="186">
        <v>0</v>
      </c>
      <c r="BQ42" s="186">
        <v>0</v>
      </c>
      <c r="BR42" s="186">
        <v>0</v>
      </c>
      <c r="BS42" s="186">
        <v>0</v>
      </c>
      <c r="BT42" s="186">
        <v>0</v>
      </c>
      <c r="BU42" s="186">
        <v>0</v>
      </c>
      <c r="BV42" s="186">
        <v>0</v>
      </c>
      <c r="BW42" s="186">
        <v>0</v>
      </c>
      <c r="BX42" s="186">
        <v>0</v>
      </c>
      <c r="BY42" s="186">
        <v>0</v>
      </c>
      <c r="BZ42" s="186">
        <v>0</v>
      </c>
      <c r="CA42" s="186">
        <v>0</v>
      </c>
      <c r="CB42" s="186">
        <v>0</v>
      </c>
      <c r="CC42" s="186">
        <v>0</v>
      </c>
      <c r="CD42" s="186">
        <v>-1050</v>
      </c>
      <c r="CE42" s="186">
        <v>0</v>
      </c>
      <c r="CF42" s="186">
        <v>0</v>
      </c>
      <c r="CG42" s="186">
        <v>0</v>
      </c>
      <c r="CH42" s="186">
        <v>0</v>
      </c>
      <c r="CI42" s="186">
        <v>0</v>
      </c>
      <c r="CJ42" s="186">
        <v>0</v>
      </c>
      <c r="CK42" s="186">
        <v>0</v>
      </c>
      <c r="CL42" s="186">
        <v>0</v>
      </c>
      <c r="CM42" s="186">
        <v>0</v>
      </c>
      <c r="CN42" s="186">
        <v>0</v>
      </c>
      <c r="CO42" s="186">
        <v>0</v>
      </c>
      <c r="CP42" s="186">
        <v>0</v>
      </c>
      <c r="CQ42" s="186">
        <v>0</v>
      </c>
      <c r="CR42" s="186">
        <v>0</v>
      </c>
      <c r="CS42" s="186">
        <v>0</v>
      </c>
      <c r="CT42" s="186">
        <v>0</v>
      </c>
      <c r="CU42" s="186">
        <v>0</v>
      </c>
      <c r="CV42" s="186">
        <v>0</v>
      </c>
      <c r="CW42" s="186">
        <v>0</v>
      </c>
      <c r="CX42" s="186">
        <v>0</v>
      </c>
      <c r="CY42" s="186">
        <v>0</v>
      </c>
      <c r="CZ42" s="186">
        <v>0</v>
      </c>
      <c r="DA42" s="186">
        <v>0</v>
      </c>
      <c r="DB42" s="186">
        <v>0</v>
      </c>
      <c r="DC42" s="186">
        <v>0</v>
      </c>
    </row>
    <row r="43" spans="1:107">
      <c r="A43" s="187" t="s">
        <v>101</v>
      </c>
      <c r="B43" s="186">
        <v>4084761.1799999992</v>
      </c>
      <c r="C43" s="186">
        <v>3359972.7299999995</v>
      </c>
      <c r="D43" s="186">
        <v>0</v>
      </c>
      <c r="E43" s="186">
        <v>195227.25</v>
      </c>
      <c r="F43" s="186">
        <v>122994.53</v>
      </c>
      <c r="G43" s="186">
        <v>0</v>
      </c>
      <c r="H43" s="186">
        <v>0</v>
      </c>
      <c r="I43" s="186">
        <v>0</v>
      </c>
      <c r="J43" s="186">
        <v>0</v>
      </c>
      <c r="K43" s="186">
        <v>0</v>
      </c>
      <c r="L43" s="186">
        <v>0</v>
      </c>
      <c r="M43" s="186">
        <v>0</v>
      </c>
      <c r="N43" s="186">
        <v>0</v>
      </c>
      <c r="O43" s="186">
        <v>0</v>
      </c>
      <c r="P43" s="186">
        <v>0</v>
      </c>
      <c r="Q43" s="186">
        <v>0</v>
      </c>
      <c r="R43" s="186">
        <v>0</v>
      </c>
      <c r="S43" s="186">
        <v>0</v>
      </c>
      <c r="T43" s="186">
        <v>0</v>
      </c>
      <c r="U43" s="186">
        <v>406566.67</v>
      </c>
      <c r="V43" s="186">
        <v>0</v>
      </c>
      <c r="W43" s="186">
        <v>0</v>
      </c>
      <c r="X43" s="186">
        <v>0</v>
      </c>
      <c r="Y43" s="186">
        <v>0</v>
      </c>
      <c r="Z43" s="186">
        <v>11008</v>
      </c>
      <c r="AA43" s="186">
        <v>0</v>
      </c>
      <c r="AB43" s="186">
        <v>34400</v>
      </c>
      <c r="AC43" s="186">
        <v>68904</v>
      </c>
      <c r="AD43" s="186">
        <v>80915.25</v>
      </c>
      <c r="AE43" s="186">
        <v>0</v>
      </c>
      <c r="AF43" s="186">
        <v>0</v>
      </c>
      <c r="AG43" s="186">
        <v>0</v>
      </c>
      <c r="AH43" s="186">
        <v>0</v>
      </c>
      <c r="AI43" s="186">
        <v>0</v>
      </c>
      <c r="AJ43" s="186">
        <v>0</v>
      </c>
      <c r="AK43" s="186">
        <v>122994.53</v>
      </c>
      <c r="AL43" s="186">
        <v>0</v>
      </c>
      <c r="AM43" s="186">
        <v>0</v>
      </c>
      <c r="AN43" s="186">
        <v>0</v>
      </c>
      <c r="AO43" s="186">
        <v>219000</v>
      </c>
      <c r="AP43" s="186">
        <v>0</v>
      </c>
      <c r="AQ43" s="186">
        <v>0</v>
      </c>
      <c r="AR43" s="186">
        <v>0</v>
      </c>
      <c r="AS43" s="186">
        <v>3371.67</v>
      </c>
      <c r="AT43" s="186">
        <v>128628.27</v>
      </c>
      <c r="AU43" s="186">
        <v>168826.14</v>
      </c>
      <c r="AV43" s="186">
        <v>215657.66</v>
      </c>
      <c r="AW43" s="186">
        <v>103975.24</v>
      </c>
      <c r="AX43" s="186">
        <v>163599.44</v>
      </c>
      <c r="AY43" s="186">
        <v>154767.79999999999</v>
      </c>
      <c r="AZ43" s="186">
        <v>88770.16</v>
      </c>
      <c r="BA43" s="186">
        <v>201762.94</v>
      </c>
      <c r="BB43" s="186">
        <v>139409.54</v>
      </c>
      <c r="BC43" s="186">
        <v>93420.44</v>
      </c>
      <c r="BD43" s="186">
        <v>223791.28</v>
      </c>
      <c r="BE43" s="186">
        <v>155204.28</v>
      </c>
      <c r="BF43" s="186">
        <v>112036.72</v>
      </c>
      <c r="BG43" s="186">
        <v>99752.180000000008</v>
      </c>
      <c r="BH43" s="186">
        <v>94964.46</v>
      </c>
      <c r="BI43" s="186">
        <v>60784.44</v>
      </c>
      <c r="BJ43" s="186">
        <v>100043.66</v>
      </c>
      <c r="BK43" s="186">
        <v>76355.14</v>
      </c>
      <c r="BL43" s="186">
        <v>90299.82</v>
      </c>
      <c r="BM43" s="186">
        <v>41559.440000000002</v>
      </c>
      <c r="BN43" s="186">
        <v>48442.46</v>
      </c>
      <c r="BO43" s="186">
        <v>104229.41</v>
      </c>
      <c r="BP43" s="186">
        <v>11419.46</v>
      </c>
      <c r="BQ43" s="186">
        <v>20704</v>
      </c>
      <c r="BR43" s="186">
        <v>8803</v>
      </c>
      <c r="BS43" s="186">
        <v>24046</v>
      </c>
      <c r="BT43" s="186">
        <v>8086</v>
      </c>
      <c r="BU43" s="186">
        <v>16042</v>
      </c>
      <c r="BV43" s="186">
        <v>26205</v>
      </c>
      <c r="BW43" s="186">
        <v>9143</v>
      </c>
      <c r="BX43" s="186">
        <v>5479</v>
      </c>
      <c r="BY43" s="186">
        <v>11854</v>
      </c>
      <c r="BZ43" s="186">
        <v>3713</v>
      </c>
      <c r="CA43" s="186">
        <v>4560</v>
      </c>
      <c r="CB43" s="186">
        <v>11721</v>
      </c>
      <c r="CC43" s="186">
        <v>74911.899999999994</v>
      </c>
      <c r="CD43" s="186">
        <v>151638</v>
      </c>
      <c r="CE43" s="186">
        <v>9066.76</v>
      </c>
      <c r="CF43" s="186">
        <v>0</v>
      </c>
      <c r="CG43" s="186">
        <v>1084</v>
      </c>
      <c r="CH43" s="186">
        <v>7276</v>
      </c>
      <c r="CI43" s="186">
        <v>0</v>
      </c>
      <c r="CJ43" s="186">
        <v>417</v>
      </c>
      <c r="CK43" s="186">
        <v>107.4</v>
      </c>
      <c r="CL43" s="186">
        <v>6000</v>
      </c>
      <c r="CM43" s="186">
        <v>8707</v>
      </c>
      <c r="CN43" s="186">
        <v>6069</v>
      </c>
      <c r="CO43" s="186">
        <v>0</v>
      </c>
      <c r="CP43" s="186">
        <v>591</v>
      </c>
      <c r="CQ43" s="186">
        <v>4415</v>
      </c>
      <c r="CR43" s="186">
        <v>0</v>
      </c>
      <c r="CS43" s="186">
        <v>2021.53</v>
      </c>
      <c r="CT43" s="186">
        <v>4360</v>
      </c>
      <c r="CU43" s="186">
        <v>217.98</v>
      </c>
      <c r="CV43" s="186">
        <v>0</v>
      </c>
      <c r="CW43" s="186">
        <v>0</v>
      </c>
      <c r="CX43" s="186">
        <v>0</v>
      </c>
      <c r="CY43" s="186">
        <v>0</v>
      </c>
      <c r="CZ43" s="186">
        <v>0</v>
      </c>
      <c r="DA43" s="186">
        <v>0</v>
      </c>
      <c r="DB43" s="186">
        <v>11662.11</v>
      </c>
      <c r="DC43" s="186">
        <v>21000</v>
      </c>
    </row>
    <row r="44" spans="1:107">
      <c r="A44" s="187" t="s">
        <v>102</v>
      </c>
      <c r="B44" s="186">
        <v>1680583.9000000001</v>
      </c>
      <c r="C44" s="186">
        <v>756491.33000000019</v>
      </c>
      <c r="D44" s="186">
        <v>3533.9700000000003</v>
      </c>
      <c r="E44" s="186">
        <v>302704.14</v>
      </c>
      <c r="F44" s="186">
        <v>5953.02</v>
      </c>
      <c r="G44" s="186">
        <v>0</v>
      </c>
      <c r="H44" s="186">
        <v>0</v>
      </c>
      <c r="I44" s="186">
        <v>0</v>
      </c>
      <c r="J44" s="186">
        <v>0</v>
      </c>
      <c r="K44" s="186">
        <v>49505.200000000004</v>
      </c>
      <c r="L44" s="186">
        <v>0</v>
      </c>
      <c r="M44" s="186">
        <v>0</v>
      </c>
      <c r="N44" s="186">
        <v>0</v>
      </c>
      <c r="O44" s="186">
        <v>0</v>
      </c>
      <c r="P44" s="186">
        <v>0</v>
      </c>
      <c r="Q44" s="186">
        <v>0</v>
      </c>
      <c r="R44" s="186">
        <v>0</v>
      </c>
      <c r="S44" s="186">
        <v>33679.26</v>
      </c>
      <c r="T44" s="186">
        <v>0</v>
      </c>
      <c r="U44" s="186">
        <v>528716.98</v>
      </c>
      <c r="V44" s="186">
        <v>0</v>
      </c>
      <c r="W44" s="186">
        <v>0</v>
      </c>
      <c r="X44" s="186">
        <v>0</v>
      </c>
      <c r="Y44" s="186">
        <v>0</v>
      </c>
      <c r="Z44" s="186">
        <v>76360</v>
      </c>
      <c r="AA44" s="186">
        <v>0</v>
      </c>
      <c r="AB44" s="186">
        <v>2303.4</v>
      </c>
      <c r="AC44" s="186">
        <v>112020.37</v>
      </c>
      <c r="AD44" s="186">
        <v>112020.37</v>
      </c>
      <c r="AE44" s="186">
        <v>0</v>
      </c>
      <c r="AF44" s="186">
        <v>0</v>
      </c>
      <c r="AG44" s="186">
        <v>1600</v>
      </c>
      <c r="AH44" s="186">
        <v>0</v>
      </c>
      <c r="AI44" s="186">
        <v>1933.97</v>
      </c>
      <c r="AJ44" s="186">
        <v>0</v>
      </c>
      <c r="AK44" s="186">
        <v>3373.02</v>
      </c>
      <c r="AL44" s="186">
        <v>2580</v>
      </c>
      <c r="AM44" s="186">
        <v>0</v>
      </c>
      <c r="AN44" s="186">
        <v>0</v>
      </c>
      <c r="AO44" s="186">
        <v>10000</v>
      </c>
      <c r="AP44" s="186">
        <v>0</v>
      </c>
      <c r="AQ44" s="186">
        <v>2000</v>
      </c>
      <c r="AR44" s="186">
        <v>0</v>
      </c>
      <c r="AS44" s="186">
        <v>0</v>
      </c>
      <c r="AT44" s="186">
        <v>40356</v>
      </c>
      <c r="AU44" s="186">
        <v>53362</v>
      </c>
      <c r="AV44" s="186">
        <v>57465</v>
      </c>
      <c r="AW44" s="186">
        <v>34989</v>
      </c>
      <c r="AX44" s="186">
        <v>55739.53</v>
      </c>
      <c r="AY44" s="186">
        <v>46758</v>
      </c>
      <c r="AZ44" s="186">
        <v>19326</v>
      </c>
      <c r="BA44" s="186">
        <v>57712</v>
      </c>
      <c r="BB44" s="186">
        <v>19571</v>
      </c>
      <c r="BC44" s="186">
        <v>20529.34</v>
      </c>
      <c r="BD44" s="186">
        <v>33888</v>
      </c>
      <c r="BE44" s="186">
        <v>35898</v>
      </c>
      <c r="BF44" s="186">
        <v>22221</v>
      </c>
      <c r="BG44" s="186">
        <v>26999</v>
      </c>
      <c r="BH44" s="186">
        <v>19606</v>
      </c>
      <c r="BI44" s="186">
        <v>18967</v>
      </c>
      <c r="BJ44" s="186">
        <v>17495</v>
      </c>
      <c r="BK44" s="186">
        <v>18406</v>
      </c>
      <c r="BL44" s="186">
        <v>16784</v>
      </c>
      <c r="BM44" s="186">
        <v>7853</v>
      </c>
      <c r="BN44" s="186">
        <v>13594</v>
      </c>
      <c r="BO44" s="186">
        <v>18292</v>
      </c>
      <c r="BP44" s="186">
        <v>3674</v>
      </c>
      <c r="BQ44" s="186">
        <v>6628</v>
      </c>
      <c r="BR44" s="186">
        <v>3852</v>
      </c>
      <c r="BS44" s="186">
        <v>9604</v>
      </c>
      <c r="BT44" s="186">
        <v>4145</v>
      </c>
      <c r="BU44" s="186">
        <v>7906</v>
      </c>
      <c r="BV44" s="186">
        <v>7081</v>
      </c>
      <c r="BW44" s="186">
        <v>5044</v>
      </c>
      <c r="BX44" s="186">
        <v>2306</v>
      </c>
      <c r="BY44" s="186">
        <v>5796</v>
      </c>
      <c r="BZ44" s="186">
        <v>1972</v>
      </c>
      <c r="CA44" s="186">
        <v>2421</v>
      </c>
      <c r="CB44" s="186">
        <v>5754</v>
      </c>
      <c r="CC44" s="186">
        <v>4416</v>
      </c>
      <c r="CD44" s="186">
        <v>10865</v>
      </c>
      <c r="CE44" s="186">
        <v>1860</v>
      </c>
      <c r="CF44" s="186">
        <v>0</v>
      </c>
      <c r="CG44" s="186">
        <v>544</v>
      </c>
      <c r="CH44" s="186">
        <v>1333</v>
      </c>
      <c r="CI44" s="186">
        <v>0</v>
      </c>
      <c r="CJ44" s="186">
        <v>248</v>
      </c>
      <c r="CK44" s="186">
        <v>120.54</v>
      </c>
      <c r="CL44" s="186">
        <v>0</v>
      </c>
      <c r="CM44" s="186">
        <v>514</v>
      </c>
      <c r="CN44" s="186">
        <v>64.92</v>
      </c>
      <c r="CO44" s="186">
        <v>0</v>
      </c>
      <c r="CP44" s="186">
        <v>335</v>
      </c>
      <c r="CQ44" s="186">
        <v>84</v>
      </c>
      <c r="CR44" s="186">
        <v>0</v>
      </c>
      <c r="CS44" s="186">
        <v>1030</v>
      </c>
      <c r="CT44" s="186">
        <v>470</v>
      </c>
      <c r="CU44" s="186">
        <v>213</v>
      </c>
      <c r="CV44" s="186">
        <v>0</v>
      </c>
      <c r="CW44" s="186">
        <v>0</v>
      </c>
      <c r="CX44" s="186">
        <v>0</v>
      </c>
      <c r="CY44" s="186">
        <v>0</v>
      </c>
      <c r="CZ44" s="186">
        <v>0</v>
      </c>
      <c r="DA44" s="186">
        <v>0</v>
      </c>
      <c r="DB44" s="186">
        <v>0</v>
      </c>
      <c r="DC44" s="186">
        <v>400</v>
      </c>
    </row>
    <row r="45" spans="1:107">
      <c r="A45" s="187" t="s">
        <v>103</v>
      </c>
      <c r="B45" s="186">
        <v>21436878.619999997</v>
      </c>
      <c r="C45" s="186">
        <v>15117220.589999998</v>
      </c>
      <c r="D45" s="186">
        <v>511307.9</v>
      </c>
      <c r="E45" s="186">
        <v>1646211.8100000003</v>
      </c>
      <c r="F45" s="186">
        <v>734456.78</v>
      </c>
      <c r="G45" s="186">
        <v>0</v>
      </c>
      <c r="H45" s="186">
        <v>0</v>
      </c>
      <c r="I45" s="186">
        <v>0</v>
      </c>
      <c r="J45" s="186">
        <v>371715.56</v>
      </c>
      <c r="K45" s="186">
        <v>0</v>
      </c>
      <c r="L45" s="186">
        <v>0</v>
      </c>
      <c r="M45" s="186">
        <v>0</v>
      </c>
      <c r="N45" s="186">
        <v>86892</v>
      </c>
      <c r="O45" s="186">
        <v>0</v>
      </c>
      <c r="P45" s="186">
        <v>0</v>
      </c>
      <c r="Q45" s="186">
        <v>0</v>
      </c>
      <c r="R45" s="186">
        <v>0</v>
      </c>
      <c r="S45" s="186">
        <v>28063.57</v>
      </c>
      <c r="T45" s="186">
        <v>0</v>
      </c>
      <c r="U45" s="186">
        <v>2829166.69</v>
      </c>
      <c r="V45" s="186">
        <v>0</v>
      </c>
      <c r="W45" s="186">
        <v>0</v>
      </c>
      <c r="X45" s="186">
        <v>1187692.1100000001</v>
      </c>
      <c r="Y45" s="186">
        <v>0</v>
      </c>
      <c r="Z45" s="186">
        <v>118189.31999999999</v>
      </c>
      <c r="AA45" s="186">
        <v>0</v>
      </c>
      <c r="AB45" s="186">
        <v>118184.31999999999</v>
      </c>
      <c r="AC45" s="186">
        <v>110302.34</v>
      </c>
      <c r="AD45" s="186">
        <v>111843.72</v>
      </c>
      <c r="AE45" s="186">
        <v>0</v>
      </c>
      <c r="AF45" s="186">
        <v>154563.12</v>
      </c>
      <c r="AG45" s="186">
        <v>160376.64000000001</v>
      </c>
      <c r="AH45" s="186">
        <v>196368.14</v>
      </c>
      <c r="AI45" s="186">
        <v>0</v>
      </c>
      <c r="AJ45" s="186">
        <v>111843.72</v>
      </c>
      <c r="AK45" s="186">
        <v>362205.95</v>
      </c>
      <c r="AL45" s="186">
        <v>372250.82999999996</v>
      </c>
      <c r="AM45" s="186">
        <v>0</v>
      </c>
      <c r="AN45" s="186">
        <v>0</v>
      </c>
      <c r="AO45" s="186">
        <v>0</v>
      </c>
      <c r="AP45" s="186">
        <v>0</v>
      </c>
      <c r="AQ45" s="186">
        <v>0</v>
      </c>
      <c r="AR45" s="186">
        <v>0</v>
      </c>
      <c r="AS45" s="186">
        <v>0</v>
      </c>
      <c r="AT45" s="186">
        <v>438143.5</v>
      </c>
      <c r="AU45" s="186">
        <v>606136.65999999992</v>
      </c>
      <c r="AV45" s="186">
        <v>599871.01</v>
      </c>
      <c r="AW45" s="186">
        <v>466608</v>
      </c>
      <c r="AX45" s="186">
        <v>778160.18</v>
      </c>
      <c r="AY45" s="186">
        <v>267844.34000000003</v>
      </c>
      <c r="AZ45" s="186">
        <v>122356.51</v>
      </c>
      <c r="BA45" s="186">
        <v>260424</v>
      </c>
      <c r="BB45" s="186">
        <v>746808</v>
      </c>
      <c r="BC45" s="186">
        <v>826712.47</v>
      </c>
      <c r="BD45" s="186">
        <v>1259511.22</v>
      </c>
      <c r="BE45" s="186">
        <v>652560.70000000007</v>
      </c>
      <c r="BF45" s="186">
        <v>1148666.05</v>
      </c>
      <c r="BG45" s="186">
        <v>781579.14</v>
      </c>
      <c r="BH45" s="186">
        <v>374025.97</v>
      </c>
      <c r="BI45" s="186">
        <v>94717</v>
      </c>
      <c r="BJ45" s="186">
        <v>296538.49</v>
      </c>
      <c r="BK45" s="186">
        <v>162368.48000000001</v>
      </c>
      <c r="BL45" s="186">
        <v>183494.65999999997</v>
      </c>
      <c r="BM45" s="186">
        <v>177602</v>
      </c>
      <c r="BN45" s="186">
        <v>167441.96000000002</v>
      </c>
      <c r="BO45" s="186">
        <v>239476.6</v>
      </c>
      <c r="BP45" s="186">
        <v>247311.52000000002</v>
      </c>
      <c r="BQ45" s="186">
        <v>47320</v>
      </c>
      <c r="BR45" s="186">
        <v>80318</v>
      </c>
      <c r="BS45" s="186">
        <v>68089.41</v>
      </c>
      <c r="BT45" s="186">
        <v>73498.36</v>
      </c>
      <c r="BU45" s="186">
        <v>123887</v>
      </c>
      <c r="BV45" s="186">
        <v>84261.459999999992</v>
      </c>
      <c r="BW45" s="186">
        <v>368434.76</v>
      </c>
      <c r="BX45" s="186">
        <v>74456.36</v>
      </c>
      <c r="BY45" s="186">
        <v>162133.35999999999</v>
      </c>
      <c r="BZ45" s="186">
        <v>32885.159999999996</v>
      </c>
      <c r="CA45" s="186">
        <v>23427.360000000001</v>
      </c>
      <c r="CB45" s="186">
        <v>77109.23000000001</v>
      </c>
      <c r="CC45" s="186">
        <v>788379.18</v>
      </c>
      <c r="CD45" s="186">
        <v>180654.12</v>
      </c>
      <c r="CE45" s="186">
        <v>100880.8</v>
      </c>
      <c r="CF45" s="186">
        <v>98801.53</v>
      </c>
      <c r="CG45" s="186">
        <v>177213.34999999998</v>
      </c>
      <c r="CH45" s="186">
        <v>65872.820000000007</v>
      </c>
      <c r="CI45" s="186">
        <v>55934.48</v>
      </c>
      <c r="CJ45" s="186">
        <v>54764.6</v>
      </c>
      <c r="CK45" s="186">
        <v>54625.05</v>
      </c>
      <c r="CL45" s="186">
        <v>53749.5</v>
      </c>
      <c r="CM45" s="186">
        <v>74486.040000000008</v>
      </c>
      <c r="CN45" s="186">
        <v>128541.97</v>
      </c>
      <c r="CO45" s="186">
        <v>51729</v>
      </c>
      <c r="CP45" s="186">
        <v>89127.1</v>
      </c>
      <c r="CQ45" s="186">
        <v>77892.14</v>
      </c>
      <c r="CR45" s="186">
        <v>33043.67</v>
      </c>
      <c r="CS45" s="186">
        <v>84349.78</v>
      </c>
      <c r="CT45" s="186">
        <v>30379.84</v>
      </c>
      <c r="CU45" s="186">
        <v>78200.320000000007</v>
      </c>
      <c r="CV45" s="186">
        <v>75923</v>
      </c>
      <c r="CW45" s="186">
        <v>43698.85</v>
      </c>
      <c r="CX45" s="186">
        <v>22260</v>
      </c>
      <c r="CY45" s="186">
        <v>81630.06</v>
      </c>
      <c r="CZ45" s="186">
        <v>35097.699999999997</v>
      </c>
      <c r="DA45" s="186">
        <v>149206.34999999998</v>
      </c>
      <c r="DB45" s="186">
        <v>262833.74</v>
      </c>
      <c r="DC45" s="186">
        <v>53766.68</v>
      </c>
    </row>
    <row r="46" spans="1:107">
      <c r="A46" s="187" t="s">
        <v>104</v>
      </c>
      <c r="B46" s="186">
        <v>10416762.370000001</v>
      </c>
      <c r="C46" s="186">
        <v>1715724.1400000001</v>
      </c>
      <c r="D46" s="186">
        <v>0</v>
      </c>
      <c r="E46" s="186">
        <v>446678.63</v>
      </c>
      <c r="F46" s="186">
        <v>144692.87000000002</v>
      </c>
      <c r="G46" s="186">
        <v>0</v>
      </c>
      <c r="H46" s="186">
        <v>8109666.7300000004</v>
      </c>
      <c r="I46" s="186">
        <v>0</v>
      </c>
      <c r="J46" s="186">
        <v>0</v>
      </c>
      <c r="K46" s="186">
        <v>0</v>
      </c>
      <c r="L46" s="186">
        <v>0</v>
      </c>
      <c r="M46" s="186">
        <v>0</v>
      </c>
      <c r="N46" s="186">
        <v>0</v>
      </c>
      <c r="O46" s="186">
        <v>0</v>
      </c>
      <c r="P46" s="186">
        <v>0</v>
      </c>
      <c r="Q46" s="186">
        <v>0</v>
      </c>
      <c r="R46" s="186">
        <v>0</v>
      </c>
      <c r="S46" s="186">
        <v>0</v>
      </c>
      <c r="T46" s="186">
        <v>0</v>
      </c>
      <c r="U46" s="186">
        <v>0</v>
      </c>
      <c r="V46" s="186">
        <v>0</v>
      </c>
      <c r="W46" s="186">
        <v>0</v>
      </c>
      <c r="X46" s="186">
        <v>446678.63</v>
      </c>
      <c r="Y46" s="186">
        <v>0</v>
      </c>
      <c r="Z46" s="186">
        <v>0</v>
      </c>
      <c r="AA46" s="186">
        <v>0</v>
      </c>
      <c r="AB46" s="186">
        <v>0</v>
      </c>
      <c r="AC46" s="186">
        <v>0</v>
      </c>
      <c r="AD46" s="186">
        <v>0</v>
      </c>
      <c r="AE46" s="186">
        <v>0</v>
      </c>
      <c r="AF46" s="186">
        <v>0</v>
      </c>
      <c r="AG46" s="186">
        <v>0</v>
      </c>
      <c r="AH46" s="186">
        <v>0</v>
      </c>
      <c r="AI46" s="186">
        <v>0</v>
      </c>
      <c r="AJ46" s="186">
        <v>0</v>
      </c>
      <c r="AK46" s="186">
        <v>61693.3</v>
      </c>
      <c r="AL46" s="186">
        <v>79186.930000000008</v>
      </c>
      <c r="AM46" s="186">
        <v>3812.64</v>
      </c>
      <c r="AN46" s="186">
        <v>0</v>
      </c>
      <c r="AO46" s="186">
        <v>0</v>
      </c>
      <c r="AP46" s="186">
        <v>0</v>
      </c>
      <c r="AQ46" s="186">
        <v>0</v>
      </c>
      <c r="AR46" s="186">
        <v>0</v>
      </c>
      <c r="AS46" s="186">
        <v>0</v>
      </c>
      <c r="AT46" s="186">
        <v>107925.24</v>
      </c>
      <c r="AU46" s="186">
        <v>55645.09</v>
      </c>
      <c r="AV46" s="186">
        <v>76125.16</v>
      </c>
      <c r="AW46" s="186">
        <v>54801.71</v>
      </c>
      <c r="AX46" s="186">
        <v>57749.67</v>
      </c>
      <c r="AY46" s="186">
        <v>212340.44</v>
      </c>
      <c r="AZ46" s="186">
        <v>36541.020000000004</v>
      </c>
      <c r="BA46" s="186">
        <v>52344.939999999995</v>
      </c>
      <c r="BB46" s="186">
        <v>47142.81</v>
      </c>
      <c r="BC46" s="186">
        <v>34286.519999999997</v>
      </c>
      <c r="BD46" s="186">
        <v>70199.100000000006</v>
      </c>
      <c r="BE46" s="186">
        <v>34863.550000000003</v>
      </c>
      <c r="BF46" s="186">
        <v>51736.200000000004</v>
      </c>
      <c r="BG46" s="186">
        <v>81576.5</v>
      </c>
      <c r="BH46" s="186">
        <v>31771.909999999996</v>
      </c>
      <c r="BI46" s="186">
        <v>41920.51</v>
      </c>
      <c r="BJ46" s="186">
        <v>18277.259999999998</v>
      </c>
      <c r="BK46" s="186">
        <v>20816.239999999998</v>
      </c>
      <c r="BL46" s="186">
        <v>43440.36</v>
      </c>
      <c r="BM46" s="186">
        <v>35044.620000000003</v>
      </c>
      <c r="BN46" s="186">
        <v>36199.5</v>
      </c>
      <c r="BO46" s="186">
        <v>23583.77</v>
      </c>
      <c r="BP46" s="186">
        <v>23315.47</v>
      </c>
      <c r="BQ46" s="186">
        <v>13622</v>
      </c>
      <c r="BR46" s="186">
        <v>31952.78</v>
      </c>
      <c r="BS46" s="186">
        <v>11787.880000000001</v>
      </c>
      <c r="BT46" s="186">
        <v>21983.77</v>
      </c>
      <c r="BU46" s="186">
        <v>61262.22</v>
      </c>
      <c r="BV46" s="186">
        <v>16106.87</v>
      </c>
      <c r="BW46" s="186">
        <v>21492.409999999996</v>
      </c>
      <c r="BX46" s="186">
        <v>5961.34</v>
      </c>
      <c r="BY46" s="186">
        <v>33086.06</v>
      </c>
      <c r="BZ46" s="186">
        <v>6421.5199999999995</v>
      </c>
      <c r="CA46" s="186">
        <v>5754.8</v>
      </c>
      <c r="CB46" s="186">
        <v>20107.600000000002</v>
      </c>
      <c r="CC46" s="186">
        <v>63031.21</v>
      </c>
      <c r="CD46" s="186">
        <v>67962.210000000006</v>
      </c>
      <c r="CE46" s="186">
        <v>3757.36</v>
      </c>
      <c r="CF46" s="186">
        <v>0</v>
      </c>
      <c r="CG46" s="186">
        <v>2330.64</v>
      </c>
      <c r="CH46" s="186">
        <v>6639.47</v>
      </c>
      <c r="CI46" s="186">
        <v>183.66</v>
      </c>
      <c r="CJ46" s="186">
        <v>2811.19</v>
      </c>
      <c r="CK46" s="186">
        <v>2052.2200000000003</v>
      </c>
      <c r="CL46" s="186">
        <v>1594.79</v>
      </c>
      <c r="CM46" s="186">
        <v>8863.14</v>
      </c>
      <c r="CN46" s="186">
        <v>13828.550000000001</v>
      </c>
      <c r="CO46" s="186">
        <v>801.44</v>
      </c>
      <c r="CP46" s="186">
        <v>6519.23</v>
      </c>
      <c r="CQ46" s="186">
        <v>5920.2</v>
      </c>
      <c r="CR46" s="186">
        <v>695.25</v>
      </c>
      <c r="CS46" s="186">
        <v>6210.95</v>
      </c>
      <c r="CT46" s="186">
        <v>1300</v>
      </c>
      <c r="CU46" s="186">
        <v>9370.3499999999985</v>
      </c>
      <c r="CV46" s="186">
        <v>1116.71</v>
      </c>
      <c r="CW46" s="186">
        <v>283.06</v>
      </c>
      <c r="CX46" s="186">
        <v>2837.92</v>
      </c>
      <c r="CY46" s="186">
        <v>1438.9</v>
      </c>
      <c r="CZ46" s="186">
        <v>136.18</v>
      </c>
      <c r="DA46" s="186">
        <v>1269.56</v>
      </c>
      <c r="DB46" s="186">
        <v>7583.1100000000006</v>
      </c>
      <c r="DC46" s="186">
        <v>0</v>
      </c>
    </row>
    <row r="47" spans="1:107">
      <c r="A47" s="187" t="s">
        <v>105</v>
      </c>
      <c r="B47" s="186">
        <v>3295283.9899999998</v>
      </c>
      <c r="C47" s="186">
        <v>57777.81</v>
      </c>
      <c r="D47" s="186">
        <v>0</v>
      </c>
      <c r="E47" s="186">
        <v>0</v>
      </c>
      <c r="F47" s="186">
        <v>358719.99</v>
      </c>
      <c r="G47" s="186">
        <v>0</v>
      </c>
      <c r="H47" s="186">
        <v>2878786.19</v>
      </c>
      <c r="I47" s="186">
        <v>0</v>
      </c>
      <c r="J47" s="186">
        <v>0</v>
      </c>
      <c r="K47" s="186">
        <v>0</v>
      </c>
      <c r="L47" s="186">
        <v>0</v>
      </c>
      <c r="M47" s="186">
        <v>0</v>
      </c>
      <c r="N47" s="186">
        <v>0</v>
      </c>
      <c r="O47" s="186">
        <v>0</v>
      </c>
      <c r="P47" s="186">
        <v>0</v>
      </c>
      <c r="Q47" s="186">
        <v>0</v>
      </c>
      <c r="R47" s="186">
        <v>0</v>
      </c>
      <c r="S47" s="186">
        <v>0</v>
      </c>
      <c r="T47" s="186">
        <v>0</v>
      </c>
      <c r="U47" s="186">
        <v>0</v>
      </c>
      <c r="V47" s="186">
        <v>0</v>
      </c>
      <c r="W47" s="186">
        <v>0</v>
      </c>
      <c r="X47" s="186">
        <v>0</v>
      </c>
      <c r="Y47" s="186">
        <v>0</v>
      </c>
      <c r="Z47" s="186">
        <v>0</v>
      </c>
      <c r="AA47" s="186">
        <v>0</v>
      </c>
      <c r="AB47" s="186">
        <v>0</v>
      </c>
      <c r="AC47" s="186">
        <v>0</v>
      </c>
      <c r="AD47" s="186">
        <v>0</v>
      </c>
      <c r="AE47" s="186">
        <v>0</v>
      </c>
      <c r="AF47" s="186">
        <v>0</v>
      </c>
      <c r="AG47" s="186">
        <v>0</v>
      </c>
      <c r="AH47" s="186">
        <v>0</v>
      </c>
      <c r="AI47" s="186">
        <v>0</v>
      </c>
      <c r="AJ47" s="186">
        <v>0</v>
      </c>
      <c r="AK47" s="186">
        <v>358719.99</v>
      </c>
      <c r="AL47" s="186">
        <v>0</v>
      </c>
      <c r="AM47" s="186">
        <v>0</v>
      </c>
      <c r="AN47" s="186">
        <v>0</v>
      </c>
      <c r="AO47" s="186">
        <v>0</v>
      </c>
      <c r="AP47" s="186">
        <v>11666.69</v>
      </c>
      <c r="AQ47" s="186">
        <v>0</v>
      </c>
      <c r="AR47" s="186">
        <v>0</v>
      </c>
      <c r="AS47" s="186">
        <v>0</v>
      </c>
      <c r="AT47" s="186">
        <v>0</v>
      </c>
      <c r="AU47" s="186">
        <v>0</v>
      </c>
      <c r="AV47" s="186">
        <v>0</v>
      </c>
      <c r="AW47" s="186">
        <v>0</v>
      </c>
      <c r="AX47" s="186">
        <v>0</v>
      </c>
      <c r="AY47" s="186">
        <v>0</v>
      </c>
      <c r="AZ47" s="186">
        <v>0</v>
      </c>
      <c r="BA47" s="186">
        <v>0</v>
      </c>
      <c r="BB47" s="186">
        <v>0</v>
      </c>
      <c r="BC47" s="186">
        <v>0</v>
      </c>
      <c r="BD47" s="186">
        <v>0</v>
      </c>
      <c r="BE47" s="186">
        <v>0</v>
      </c>
      <c r="BF47" s="186">
        <v>0</v>
      </c>
      <c r="BG47" s="186">
        <v>11111.119999999999</v>
      </c>
      <c r="BH47" s="186">
        <v>0</v>
      </c>
      <c r="BI47" s="186">
        <v>0</v>
      </c>
      <c r="BJ47" s="186">
        <v>0</v>
      </c>
      <c r="BK47" s="186">
        <v>0</v>
      </c>
      <c r="BL47" s="186">
        <v>0</v>
      </c>
      <c r="BM47" s="186">
        <v>0</v>
      </c>
      <c r="BN47" s="186">
        <v>0</v>
      </c>
      <c r="BO47" s="186">
        <v>0</v>
      </c>
      <c r="BP47" s="186">
        <v>0</v>
      </c>
      <c r="BQ47" s="186">
        <v>0</v>
      </c>
      <c r="BR47" s="186">
        <v>0</v>
      </c>
      <c r="BS47" s="186">
        <v>0</v>
      </c>
      <c r="BT47" s="186">
        <v>0</v>
      </c>
      <c r="BU47" s="186">
        <v>0</v>
      </c>
      <c r="BV47" s="186">
        <v>0</v>
      </c>
      <c r="BW47" s="186">
        <v>35000</v>
      </c>
      <c r="BX47" s="186">
        <v>0</v>
      </c>
      <c r="BY47" s="186">
        <v>0</v>
      </c>
      <c r="BZ47" s="186">
        <v>0</v>
      </c>
      <c r="CA47" s="186">
        <v>0</v>
      </c>
      <c r="CB47" s="186">
        <v>0</v>
      </c>
      <c r="CC47" s="186">
        <v>0</v>
      </c>
      <c r="CD47" s="186">
        <v>0</v>
      </c>
      <c r="CE47" s="186">
        <v>0</v>
      </c>
      <c r="CF47" s="186">
        <v>0</v>
      </c>
      <c r="CG47" s="186">
        <v>0</v>
      </c>
      <c r="CH47" s="186">
        <v>0</v>
      </c>
      <c r="CI47" s="186">
        <v>0</v>
      </c>
      <c r="CJ47" s="186">
        <v>0</v>
      </c>
      <c r="CK47" s="186">
        <v>0</v>
      </c>
      <c r="CL47" s="186">
        <v>0</v>
      </c>
      <c r="CM47" s="186">
        <v>0</v>
      </c>
      <c r="CN47" s="186">
        <v>0</v>
      </c>
      <c r="CO47" s="186">
        <v>0</v>
      </c>
      <c r="CP47" s="186">
        <v>0</v>
      </c>
      <c r="CQ47" s="186">
        <v>0</v>
      </c>
      <c r="CR47" s="186">
        <v>0</v>
      </c>
      <c r="CS47" s="186">
        <v>0</v>
      </c>
      <c r="CT47" s="186">
        <v>0</v>
      </c>
      <c r="CU47" s="186">
        <v>0</v>
      </c>
      <c r="CV47" s="186">
        <v>0</v>
      </c>
      <c r="CW47" s="186">
        <v>0</v>
      </c>
      <c r="CX47" s="186">
        <v>0</v>
      </c>
      <c r="CY47" s="186">
        <v>0</v>
      </c>
      <c r="CZ47" s="186">
        <v>0</v>
      </c>
      <c r="DA47" s="186">
        <v>0</v>
      </c>
      <c r="DB47" s="186">
        <v>0</v>
      </c>
      <c r="DC47" s="186">
        <v>0</v>
      </c>
    </row>
    <row r="48" spans="1:107">
      <c r="A48" s="187" t="s">
        <v>106</v>
      </c>
      <c r="B48" s="186">
        <v>4718768.1300000008</v>
      </c>
      <c r="C48" s="186">
        <v>2363461.8500000006</v>
      </c>
      <c r="D48" s="186">
        <v>274977.59999999998</v>
      </c>
      <c r="E48" s="186">
        <v>142745.63</v>
      </c>
      <c r="F48" s="186">
        <v>129748.69</v>
      </c>
      <c r="G48" s="186">
        <v>0</v>
      </c>
      <c r="H48" s="186">
        <v>1731294.51</v>
      </c>
      <c r="I48" s="186">
        <v>0</v>
      </c>
      <c r="J48" s="186">
        <v>0</v>
      </c>
      <c r="K48" s="186">
        <v>0</v>
      </c>
      <c r="L48" s="186">
        <v>0</v>
      </c>
      <c r="M48" s="186">
        <v>0</v>
      </c>
      <c r="N48" s="186">
        <v>0</v>
      </c>
      <c r="O48" s="186">
        <v>0</v>
      </c>
      <c r="P48" s="186">
        <v>0</v>
      </c>
      <c r="Q48" s="186">
        <v>0</v>
      </c>
      <c r="R48" s="186">
        <v>0</v>
      </c>
      <c r="S48" s="186">
        <v>0</v>
      </c>
      <c r="T48" s="186">
        <v>0</v>
      </c>
      <c r="U48" s="186">
        <v>42223.23</v>
      </c>
      <c r="V48" s="186">
        <v>0</v>
      </c>
      <c r="W48" s="186">
        <v>0</v>
      </c>
      <c r="X48" s="186">
        <v>27148.91</v>
      </c>
      <c r="Y48" s="186">
        <v>0</v>
      </c>
      <c r="Z48" s="186">
        <v>31367.18</v>
      </c>
      <c r="AA48" s="186">
        <v>0</v>
      </c>
      <c r="AB48" s="186">
        <v>28481.82</v>
      </c>
      <c r="AC48" s="186">
        <v>27948.46</v>
      </c>
      <c r="AD48" s="186">
        <v>27799.26</v>
      </c>
      <c r="AE48" s="186">
        <v>0</v>
      </c>
      <c r="AF48" s="186">
        <v>76542.679999999993</v>
      </c>
      <c r="AG48" s="186">
        <v>77796.12000000001</v>
      </c>
      <c r="AH48" s="186">
        <v>120638.79999999999</v>
      </c>
      <c r="AI48" s="186">
        <v>0</v>
      </c>
      <c r="AJ48" s="186">
        <v>34316.620000000003</v>
      </c>
      <c r="AK48" s="186">
        <v>62875.64</v>
      </c>
      <c r="AL48" s="186">
        <v>66873.05</v>
      </c>
      <c r="AM48" s="186">
        <v>0</v>
      </c>
      <c r="AN48" s="186">
        <v>0</v>
      </c>
      <c r="AO48" s="186">
        <v>3542.1</v>
      </c>
      <c r="AP48" s="186">
        <v>0</v>
      </c>
      <c r="AQ48" s="186">
        <v>0</v>
      </c>
      <c r="AR48" s="186">
        <v>0</v>
      </c>
      <c r="AS48" s="186">
        <v>0</v>
      </c>
      <c r="AT48" s="186">
        <v>18381.84</v>
      </c>
      <c r="AU48" s="186">
        <v>78029.27</v>
      </c>
      <c r="AV48" s="186">
        <v>283467.34999999998</v>
      </c>
      <c r="AW48" s="186">
        <v>22370.879999999997</v>
      </c>
      <c r="AX48" s="186">
        <v>78685.84</v>
      </c>
      <c r="AY48" s="186">
        <v>250228.40000000002</v>
      </c>
      <c r="AZ48" s="186">
        <v>98117.14</v>
      </c>
      <c r="BA48" s="186">
        <v>0</v>
      </c>
      <c r="BB48" s="186">
        <v>100335.3</v>
      </c>
      <c r="BC48" s="186">
        <v>105501.84</v>
      </c>
      <c r="BD48" s="186">
        <v>0</v>
      </c>
      <c r="BE48" s="186">
        <v>0</v>
      </c>
      <c r="BF48" s="186">
        <v>0</v>
      </c>
      <c r="BG48" s="186">
        <v>65390</v>
      </c>
      <c r="BH48" s="186">
        <v>0</v>
      </c>
      <c r="BI48" s="186">
        <v>113558.44</v>
      </c>
      <c r="BJ48" s="186">
        <v>19626.68</v>
      </c>
      <c r="BK48" s="186">
        <v>12306.800000000001</v>
      </c>
      <c r="BL48" s="186">
        <v>27462.660000000003</v>
      </c>
      <c r="BM48" s="186">
        <v>29712.83</v>
      </c>
      <c r="BN48" s="186">
        <v>76601.119999999995</v>
      </c>
      <c r="BO48" s="186">
        <v>50883.95</v>
      </c>
      <c r="BP48" s="186">
        <v>70064.320000000007</v>
      </c>
      <c r="BQ48" s="186">
        <v>24738.560000000001</v>
      </c>
      <c r="BR48" s="186">
        <v>64296.24</v>
      </c>
      <c r="BS48" s="186">
        <v>0</v>
      </c>
      <c r="BT48" s="186">
        <v>37286.880000000005</v>
      </c>
      <c r="BU48" s="186">
        <v>57793.760000000002</v>
      </c>
      <c r="BV48" s="186">
        <v>38582.340000000004</v>
      </c>
      <c r="BW48" s="186">
        <v>113519.29</v>
      </c>
      <c r="BX48" s="186">
        <v>30286.82</v>
      </c>
      <c r="BY48" s="186">
        <v>6422.24</v>
      </c>
      <c r="BZ48" s="186">
        <v>21420</v>
      </c>
      <c r="CA48" s="186">
        <v>9979.2800000000007</v>
      </c>
      <c r="CB48" s="186">
        <v>30057.200000000001</v>
      </c>
      <c r="CC48" s="186">
        <v>189540.24</v>
      </c>
      <c r="CD48" s="186">
        <v>29256.98</v>
      </c>
      <c r="CE48" s="186">
        <v>0</v>
      </c>
      <c r="CF48" s="186">
        <v>7142.13</v>
      </c>
      <c r="CG48" s="186">
        <v>0</v>
      </c>
      <c r="CH48" s="186">
        <v>6933.36</v>
      </c>
      <c r="CI48" s="186">
        <v>1180.3499999999999</v>
      </c>
      <c r="CJ48" s="186">
        <v>83522.22</v>
      </c>
      <c r="CK48" s="186">
        <v>890</v>
      </c>
      <c r="CL48" s="186">
        <v>11459.65</v>
      </c>
      <c r="CM48" s="186">
        <v>10851.119999999999</v>
      </c>
      <c r="CN48" s="186">
        <v>9043.4500000000007</v>
      </c>
      <c r="CO48" s="186">
        <v>1025.97</v>
      </c>
      <c r="CP48" s="186">
        <v>12652.1</v>
      </c>
      <c r="CQ48" s="186">
        <v>0</v>
      </c>
      <c r="CR48" s="186">
        <v>4852.5200000000004</v>
      </c>
      <c r="CS48" s="186">
        <v>21533.469999999998</v>
      </c>
      <c r="CT48" s="186">
        <v>4491.7800000000007</v>
      </c>
      <c r="CU48" s="186">
        <v>6995.84</v>
      </c>
      <c r="CV48" s="186">
        <v>0</v>
      </c>
      <c r="CW48" s="186">
        <v>0</v>
      </c>
      <c r="CX48" s="186">
        <v>17263.54</v>
      </c>
      <c r="CY48" s="186">
        <v>0</v>
      </c>
      <c r="CZ48" s="186">
        <v>0</v>
      </c>
      <c r="DA48" s="186">
        <v>0</v>
      </c>
      <c r="DB48" s="186">
        <v>6177.76</v>
      </c>
      <c r="DC48" s="186">
        <v>0</v>
      </c>
    </row>
    <row r="49" spans="1:107">
      <c r="A49" s="187" t="s">
        <v>244</v>
      </c>
      <c r="B49" s="186">
        <v>37668.089999999997</v>
      </c>
      <c r="C49" s="186">
        <v>3253</v>
      </c>
      <c r="D49" s="186">
        <v>0</v>
      </c>
      <c r="E49" s="186">
        <v>0</v>
      </c>
      <c r="F49" s="186">
        <v>0</v>
      </c>
      <c r="G49" s="186">
        <v>0</v>
      </c>
      <c r="H49" s="186">
        <v>0</v>
      </c>
      <c r="I49" s="186">
        <v>0</v>
      </c>
      <c r="J49" s="186">
        <v>0</v>
      </c>
      <c r="K49" s="186">
        <v>0</v>
      </c>
      <c r="L49" s="186">
        <v>0</v>
      </c>
      <c r="M49" s="186">
        <v>0</v>
      </c>
      <c r="N49" s="186">
        <v>0</v>
      </c>
      <c r="O49" s="186">
        <v>0</v>
      </c>
      <c r="P49" s="186">
        <v>0</v>
      </c>
      <c r="Q49" s="186">
        <v>0</v>
      </c>
      <c r="R49" s="186">
        <v>0</v>
      </c>
      <c r="S49" s="186">
        <v>0</v>
      </c>
      <c r="T49" s="186">
        <v>0</v>
      </c>
      <c r="U49" s="186">
        <v>33215.089999999997</v>
      </c>
      <c r="V49" s="186">
        <v>0</v>
      </c>
      <c r="W49" s="186">
        <v>0</v>
      </c>
      <c r="X49" s="186">
        <v>0</v>
      </c>
      <c r="Y49" s="186">
        <v>0</v>
      </c>
      <c r="Z49" s="186">
        <v>0</v>
      </c>
      <c r="AA49" s="186">
        <v>0</v>
      </c>
      <c r="AB49" s="186">
        <v>0</v>
      </c>
      <c r="AC49" s="186">
        <v>0</v>
      </c>
      <c r="AD49" s="186">
        <v>0</v>
      </c>
      <c r="AE49" s="186">
        <v>0</v>
      </c>
      <c r="AF49" s="186">
        <v>0</v>
      </c>
      <c r="AG49" s="186">
        <v>0</v>
      </c>
      <c r="AH49" s="186">
        <v>0</v>
      </c>
      <c r="AI49" s="186">
        <v>0</v>
      </c>
      <c r="AJ49" s="186">
        <v>1200</v>
      </c>
      <c r="AK49" s="186">
        <v>0</v>
      </c>
      <c r="AL49" s="186">
        <v>0</v>
      </c>
      <c r="AM49" s="186">
        <v>0</v>
      </c>
      <c r="AN49" s="186">
        <v>0</v>
      </c>
      <c r="AO49" s="186">
        <v>0</v>
      </c>
      <c r="AP49" s="186">
        <v>0</v>
      </c>
      <c r="AQ49" s="186">
        <v>0</v>
      </c>
      <c r="AR49" s="186">
        <v>0</v>
      </c>
      <c r="AS49" s="186">
        <v>0</v>
      </c>
      <c r="AT49" s="186">
        <v>0</v>
      </c>
      <c r="AU49" s="186">
        <v>0</v>
      </c>
      <c r="AV49" s="186">
        <v>0</v>
      </c>
      <c r="AW49" s="186">
        <v>0</v>
      </c>
      <c r="AX49" s="186">
        <v>0</v>
      </c>
      <c r="AY49" s="186">
        <v>0</v>
      </c>
      <c r="AZ49" s="186">
        <v>0</v>
      </c>
      <c r="BA49" s="186">
        <v>0</v>
      </c>
      <c r="BB49" s="186">
        <v>0</v>
      </c>
      <c r="BC49" s="186">
        <v>0</v>
      </c>
      <c r="BD49" s="186">
        <v>0</v>
      </c>
      <c r="BE49" s="186">
        <v>0</v>
      </c>
      <c r="BF49" s="186">
        <v>0</v>
      </c>
      <c r="BG49" s="186">
        <v>3253</v>
      </c>
      <c r="BH49" s="186">
        <v>0</v>
      </c>
      <c r="BI49" s="186">
        <v>0</v>
      </c>
      <c r="BJ49" s="186">
        <v>0</v>
      </c>
      <c r="BK49" s="186">
        <v>0</v>
      </c>
      <c r="BL49" s="186">
        <v>0</v>
      </c>
      <c r="BM49" s="186">
        <v>0</v>
      </c>
      <c r="BN49" s="186">
        <v>0</v>
      </c>
      <c r="BO49" s="186">
        <v>0</v>
      </c>
      <c r="BP49" s="186">
        <v>0</v>
      </c>
      <c r="BQ49" s="186">
        <v>0</v>
      </c>
      <c r="BR49" s="186">
        <v>0</v>
      </c>
      <c r="BS49" s="186">
        <v>0</v>
      </c>
      <c r="BT49" s="186">
        <v>0</v>
      </c>
      <c r="BU49" s="186">
        <v>0</v>
      </c>
      <c r="BV49" s="186">
        <v>0</v>
      </c>
      <c r="BW49" s="186">
        <v>0</v>
      </c>
      <c r="BX49" s="186">
        <v>0</v>
      </c>
      <c r="BY49" s="186">
        <v>0</v>
      </c>
      <c r="BZ49" s="186">
        <v>0</v>
      </c>
      <c r="CA49" s="186">
        <v>0</v>
      </c>
      <c r="CB49" s="186">
        <v>0</v>
      </c>
      <c r="CC49" s="186">
        <v>0</v>
      </c>
      <c r="CD49" s="186">
        <v>0</v>
      </c>
      <c r="CE49" s="186">
        <v>0</v>
      </c>
      <c r="CF49" s="186">
        <v>0</v>
      </c>
      <c r="CG49" s="186">
        <v>0</v>
      </c>
      <c r="CH49" s="186">
        <v>0</v>
      </c>
      <c r="CI49" s="186">
        <v>0</v>
      </c>
      <c r="CJ49" s="186">
        <v>0</v>
      </c>
      <c r="CK49" s="186">
        <v>0</v>
      </c>
      <c r="CL49" s="186">
        <v>0</v>
      </c>
      <c r="CM49" s="186">
        <v>0</v>
      </c>
      <c r="CN49" s="186">
        <v>0</v>
      </c>
      <c r="CO49" s="186">
        <v>0</v>
      </c>
      <c r="CP49" s="186">
        <v>0</v>
      </c>
      <c r="CQ49" s="186">
        <v>0</v>
      </c>
      <c r="CR49" s="186">
        <v>0</v>
      </c>
      <c r="CS49" s="186">
        <v>0</v>
      </c>
      <c r="CT49" s="186">
        <v>0</v>
      </c>
      <c r="CU49" s="186">
        <v>0</v>
      </c>
      <c r="CV49" s="186">
        <v>0</v>
      </c>
      <c r="CW49" s="186">
        <v>0</v>
      </c>
      <c r="CX49" s="186">
        <v>0</v>
      </c>
      <c r="CY49" s="186">
        <v>0</v>
      </c>
      <c r="CZ49" s="186">
        <v>0</v>
      </c>
      <c r="DA49" s="186">
        <v>0</v>
      </c>
      <c r="DB49" s="186">
        <v>0</v>
      </c>
      <c r="DC49" s="186">
        <v>0</v>
      </c>
    </row>
    <row r="50" spans="1:107" s="191" customFormat="1">
      <c r="A50" s="188" t="s">
        <v>69</v>
      </c>
      <c r="B50" s="189">
        <v>54870567.150000006</v>
      </c>
      <c r="C50" s="189">
        <v>27630561.279999997</v>
      </c>
      <c r="D50" s="189">
        <v>988684.32</v>
      </c>
      <c r="E50" s="189">
        <v>3096905.41</v>
      </c>
      <c r="F50" s="189">
        <v>1658043.8</v>
      </c>
      <c r="G50" s="189">
        <v>31260.75</v>
      </c>
      <c r="H50" s="189">
        <v>15392937.039999999</v>
      </c>
      <c r="I50" s="189">
        <v>111843.88</v>
      </c>
      <c r="J50" s="189">
        <v>1408595.76</v>
      </c>
      <c r="K50" s="189">
        <v>69967.78</v>
      </c>
      <c r="L50" s="189">
        <v>1448.19</v>
      </c>
      <c r="M50" s="189">
        <v>38320.699999999997</v>
      </c>
      <c r="N50" s="189">
        <v>95706.39</v>
      </c>
      <c r="O50" s="189">
        <v>886.74</v>
      </c>
      <c r="P50" s="189">
        <v>154187.13</v>
      </c>
      <c r="Q50" s="189">
        <v>2953.05</v>
      </c>
      <c r="R50" s="189">
        <v>4078.08</v>
      </c>
      <c r="S50" s="189">
        <v>71308.58</v>
      </c>
      <c r="T50" s="189">
        <v>10294.84</v>
      </c>
      <c r="U50" s="189">
        <v>3916711.51</v>
      </c>
      <c r="V50" s="189">
        <v>0</v>
      </c>
      <c r="W50" s="189">
        <v>0</v>
      </c>
      <c r="X50" s="189">
        <v>1719901.5199999998</v>
      </c>
      <c r="Y50" s="189">
        <v>0</v>
      </c>
      <c r="Z50" s="189">
        <v>346382.56</v>
      </c>
      <c r="AA50" s="189">
        <v>0</v>
      </c>
      <c r="AB50" s="189">
        <v>244263.51</v>
      </c>
      <c r="AC50" s="189">
        <v>397063.09</v>
      </c>
      <c r="AD50" s="189">
        <v>389273.98</v>
      </c>
      <c r="AE50" s="189">
        <v>20.75</v>
      </c>
      <c r="AF50" s="189">
        <v>290544.45999999996</v>
      </c>
      <c r="AG50" s="189">
        <v>299870.3</v>
      </c>
      <c r="AH50" s="189">
        <v>372737.51</v>
      </c>
      <c r="AI50" s="189">
        <v>25532.050000000003</v>
      </c>
      <c r="AJ50" s="189">
        <v>185871.91999999998</v>
      </c>
      <c r="AK50" s="189">
        <v>1063405.96</v>
      </c>
      <c r="AL50" s="189">
        <v>587886.91999999993</v>
      </c>
      <c r="AM50" s="189">
        <v>6750.92</v>
      </c>
      <c r="AN50" s="189">
        <v>0</v>
      </c>
      <c r="AO50" s="189">
        <v>235331.80000000002</v>
      </c>
      <c r="AP50" s="189">
        <v>18317.349999999999</v>
      </c>
      <c r="AQ50" s="189">
        <v>36076.089999999997</v>
      </c>
      <c r="AR50" s="189">
        <v>13357.46</v>
      </c>
      <c r="AS50" s="189">
        <v>13570.48</v>
      </c>
      <c r="AT50" s="189">
        <v>953392.07</v>
      </c>
      <c r="AU50" s="189">
        <v>1244979.3600000001</v>
      </c>
      <c r="AV50" s="189">
        <v>1291837.3600000001</v>
      </c>
      <c r="AW50" s="189">
        <v>932077.38</v>
      </c>
      <c r="AX50" s="189">
        <v>1314828.4800000002</v>
      </c>
      <c r="AY50" s="189">
        <v>1142503.67</v>
      </c>
      <c r="AZ50" s="189">
        <v>447935.18000000005</v>
      </c>
      <c r="BA50" s="189">
        <v>828859.77999999991</v>
      </c>
      <c r="BB50" s="189">
        <v>1149031.77</v>
      </c>
      <c r="BC50" s="189">
        <v>1174513.29</v>
      </c>
      <c r="BD50" s="189">
        <v>1865204.77</v>
      </c>
      <c r="BE50" s="189">
        <v>1098443.8400000001</v>
      </c>
      <c r="BF50" s="189">
        <v>1566620.95</v>
      </c>
      <c r="BG50" s="189">
        <v>1187191.33</v>
      </c>
      <c r="BH50" s="189">
        <v>650974.47000000009</v>
      </c>
      <c r="BI50" s="189">
        <v>372694.79000000004</v>
      </c>
      <c r="BJ50" s="189">
        <v>530724.51</v>
      </c>
      <c r="BK50" s="189">
        <v>430793.8</v>
      </c>
      <c r="BL50" s="189">
        <v>451021.02</v>
      </c>
      <c r="BM50" s="189">
        <v>339955.12000000005</v>
      </c>
      <c r="BN50" s="189">
        <v>393558.07</v>
      </c>
      <c r="BO50" s="189">
        <v>643705.14999999991</v>
      </c>
      <c r="BP50" s="189">
        <v>371266.79</v>
      </c>
      <c r="BQ50" s="189">
        <v>124362.06</v>
      </c>
      <c r="BR50" s="189">
        <v>217552.59999999998</v>
      </c>
      <c r="BS50" s="189">
        <v>125526.29000000001</v>
      </c>
      <c r="BT50" s="189">
        <v>162863.67000000001</v>
      </c>
      <c r="BU50" s="189">
        <v>297177.39999999997</v>
      </c>
      <c r="BV50" s="189">
        <v>197330.66999999998</v>
      </c>
      <c r="BW50" s="189">
        <v>710942.16</v>
      </c>
      <c r="BX50" s="189">
        <v>133190.63</v>
      </c>
      <c r="BY50" s="189">
        <v>281477.64999999997</v>
      </c>
      <c r="BZ50" s="189">
        <v>77096.679999999993</v>
      </c>
      <c r="CA50" s="189">
        <v>85185.5</v>
      </c>
      <c r="CB50" s="189">
        <v>151563.63000000003</v>
      </c>
      <c r="CC50" s="189">
        <v>1207632.21</v>
      </c>
      <c r="CD50" s="189">
        <v>505493.06</v>
      </c>
      <c r="CE50" s="189">
        <v>118731.92</v>
      </c>
      <c r="CF50" s="189">
        <v>106543.66</v>
      </c>
      <c r="CG50" s="189">
        <v>204175.44999999998</v>
      </c>
      <c r="CH50" s="189">
        <v>119979.25000000001</v>
      </c>
      <c r="CI50" s="189">
        <v>62199.490000000005</v>
      </c>
      <c r="CJ50" s="189">
        <v>143146.01</v>
      </c>
      <c r="CK50" s="189">
        <v>60263.210000000006</v>
      </c>
      <c r="CL50" s="189">
        <v>81761.939999999988</v>
      </c>
      <c r="CM50" s="189">
        <v>131885.41</v>
      </c>
      <c r="CN50" s="189">
        <v>164162.89000000001</v>
      </c>
      <c r="CO50" s="189">
        <v>57065.25</v>
      </c>
      <c r="CP50" s="189">
        <v>123198.43000000001</v>
      </c>
      <c r="CQ50" s="189">
        <v>94832.34</v>
      </c>
      <c r="CR50" s="189">
        <v>43342.44</v>
      </c>
      <c r="CS50" s="189">
        <v>134956.78999999998</v>
      </c>
      <c r="CT50" s="189">
        <v>41021.619999999995</v>
      </c>
      <c r="CU50" s="189">
        <v>96366.489999999991</v>
      </c>
      <c r="CV50" s="189">
        <v>85454.71</v>
      </c>
      <c r="CW50" s="189">
        <v>44481.909999999996</v>
      </c>
      <c r="CX50" s="189">
        <v>66935.459999999992</v>
      </c>
      <c r="CY50" s="189">
        <v>94153.659999999989</v>
      </c>
      <c r="CZ50" s="189">
        <v>49630.879999999997</v>
      </c>
      <c r="DA50" s="189">
        <v>150865.90999999997</v>
      </c>
      <c r="DB50" s="189">
        <v>302976.76</v>
      </c>
      <c r="DC50" s="190">
        <v>76269.06</v>
      </c>
    </row>
    <row r="51" spans="1:107" s="191" customFormat="1" ht="12.75" thickBot="1">
      <c r="A51" s="176" t="s">
        <v>248</v>
      </c>
      <c r="B51" s="192">
        <v>410378667.64999986</v>
      </c>
      <c r="C51" s="192">
        <v>203540745.66999999</v>
      </c>
      <c r="D51" s="192">
        <v>99548642.620000005</v>
      </c>
      <c r="E51" s="192">
        <v>19186534.220000003</v>
      </c>
      <c r="F51" s="192">
        <v>10375107.050000001</v>
      </c>
      <c r="G51" s="192">
        <v>10169920.52</v>
      </c>
      <c r="H51" s="192">
        <v>26853151.68</v>
      </c>
      <c r="I51" s="192">
        <v>1498691.17</v>
      </c>
      <c r="J51" s="192">
        <v>6424847.2300000004</v>
      </c>
      <c r="K51" s="192">
        <v>3138298.1</v>
      </c>
      <c r="L51" s="192">
        <v>1331204.02</v>
      </c>
      <c r="M51" s="192">
        <v>2096631.7899999998</v>
      </c>
      <c r="N51" s="192">
        <v>566923.66</v>
      </c>
      <c r="O51" s="192">
        <v>358217.47</v>
      </c>
      <c r="P51" s="192">
        <v>1755042.52</v>
      </c>
      <c r="Q51" s="192">
        <v>1501686.21</v>
      </c>
      <c r="R51" s="192">
        <v>1665805.64</v>
      </c>
      <c r="S51" s="192">
        <v>3673014.7</v>
      </c>
      <c r="T51" s="192">
        <v>2893147.53</v>
      </c>
      <c r="U51" s="192">
        <v>9458571.5399999991</v>
      </c>
      <c r="V51" s="192">
        <v>64404.22</v>
      </c>
      <c r="W51" s="192">
        <v>19327.96</v>
      </c>
      <c r="X51" s="192">
        <v>3403523.5599999996</v>
      </c>
      <c r="Y51" s="192">
        <v>40534.32</v>
      </c>
      <c r="Z51" s="192">
        <v>6625701.7499999991</v>
      </c>
      <c r="AA51" s="192">
        <v>3776.58</v>
      </c>
      <c r="AB51" s="192">
        <v>2654607.59</v>
      </c>
      <c r="AC51" s="192">
        <v>3557335.6799999997</v>
      </c>
      <c r="AD51" s="192">
        <v>2751876.72</v>
      </c>
      <c r="AE51" s="192">
        <v>149178.01999999999</v>
      </c>
      <c r="AF51" s="192">
        <v>2308496.75</v>
      </c>
      <c r="AG51" s="192">
        <v>71767455.819999993</v>
      </c>
      <c r="AH51" s="192">
        <v>17554896.550000004</v>
      </c>
      <c r="AI51" s="192">
        <v>7917793.5000000009</v>
      </c>
      <c r="AJ51" s="192">
        <v>4243741.7399999993</v>
      </c>
      <c r="AK51" s="192">
        <v>7154541.5</v>
      </c>
      <c r="AL51" s="192">
        <v>2654590.63</v>
      </c>
      <c r="AM51" s="192">
        <v>565974.92000000004</v>
      </c>
      <c r="AN51" s="192">
        <v>15010.390000000001</v>
      </c>
      <c r="AO51" s="192">
        <v>51972273.929999992</v>
      </c>
      <c r="AP51" s="192">
        <v>2160064.8200000003</v>
      </c>
      <c r="AQ51" s="192">
        <v>2086120.01</v>
      </c>
      <c r="AR51" s="192">
        <v>4235621.87</v>
      </c>
      <c r="AS51" s="192">
        <v>1926824.6099999999</v>
      </c>
      <c r="AT51" s="192">
        <v>5863135.7999999998</v>
      </c>
      <c r="AU51" s="192">
        <v>7398384.1399999997</v>
      </c>
      <c r="AV51" s="192">
        <v>7880644.4000000004</v>
      </c>
      <c r="AW51" s="192">
        <v>7796726.0500000007</v>
      </c>
      <c r="AX51" s="192">
        <v>6293777.330000001</v>
      </c>
      <c r="AY51" s="192">
        <v>6477825.1399999997</v>
      </c>
      <c r="AZ51" s="192">
        <v>3106139.0000000005</v>
      </c>
      <c r="BA51" s="192">
        <v>7535340.7700000005</v>
      </c>
      <c r="BB51" s="192">
        <v>3345010.72</v>
      </c>
      <c r="BC51" s="192">
        <v>2776082.4699999997</v>
      </c>
      <c r="BD51" s="192">
        <v>7591724.6600000001</v>
      </c>
      <c r="BE51" s="192">
        <v>6330910.1699999999</v>
      </c>
      <c r="BF51" s="192">
        <v>5406382.79</v>
      </c>
      <c r="BG51" s="192">
        <v>5259838.3000000007</v>
      </c>
      <c r="BH51" s="192">
        <v>3039433.9600000004</v>
      </c>
      <c r="BI51" s="192">
        <v>2877982.33</v>
      </c>
      <c r="BJ51" s="192">
        <v>3347577.71</v>
      </c>
      <c r="BK51" s="192">
        <v>3016778.48</v>
      </c>
      <c r="BL51" s="192">
        <v>2056386.2400000002</v>
      </c>
      <c r="BM51" s="192">
        <v>2078578.2700000003</v>
      </c>
      <c r="BN51" s="192">
        <v>2683296.7399999998</v>
      </c>
      <c r="BO51" s="192">
        <v>3543490.11</v>
      </c>
      <c r="BP51" s="192">
        <v>1384950.94</v>
      </c>
      <c r="BQ51" s="192">
        <v>1247389.02</v>
      </c>
      <c r="BR51" s="192">
        <v>917772.5</v>
      </c>
      <c r="BS51" s="192">
        <v>1497041.85</v>
      </c>
      <c r="BT51" s="192">
        <v>1159467.67</v>
      </c>
      <c r="BU51" s="192">
        <v>2343821.37</v>
      </c>
      <c r="BV51" s="192">
        <v>1281646.4099999999</v>
      </c>
      <c r="BW51" s="192">
        <v>8891017.7799999993</v>
      </c>
      <c r="BX51" s="192">
        <v>549737.65</v>
      </c>
      <c r="BY51" s="192">
        <v>1192077.04</v>
      </c>
      <c r="BZ51" s="192">
        <v>701422.39999999991</v>
      </c>
      <c r="CA51" s="192">
        <v>731755.16</v>
      </c>
      <c r="CB51" s="192">
        <v>877558.93</v>
      </c>
      <c r="CC51" s="192">
        <v>2722727.75</v>
      </c>
      <c r="CD51" s="192">
        <v>2549310.87</v>
      </c>
      <c r="CE51" s="192">
        <v>481990.12</v>
      </c>
      <c r="CF51" s="192">
        <v>185697.64</v>
      </c>
      <c r="CG51" s="192">
        <v>493709.66999999993</v>
      </c>
      <c r="CH51" s="192">
        <v>317992.81</v>
      </c>
      <c r="CI51" s="192">
        <v>254032.08999999997</v>
      </c>
      <c r="CJ51" s="192">
        <v>361115.28</v>
      </c>
      <c r="CK51" s="192">
        <v>296614.47000000003</v>
      </c>
      <c r="CL51" s="192">
        <v>331053.42</v>
      </c>
      <c r="CM51" s="192">
        <v>394293.93000000005</v>
      </c>
      <c r="CN51" s="192">
        <v>368281.1</v>
      </c>
      <c r="CO51" s="192">
        <v>160567.28</v>
      </c>
      <c r="CP51" s="192">
        <v>389537.37</v>
      </c>
      <c r="CQ51" s="192">
        <v>331154.45999999996</v>
      </c>
      <c r="CR51" s="192">
        <v>188323.45</v>
      </c>
      <c r="CS51" s="192">
        <v>460815.97</v>
      </c>
      <c r="CT51" s="192">
        <v>169730.40999999997</v>
      </c>
      <c r="CU51" s="192">
        <v>309367.15000000002</v>
      </c>
      <c r="CV51" s="192">
        <v>257266.67000000004</v>
      </c>
      <c r="CW51" s="192">
        <v>95920.03</v>
      </c>
      <c r="CX51" s="192">
        <v>174108.62</v>
      </c>
      <c r="CY51" s="192">
        <v>339711.8</v>
      </c>
      <c r="CZ51" s="192">
        <v>166697.89000000001</v>
      </c>
      <c r="DA51" s="192">
        <v>237987.34999999998</v>
      </c>
      <c r="DB51" s="192">
        <v>358110.81</v>
      </c>
      <c r="DC51" s="193">
        <v>282617.72000000003</v>
      </c>
    </row>
    <row r="54" spans="1:107" ht="12.75" thickBot="1">
      <c r="A54" s="178" t="s">
        <v>346</v>
      </c>
    </row>
    <row r="55" spans="1:107">
      <c r="A55" s="180"/>
      <c r="B55" s="181" t="s">
        <v>250</v>
      </c>
      <c r="C55" s="182" t="s">
        <v>251</v>
      </c>
      <c r="D55" s="182" t="s">
        <v>252</v>
      </c>
      <c r="E55" s="182" t="s">
        <v>253</v>
      </c>
      <c r="F55" s="182" t="s">
        <v>254</v>
      </c>
      <c r="G55" s="183" t="s">
        <v>255</v>
      </c>
      <c r="H55" s="183" t="s">
        <v>256</v>
      </c>
      <c r="I55" s="184" t="s">
        <v>257</v>
      </c>
      <c r="J55" s="184" t="s">
        <v>258</v>
      </c>
      <c r="K55" s="184" t="s">
        <v>259</v>
      </c>
      <c r="L55" s="184" t="s">
        <v>260</v>
      </c>
      <c r="M55" s="184" t="s">
        <v>261</v>
      </c>
      <c r="N55" s="184" t="s">
        <v>262</v>
      </c>
      <c r="O55" s="184" t="s">
        <v>263</v>
      </c>
      <c r="P55" s="184" t="s">
        <v>264</v>
      </c>
      <c r="Q55" s="184" t="s">
        <v>13</v>
      </c>
      <c r="R55" s="184" t="s">
        <v>265</v>
      </c>
      <c r="S55" s="184" t="s">
        <v>266</v>
      </c>
      <c r="T55" s="184" t="s">
        <v>267</v>
      </c>
      <c r="U55" s="184" t="s">
        <v>268</v>
      </c>
      <c r="V55" s="184" t="s">
        <v>269</v>
      </c>
      <c r="W55" s="184" t="s">
        <v>270</v>
      </c>
      <c r="X55" s="184" t="s">
        <v>271</v>
      </c>
      <c r="Y55" s="184" t="s">
        <v>272</v>
      </c>
      <c r="Z55" s="184" t="s">
        <v>10</v>
      </c>
      <c r="AA55" s="184" t="s">
        <v>273</v>
      </c>
      <c r="AB55" s="184" t="s">
        <v>11</v>
      </c>
      <c r="AC55" s="184" t="s">
        <v>15</v>
      </c>
      <c r="AD55" s="184" t="s">
        <v>274</v>
      </c>
      <c r="AE55" s="184" t="s">
        <v>275</v>
      </c>
      <c r="AF55" s="184" t="s">
        <v>276</v>
      </c>
      <c r="AG55" s="184" t="s">
        <v>19</v>
      </c>
      <c r="AH55" s="184" t="s">
        <v>20</v>
      </c>
      <c r="AI55" s="184" t="s">
        <v>16</v>
      </c>
      <c r="AJ55" s="184" t="s">
        <v>8</v>
      </c>
      <c r="AK55" s="184" t="s">
        <v>24</v>
      </c>
      <c r="AL55" s="184" t="s">
        <v>277</v>
      </c>
      <c r="AM55" s="184" t="s">
        <v>23</v>
      </c>
      <c r="AN55" s="184" t="s">
        <v>278</v>
      </c>
      <c r="AO55" s="184" t="s">
        <v>279</v>
      </c>
      <c r="AP55" s="184" t="s">
        <v>280</v>
      </c>
      <c r="AQ55" s="184" t="s">
        <v>281</v>
      </c>
      <c r="AR55" s="184" t="s">
        <v>282</v>
      </c>
      <c r="AS55" s="184" t="s">
        <v>283</v>
      </c>
      <c r="AT55" s="184" t="s">
        <v>284</v>
      </c>
      <c r="AU55" s="184" t="s">
        <v>285</v>
      </c>
      <c r="AV55" s="184" t="s">
        <v>286</v>
      </c>
      <c r="AW55" s="184" t="s">
        <v>287</v>
      </c>
      <c r="AX55" s="184" t="s">
        <v>288</v>
      </c>
      <c r="AY55" s="184" t="s">
        <v>289</v>
      </c>
      <c r="AZ55" s="184" t="s">
        <v>290</v>
      </c>
      <c r="BA55" s="184" t="s">
        <v>291</v>
      </c>
      <c r="BB55" s="184" t="s">
        <v>292</v>
      </c>
      <c r="BC55" s="184" t="s">
        <v>293</v>
      </c>
      <c r="BD55" s="184" t="s">
        <v>294</v>
      </c>
      <c r="BE55" s="184" t="s">
        <v>295</v>
      </c>
      <c r="BF55" s="184" t="s">
        <v>296</v>
      </c>
      <c r="BG55" s="184" t="s">
        <v>297</v>
      </c>
      <c r="BH55" s="184" t="s">
        <v>298</v>
      </c>
      <c r="BI55" s="184" t="s">
        <v>299</v>
      </c>
      <c r="BJ55" s="184" t="s">
        <v>300</v>
      </c>
      <c r="BK55" s="184" t="s">
        <v>301</v>
      </c>
      <c r="BL55" s="184" t="s">
        <v>302</v>
      </c>
      <c r="BM55" s="184" t="s">
        <v>303</v>
      </c>
      <c r="BN55" s="184" t="s">
        <v>304</v>
      </c>
      <c r="BO55" s="184" t="s">
        <v>305</v>
      </c>
      <c r="BP55" s="184" t="s">
        <v>306</v>
      </c>
      <c r="BQ55" s="184" t="s">
        <v>307</v>
      </c>
      <c r="BR55" s="184" t="s">
        <v>308</v>
      </c>
      <c r="BS55" s="184" t="s">
        <v>309</v>
      </c>
      <c r="BT55" s="184" t="s">
        <v>310</v>
      </c>
      <c r="BU55" s="184" t="s">
        <v>311</v>
      </c>
      <c r="BV55" s="184" t="s">
        <v>312</v>
      </c>
      <c r="BW55" s="184" t="s">
        <v>313</v>
      </c>
      <c r="BX55" s="184" t="s">
        <v>314</v>
      </c>
      <c r="BY55" s="184" t="s">
        <v>315</v>
      </c>
      <c r="BZ55" s="184" t="s">
        <v>316</v>
      </c>
      <c r="CA55" s="184" t="s">
        <v>317</v>
      </c>
      <c r="CB55" s="184" t="s">
        <v>318</v>
      </c>
      <c r="CC55" s="184" t="s">
        <v>319</v>
      </c>
      <c r="CD55" s="184" t="s">
        <v>320</v>
      </c>
      <c r="CE55" s="184" t="s">
        <v>321</v>
      </c>
      <c r="CF55" s="184" t="s">
        <v>322</v>
      </c>
      <c r="CG55" s="184" t="s">
        <v>323</v>
      </c>
      <c r="CH55" s="184" t="s">
        <v>324</v>
      </c>
      <c r="CI55" s="184" t="s">
        <v>325</v>
      </c>
      <c r="CJ55" s="184" t="s">
        <v>326</v>
      </c>
      <c r="CK55" s="184" t="s">
        <v>327</v>
      </c>
      <c r="CL55" s="184" t="s">
        <v>328</v>
      </c>
      <c r="CM55" s="184" t="s">
        <v>329</v>
      </c>
      <c r="CN55" s="184" t="s">
        <v>330</v>
      </c>
      <c r="CO55" s="184" t="s">
        <v>331</v>
      </c>
      <c r="CP55" s="184" t="s">
        <v>332</v>
      </c>
      <c r="CQ55" s="184" t="s">
        <v>333</v>
      </c>
      <c r="CR55" s="184" t="s">
        <v>334</v>
      </c>
      <c r="CS55" s="184" t="s">
        <v>335</v>
      </c>
      <c r="CT55" s="184" t="s">
        <v>336</v>
      </c>
      <c r="CU55" s="184" t="s">
        <v>337</v>
      </c>
      <c r="CV55" s="184" t="s">
        <v>338</v>
      </c>
      <c r="CW55" s="184" t="s">
        <v>339</v>
      </c>
      <c r="CX55" s="184" t="s">
        <v>340</v>
      </c>
      <c r="CY55" s="184" t="s">
        <v>341</v>
      </c>
      <c r="CZ55" s="184" t="s">
        <v>342</v>
      </c>
      <c r="DA55" s="184" t="s">
        <v>343</v>
      </c>
      <c r="DB55" s="184" t="s">
        <v>344</v>
      </c>
      <c r="DC55" s="185" t="s">
        <v>345</v>
      </c>
    </row>
    <row r="56" spans="1:107">
      <c r="A56" s="174" t="s">
        <v>60</v>
      </c>
      <c r="B56" s="186">
        <v>13936246.469999999</v>
      </c>
      <c r="C56" s="186">
        <v>6488971.0199999996</v>
      </c>
      <c r="D56" s="186">
        <v>1890112.13</v>
      </c>
      <c r="E56" s="186">
        <v>1163948.9099999999</v>
      </c>
      <c r="F56" s="186">
        <v>663465.5</v>
      </c>
      <c r="G56" s="186">
        <v>781666.67</v>
      </c>
      <c r="H56" s="186">
        <v>0</v>
      </c>
      <c r="I56" s="186">
        <v>111804.48</v>
      </c>
      <c r="J56" s="186">
        <v>232689.85</v>
      </c>
      <c r="K56" s="186">
        <v>287746.53999999998</v>
      </c>
      <c r="L56" s="186">
        <v>99197.96</v>
      </c>
      <c r="M56" s="186">
        <v>183615.82</v>
      </c>
      <c r="N56" s="186">
        <v>0</v>
      </c>
      <c r="O56" s="186">
        <v>17290.91</v>
      </c>
      <c r="P56" s="186">
        <v>151513.82</v>
      </c>
      <c r="Q56" s="186">
        <v>139578.82999999999</v>
      </c>
      <c r="R56" s="186">
        <v>160952.53</v>
      </c>
      <c r="S56" s="186">
        <v>328266.46999999997</v>
      </c>
      <c r="T56" s="186">
        <v>278936.53000000003</v>
      </c>
      <c r="U56" s="186">
        <v>512844.76</v>
      </c>
      <c r="V56" s="186">
        <v>36980</v>
      </c>
      <c r="W56" s="186">
        <v>0</v>
      </c>
      <c r="X56" s="186">
        <v>64329.33</v>
      </c>
      <c r="Y56" s="186">
        <v>37329.33</v>
      </c>
      <c r="Z56" s="186">
        <v>350482.82</v>
      </c>
      <c r="AA56" s="186">
        <v>0</v>
      </c>
      <c r="AB56" s="186">
        <v>187082.19</v>
      </c>
      <c r="AC56" s="186">
        <v>254008.42</v>
      </c>
      <c r="AD56" s="186">
        <v>152641.16</v>
      </c>
      <c r="AE56" s="186">
        <v>118075.66</v>
      </c>
      <c r="AF56" s="186">
        <v>172745.05</v>
      </c>
      <c r="AG56" s="186">
        <v>470845.01</v>
      </c>
      <c r="AH56" s="186">
        <v>746247.61</v>
      </c>
      <c r="AI56" s="186">
        <v>500274.46</v>
      </c>
      <c r="AJ56" s="186">
        <v>399247.74</v>
      </c>
      <c r="AK56" s="186">
        <v>444427.83</v>
      </c>
      <c r="AL56" s="186">
        <v>164039.67000000001</v>
      </c>
      <c r="AM56" s="186">
        <v>54998</v>
      </c>
      <c r="AN56" s="186">
        <v>7416</v>
      </c>
      <c r="AO56" s="186">
        <v>189522.95</v>
      </c>
      <c r="AP56" s="186">
        <v>236260.4</v>
      </c>
      <c r="AQ56" s="186">
        <v>136616.01</v>
      </c>
      <c r="AR56" s="186">
        <v>162797.84</v>
      </c>
      <c r="AS56" s="186">
        <v>185481.48</v>
      </c>
      <c r="AT56" s="186">
        <v>315755.2</v>
      </c>
      <c r="AU56" s="186">
        <v>307136.3</v>
      </c>
      <c r="AV56" s="186">
        <v>350803.48</v>
      </c>
      <c r="AW56" s="186">
        <v>255657.55</v>
      </c>
      <c r="AX56" s="186">
        <v>270084.82</v>
      </c>
      <c r="AY56" s="186">
        <v>245708.05</v>
      </c>
      <c r="AZ56" s="186">
        <v>119138.04</v>
      </c>
      <c r="BA56" s="186">
        <v>268572.52</v>
      </c>
      <c r="BB56" s="186">
        <v>105045</v>
      </c>
      <c r="BC56" s="186">
        <v>93536.37</v>
      </c>
      <c r="BD56" s="186">
        <v>285447.21999999997</v>
      </c>
      <c r="BE56" s="186">
        <v>184943.85</v>
      </c>
      <c r="BF56" s="186">
        <v>243800.7</v>
      </c>
      <c r="BG56" s="186">
        <v>164282.58000000002</v>
      </c>
      <c r="BH56" s="186">
        <v>112641.17</v>
      </c>
      <c r="BI56" s="186">
        <v>143724.56</v>
      </c>
      <c r="BJ56" s="186">
        <v>151365.79999999999</v>
      </c>
      <c r="BK56" s="186">
        <v>121423.85</v>
      </c>
      <c r="BL56" s="186">
        <v>88119.45</v>
      </c>
      <c r="BM56" s="186">
        <v>102667.52</v>
      </c>
      <c r="BN56" s="186">
        <v>111613.45</v>
      </c>
      <c r="BO56" s="186">
        <v>141282.03999999998</v>
      </c>
      <c r="BP56" s="186">
        <v>46258.729999999996</v>
      </c>
      <c r="BQ56" s="186">
        <v>58110.65</v>
      </c>
      <c r="BR56" s="186">
        <v>37875.94</v>
      </c>
      <c r="BS56" s="186">
        <v>54080.01</v>
      </c>
      <c r="BT56" s="186">
        <v>56988.88</v>
      </c>
      <c r="BU56" s="186">
        <v>101835.69</v>
      </c>
      <c r="BV56" s="186">
        <v>44008.14</v>
      </c>
      <c r="BW56" s="186">
        <v>330971.74</v>
      </c>
      <c r="BX56" s="186">
        <v>13380</v>
      </c>
      <c r="BY56" s="186">
        <v>36805.520000000004</v>
      </c>
      <c r="BZ56" s="186">
        <v>28202</v>
      </c>
      <c r="CA56" s="186">
        <v>23475.16</v>
      </c>
      <c r="CB56" s="186">
        <v>39185.699999999997</v>
      </c>
      <c r="CC56" s="186">
        <v>89242.67</v>
      </c>
      <c r="CD56" s="186">
        <v>50172.4</v>
      </c>
      <c r="CE56" s="186">
        <v>23800.91</v>
      </c>
      <c r="CF56" s="186">
        <v>8000</v>
      </c>
      <c r="CG56" s="186">
        <v>14200</v>
      </c>
      <c r="CH56" s="186">
        <v>14420</v>
      </c>
      <c r="CI56" s="186">
        <v>4582.67</v>
      </c>
      <c r="CJ56" s="186">
        <v>30200</v>
      </c>
      <c r="CK56" s="186">
        <v>20369.650000000001</v>
      </c>
      <c r="CL56" s="186">
        <v>14137.72</v>
      </c>
      <c r="CM56" s="186">
        <v>23751.56</v>
      </c>
      <c r="CN56" s="186">
        <v>8000</v>
      </c>
      <c r="CO56" s="186">
        <v>8000</v>
      </c>
      <c r="CP56" s="186">
        <v>9600</v>
      </c>
      <c r="CQ56" s="186">
        <v>17135.510000000002</v>
      </c>
      <c r="CR56" s="186">
        <v>8000</v>
      </c>
      <c r="CS56" s="186">
        <v>14554</v>
      </c>
      <c r="CT56" s="186">
        <v>8000</v>
      </c>
      <c r="CU56" s="186">
        <v>13977.21</v>
      </c>
      <c r="CV56" s="186">
        <v>12815.17</v>
      </c>
      <c r="CW56" s="186">
        <v>8000</v>
      </c>
      <c r="CX56" s="186">
        <v>16572.64</v>
      </c>
      <c r="CY56" s="186">
        <v>17126.27</v>
      </c>
      <c r="CZ56" s="186">
        <v>8000</v>
      </c>
      <c r="DA56" s="186">
        <v>11760</v>
      </c>
      <c r="DB56" s="186">
        <v>13318</v>
      </c>
      <c r="DC56" s="194">
        <v>56628.28</v>
      </c>
    </row>
    <row r="57" spans="1:107">
      <c r="A57" s="174" t="s">
        <v>61</v>
      </c>
      <c r="B57" s="186">
        <v>169953.53000000003</v>
      </c>
      <c r="C57" s="186">
        <v>44244.42</v>
      </c>
      <c r="D57" s="186">
        <v>35637.800000000003</v>
      </c>
      <c r="E57" s="186">
        <v>1470</v>
      </c>
      <c r="F57" s="186">
        <v>884.1099999999999</v>
      </c>
      <c r="G57" s="186">
        <v>0</v>
      </c>
      <c r="H57" s="186">
        <v>0</v>
      </c>
      <c r="I57" s="186">
        <v>2695</v>
      </c>
      <c r="J57" s="186">
        <v>14420</v>
      </c>
      <c r="K57" s="186">
        <v>10185</v>
      </c>
      <c r="L57" s="186">
        <v>2695</v>
      </c>
      <c r="M57" s="186">
        <v>5913</v>
      </c>
      <c r="N57" s="186">
        <v>0</v>
      </c>
      <c r="O57" s="186">
        <v>490</v>
      </c>
      <c r="P57" s="186">
        <v>6335</v>
      </c>
      <c r="Q57" s="186">
        <v>5040</v>
      </c>
      <c r="R57" s="186">
        <v>2730</v>
      </c>
      <c r="S57" s="186">
        <v>10193</v>
      </c>
      <c r="T57" s="186">
        <v>9765</v>
      </c>
      <c r="U57" s="186">
        <v>1897</v>
      </c>
      <c r="V57" s="186">
        <v>0</v>
      </c>
      <c r="W57" s="186">
        <v>0</v>
      </c>
      <c r="X57" s="186">
        <v>0</v>
      </c>
      <c r="Y57" s="186">
        <v>0</v>
      </c>
      <c r="Z57" s="186">
        <v>70</v>
      </c>
      <c r="AA57" s="186">
        <v>0</v>
      </c>
      <c r="AB57" s="186">
        <v>1400</v>
      </c>
      <c r="AC57" s="186">
        <v>0</v>
      </c>
      <c r="AD57" s="186">
        <v>0</v>
      </c>
      <c r="AE57" s="186">
        <v>0</v>
      </c>
      <c r="AF57" s="186">
        <v>6685</v>
      </c>
      <c r="AG57" s="186">
        <v>8088</v>
      </c>
      <c r="AH57" s="186">
        <v>4865</v>
      </c>
      <c r="AI57" s="186">
        <v>15999.8</v>
      </c>
      <c r="AJ57" s="186">
        <v>15260</v>
      </c>
      <c r="AK57" s="186">
        <v>398.21</v>
      </c>
      <c r="AL57" s="186">
        <v>485.9</v>
      </c>
      <c r="AM57" s="186">
        <v>0</v>
      </c>
      <c r="AN57" s="186">
        <v>99.2</v>
      </c>
      <c r="AO57" s="186">
        <v>1890</v>
      </c>
      <c r="AP57" s="186">
        <v>10150</v>
      </c>
      <c r="AQ57" s="186">
        <v>4305</v>
      </c>
      <c r="AR57" s="186">
        <v>4445</v>
      </c>
      <c r="AS57" s="186">
        <v>7630</v>
      </c>
      <c r="AT57" s="186">
        <v>0</v>
      </c>
      <c r="AU57" s="186">
        <v>-454.93</v>
      </c>
      <c r="AV57" s="186">
        <v>0</v>
      </c>
      <c r="AW57" s="186">
        <v>-221.93</v>
      </c>
      <c r="AX57" s="186">
        <v>0</v>
      </c>
      <c r="AY57" s="186">
        <v>0</v>
      </c>
      <c r="AZ57" s="186">
        <v>0</v>
      </c>
      <c r="BA57" s="186">
        <v>0</v>
      </c>
      <c r="BB57" s="186">
        <v>0</v>
      </c>
      <c r="BC57" s="186">
        <v>0</v>
      </c>
      <c r="BD57" s="186">
        <v>91</v>
      </c>
      <c r="BE57" s="186">
        <v>0</v>
      </c>
      <c r="BF57" s="186">
        <v>941.8</v>
      </c>
      <c r="BG57" s="186">
        <v>0</v>
      </c>
      <c r="BH57" s="186">
        <v>0</v>
      </c>
      <c r="BI57" s="186">
        <v>0</v>
      </c>
      <c r="BJ57" s="186">
        <v>0</v>
      </c>
      <c r="BK57" s="186">
        <v>-1075.96</v>
      </c>
      <c r="BL57" s="186">
        <v>0</v>
      </c>
      <c r="BM57" s="186">
        <v>0</v>
      </c>
      <c r="BN57" s="186">
        <v>0</v>
      </c>
      <c r="BO57" s="186">
        <v>0</v>
      </c>
      <c r="BP57" s="186">
        <v>0</v>
      </c>
      <c r="BQ57" s="186">
        <v>0</v>
      </c>
      <c r="BR57" s="186">
        <v>0</v>
      </c>
      <c r="BS57" s="186">
        <v>0</v>
      </c>
      <c r="BT57" s="186">
        <v>0</v>
      </c>
      <c r="BU57" s="186">
        <v>10000</v>
      </c>
      <c r="BV57" s="186">
        <v>0</v>
      </c>
      <c r="BW57" s="186">
        <v>4795</v>
      </c>
      <c r="BX57" s="186">
        <v>0</v>
      </c>
      <c r="BY57" s="186">
        <v>0</v>
      </c>
      <c r="BZ57" s="186">
        <v>0</v>
      </c>
      <c r="CA57" s="186">
        <v>0</v>
      </c>
      <c r="CB57" s="186">
        <v>-1075.96</v>
      </c>
      <c r="CC57" s="186">
        <v>0</v>
      </c>
      <c r="CD57" s="186">
        <v>0</v>
      </c>
      <c r="CE57" s="186">
        <v>0</v>
      </c>
      <c r="CF57" s="186">
        <v>0</v>
      </c>
      <c r="CG57" s="186">
        <v>0</v>
      </c>
      <c r="CH57" s="186">
        <v>0</v>
      </c>
      <c r="CI57" s="186">
        <v>0</v>
      </c>
      <c r="CJ57" s="186">
        <v>0</v>
      </c>
      <c r="CK57" s="186">
        <v>0</v>
      </c>
      <c r="CL57" s="186">
        <v>0</v>
      </c>
      <c r="CM57" s="186">
        <v>0</v>
      </c>
      <c r="CN57" s="186">
        <v>0</v>
      </c>
      <c r="CO57" s="186">
        <v>0</v>
      </c>
      <c r="CP57" s="186">
        <v>0</v>
      </c>
      <c r="CQ57" s="186">
        <v>0</v>
      </c>
      <c r="CR57" s="186">
        <v>0</v>
      </c>
      <c r="CS57" s="186">
        <v>0</v>
      </c>
      <c r="CT57" s="186">
        <v>0</v>
      </c>
      <c r="CU57" s="186">
        <v>0</v>
      </c>
      <c r="CV57" s="186">
        <v>0</v>
      </c>
      <c r="CW57" s="186">
        <v>0</v>
      </c>
      <c r="CX57" s="186">
        <v>0</v>
      </c>
      <c r="CY57" s="186">
        <v>0</v>
      </c>
      <c r="CZ57" s="186">
        <v>0</v>
      </c>
      <c r="DA57" s="186">
        <v>1883.6</v>
      </c>
      <c r="DB57" s="186">
        <v>0</v>
      </c>
      <c r="DC57" s="194">
        <v>941.8</v>
      </c>
    </row>
    <row r="58" spans="1:107">
      <c r="A58" s="174" t="s">
        <v>62</v>
      </c>
      <c r="B58" s="186">
        <v>583216.69999999984</v>
      </c>
      <c r="C58" s="186">
        <v>213537.37000000002</v>
      </c>
      <c r="D58" s="186">
        <v>121157.97999999998</v>
      </c>
      <c r="E58" s="186">
        <v>21827.21</v>
      </c>
      <c r="F58" s="186">
        <v>15058.27</v>
      </c>
      <c r="G58" s="186">
        <v>15641.73</v>
      </c>
      <c r="H58" s="186">
        <v>136601.49</v>
      </c>
      <c r="I58" s="186">
        <v>2252.89</v>
      </c>
      <c r="J58" s="186">
        <v>4731.59</v>
      </c>
      <c r="K58" s="186">
        <v>5754.93</v>
      </c>
      <c r="L58" s="186">
        <v>1983.96</v>
      </c>
      <c r="M58" s="186">
        <v>3672.32</v>
      </c>
      <c r="N58" s="186">
        <v>0</v>
      </c>
      <c r="O58" s="186">
        <v>345.82</v>
      </c>
      <c r="P58" s="186">
        <v>3030.28</v>
      </c>
      <c r="Q58" s="186">
        <v>2791.58</v>
      </c>
      <c r="R58" s="186">
        <v>3219.05</v>
      </c>
      <c r="S58" s="186">
        <v>6573.73</v>
      </c>
      <c r="T58" s="186">
        <v>5578.73</v>
      </c>
      <c r="U58" s="186">
        <v>10542.9</v>
      </c>
      <c r="V58" s="186">
        <v>748</v>
      </c>
      <c r="W58" s="186">
        <v>0</v>
      </c>
      <c r="X58" s="186">
        <v>1286.5899999999999</v>
      </c>
      <c r="Y58" s="186">
        <v>746.59</v>
      </c>
      <c r="Z58" s="186">
        <v>7009.66</v>
      </c>
      <c r="AA58" s="186">
        <v>0</v>
      </c>
      <c r="AB58" s="186">
        <v>3741.63</v>
      </c>
      <c r="AC58" s="186">
        <v>3628.41</v>
      </c>
      <c r="AD58" s="186">
        <v>3052.82</v>
      </c>
      <c r="AE58" s="186">
        <v>2361.5100000000002</v>
      </c>
      <c r="AF58" s="186">
        <v>3454.9</v>
      </c>
      <c r="AG58" s="186">
        <v>80938.899999999994</v>
      </c>
      <c r="AH58" s="186">
        <v>14924.95</v>
      </c>
      <c r="AI58" s="186">
        <v>21839.23</v>
      </c>
      <c r="AJ58" s="186">
        <v>8010.15</v>
      </c>
      <c r="AK58" s="186">
        <v>10576.72</v>
      </c>
      <c r="AL58" s="186">
        <v>3339.59</v>
      </c>
      <c r="AM58" s="186">
        <v>1141.96</v>
      </c>
      <c r="AN58" s="186">
        <v>156.72</v>
      </c>
      <c r="AO58" s="186">
        <v>4205.96</v>
      </c>
      <c r="AP58" s="186">
        <v>4725.21</v>
      </c>
      <c r="AQ58" s="186">
        <v>2740.72</v>
      </c>
      <c r="AR58" s="186">
        <v>3255.96</v>
      </c>
      <c r="AS58" s="186">
        <v>3709.63</v>
      </c>
      <c r="AT58" s="186">
        <v>9371.66</v>
      </c>
      <c r="AU58" s="186">
        <v>11988.18</v>
      </c>
      <c r="AV58" s="186">
        <v>14317.79</v>
      </c>
      <c r="AW58" s="186">
        <v>8410.57</v>
      </c>
      <c r="AX58" s="186">
        <v>10552.76</v>
      </c>
      <c r="AY58" s="186">
        <v>8287.5300000000007</v>
      </c>
      <c r="AZ58" s="186">
        <v>4328.57</v>
      </c>
      <c r="BA58" s="186">
        <v>12102.01</v>
      </c>
      <c r="BB58" s="186">
        <v>3260.43</v>
      </c>
      <c r="BC58" s="186">
        <v>2311.42</v>
      </c>
      <c r="BD58" s="186">
        <v>9996.08</v>
      </c>
      <c r="BE58" s="186">
        <v>7547.63</v>
      </c>
      <c r="BF58" s="186">
        <v>7400.68</v>
      </c>
      <c r="BG58" s="186">
        <v>4566.1400000000003</v>
      </c>
      <c r="BH58" s="186">
        <v>3457.57</v>
      </c>
      <c r="BI58" s="186">
        <v>4284.78</v>
      </c>
      <c r="BJ58" s="186">
        <v>5792.71</v>
      </c>
      <c r="BK58" s="186">
        <v>4162.6499999999996</v>
      </c>
      <c r="BL58" s="186">
        <v>3129.23</v>
      </c>
      <c r="BM58" s="186">
        <v>3533.11</v>
      </c>
      <c r="BN58" s="186">
        <v>5026.63</v>
      </c>
      <c r="BO58" s="186">
        <v>4451.17</v>
      </c>
      <c r="BP58" s="186">
        <v>1869.05</v>
      </c>
      <c r="BQ58" s="186">
        <v>1754.9</v>
      </c>
      <c r="BR58" s="186">
        <v>853.72</v>
      </c>
      <c r="BS58" s="186">
        <v>2050.5100000000002</v>
      </c>
      <c r="BT58" s="186">
        <v>2105.6</v>
      </c>
      <c r="BU58" s="186">
        <v>3362.57</v>
      </c>
      <c r="BV58" s="186">
        <v>2337.4899999999998</v>
      </c>
      <c r="BW58" s="186">
        <v>11327.26</v>
      </c>
      <c r="BX58" s="186">
        <v>697.75</v>
      </c>
      <c r="BY58" s="186">
        <v>1981.39</v>
      </c>
      <c r="BZ58" s="186">
        <v>1062.8599999999999</v>
      </c>
      <c r="CA58" s="186">
        <v>1203.18</v>
      </c>
      <c r="CB58" s="186">
        <v>1115.22</v>
      </c>
      <c r="CC58" s="186">
        <v>3799.05</v>
      </c>
      <c r="CD58" s="186">
        <v>1579.75</v>
      </c>
      <c r="CE58" s="186">
        <v>501.15</v>
      </c>
      <c r="CF58" s="186">
        <v>190.73</v>
      </c>
      <c r="CG58" s="186">
        <v>538.54999999999995</v>
      </c>
      <c r="CH58" s="186">
        <v>386.14</v>
      </c>
      <c r="CI58" s="186">
        <v>106.94</v>
      </c>
      <c r="CJ58" s="186">
        <v>620.79999999999995</v>
      </c>
      <c r="CK58" s="186">
        <v>491.63</v>
      </c>
      <c r="CL58" s="186">
        <v>367.23</v>
      </c>
      <c r="CM58" s="186">
        <v>758.04</v>
      </c>
      <c r="CN58" s="186">
        <v>245.4</v>
      </c>
      <c r="CO58" s="186">
        <v>174.48</v>
      </c>
      <c r="CP58" s="186">
        <v>315.63</v>
      </c>
      <c r="CQ58" s="186">
        <v>519.91</v>
      </c>
      <c r="CR58" s="186">
        <v>203.08</v>
      </c>
      <c r="CS58" s="186">
        <v>353.82</v>
      </c>
      <c r="CT58" s="186">
        <v>239.71</v>
      </c>
      <c r="CU58" s="186">
        <v>326.31</v>
      </c>
      <c r="CV58" s="186">
        <v>348.58</v>
      </c>
      <c r="CW58" s="186">
        <v>168.4</v>
      </c>
      <c r="CX58" s="186">
        <v>349.85</v>
      </c>
      <c r="CY58" s="186">
        <v>392.1</v>
      </c>
      <c r="CZ58" s="186">
        <v>172.27</v>
      </c>
      <c r="DA58" s="186">
        <v>243.6</v>
      </c>
      <c r="DB58" s="186">
        <v>339.77</v>
      </c>
      <c r="DC58" s="194">
        <v>1166.17</v>
      </c>
    </row>
    <row r="59" spans="1:107">
      <c r="A59" s="174" t="s">
        <v>82</v>
      </c>
      <c r="B59" s="186">
        <v>50700.63</v>
      </c>
      <c r="C59" s="186">
        <v>50700.63</v>
      </c>
      <c r="D59" s="186">
        <v>0</v>
      </c>
      <c r="E59" s="186">
        <v>0</v>
      </c>
      <c r="F59" s="186">
        <v>0</v>
      </c>
      <c r="G59" s="186">
        <v>0</v>
      </c>
      <c r="H59" s="186">
        <v>0</v>
      </c>
      <c r="I59" s="186">
        <v>0</v>
      </c>
      <c r="J59" s="186">
        <v>0</v>
      </c>
      <c r="K59" s="186">
        <v>0</v>
      </c>
      <c r="L59" s="186">
        <v>0</v>
      </c>
      <c r="M59" s="186">
        <v>0</v>
      </c>
      <c r="N59" s="186">
        <v>0</v>
      </c>
      <c r="O59" s="186">
        <v>0</v>
      </c>
      <c r="P59" s="186">
        <v>0</v>
      </c>
      <c r="Q59" s="186">
        <v>0</v>
      </c>
      <c r="R59" s="186">
        <v>0</v>
      </c>
      <c r="S59" s="186">
        <v>0</v>
      </c>
      <c r="T59" s="186">
        <v>0</v>
      </c>
      <c r="U59" s="186">
        <v>0</v>
      </c>
      <c r="V59" s="186">
        <v>0</v>
      </c>
      <c r="W59" s="186">
        <v>0</v>
      </c>
      <c r="X59" s="186">
        <v>0</v>
      </c>
      <c r="Y59" s="186">
        <v>0</v>
      </c>
      <c r="Z59" s="186">
        <v>0</v>
      </c>
      <c r="AA59" s="186">
        <v>0</v>
      </c>
      <c r="AB59" s="186">
        <v>0</v>
      </c>
      <c r="AC59" s="186">
        <v>0</v>
      </c>
      <c r="AD59" s="186">
        <v>0</v>
      </c>
      <c r="AE59" s="186">
        <v>0</v>
      </c>
      <c r="AF59" s="186">
        <v>0</v>
      </c>
      <c r="AG59" s="186">
        <v>0</v>
      </c>
      <c r="AH59" s="186">
        <v>0</v>
      </c>
      <c r="AI59" s="186">
        <v>0</v>
      </c>
      <c r="AJ59" s="186">
        <v>0</v>
      </c>
      <c r="AK59" s="186">
        <v>0</v>
      </c>
      <c r="AL59" s="186">
        <v>0</v>
      </c>
      <c r="AM59" s="186">
        <v>0</v>
      </c>
      <c r="AN59" s="186">
        <v>0</v>
      </c>
      <c r="AO59" s="186">
        <v>0</v>
      </c>
      <c r="AP59" s="186">
        <v>0</v>
      </c>
      <c r="AQ59" s="186">
        <v>0</v>
      </c>
      <c r="AR59" s="186">
        <v>0</v>
      </c>
      <c r="AS59" s="186">
        <v>0</v>
      </c>
      <c r="AT59" s="186">
        <v>0</v>
      </c>
      <c r="AU59" s="186">
        <v>0</v>
      </c>
      <c r="AV59" s="186">
        <v>0</v>
      </c>
      <c r="AW59" s="186">
        <v>0</v>
      </c>
      <c r="AX59" s="186">
        <v>0</v>
      </c>
      <c r="AY59" s="186">
        <v>0</v>
      </c>
      <c r="AZ59" s="186">
        <v>0</v>
      </c>
      <c r="BA59" s="186">
        <v>0</v>
      </c>
      <c r="BB59" s="186">
        <v>1904</v>
      </c>
      <c r="BC59" s="186">
        <v>1149.9000000000001</v>
      </c>
      <c r="BD59" s="186">
        <v>0</v>
      </c>
      <c r="BE59" s="186">
        <v>7401</v>
      </c>
      <c r="BF59" s="186">
        <v>0</v>
      </c>
      <c r="BG59" s="186">
        <v>0</v>
      </c>
      <c r="BH59" s="186">
        <v>11655</v>
      </c>
      <c r="BI59" s="186">
        <v>2247</v>
      </c>
      <c r="BJ59" s="186">
        <v>0</v>
      </c>
      <c r="BK59" s="186">
        <v>4066</v>
      </c>
      <c r="BL59" s="186">
        <v>0</v>
      </c>
      <c r="BM59" s="186">
        <v>0</v>
      </c>
      <c r="BN59" s="186">
        <v>4380</v>
      </c>
      <c r="BO59" s="186">
        <v>0</v>
      </c>
      <c r="BP59" s="186">
        <v>0</v>
      </c>
      <c r="BQ59" s="186">
        <v>0</v>
      </c>
      <c r="BR59" s="186">
        <v>834</v>
      </c>
      <c r="BS59" s="186">
        <v>0</v>
      </c>
      <c r="BT59" s="186">
        <v>0</v>
      </c>
      <c r="BU59" s="186">
        <v>2316</v>
      </c>
      <c r="BV59" s="186">
        <v>0</v>
      </c>
      <c r="BW59" s="186">
        <v>8642.7999999999993</v>
      </c>
      <c r="BX59" s="186">
        <v>0</v>
      </c>
      <c r="BY59" s="186">
        <v>0</v>
      </c>
      <c r="BZ59" s="186">
        <v>0</v>
      </c>
      <c r="CA59" s="186">
        <v>0</v>
      </c>
      <c r="CB59" s="186">
        <v>0</v>
      </c>
      <c r="CC59" s="186">
        <v>2264.5</v>
      </c>
      <c r="CD59" s="186">
        <v>0</v>
      </c>
      <c r="CE59" s="186">
        <v>109</v>
      </c>
      <c r="CF59" s="186">
        <v>0</v>
      </c>
      <c r="CG59" s="186">
        <v>0</v>
      </c>
      <c r="CH59" s="186">
        <v>0</v>
      </c>
      <c r="CI59" s="186">
        <v>1379.1399999999999</v>
      </c>
      <c r="CJ59" s="186">
        <v>0</v>
      </c>
      <c r="CK59" s="186">
        <v>0</v>
      </c>
      <c r="CL59" s="186">
        <v>514.29</v>
      </c>
      <c r="CM59" s="186">
        <v>200</v>
      </c>
      <c r="CN59" s="186">
        <v>0</v>
      </c>
      <c r="CO59" s="186">
        <v>0</v>
      </c>
      <c r="CP59" s="186">
        <v>0</v>
      </c>
      <c r="CQ59" s="186">
        <v>0</v>
      </c>
      <c r="CR59" s="186">
        <v>0</v>
      </c>
      <c r="CS59" s="186">
        <v>900</v>
      </c>
      <c r="CT59" s="186">
        <v>0</v>
      </c>
      <c r="CU59" s="186">
        <v>0</v>
      </c>
      <c r="CV59" s="186">
        <v>0</v>
      </c>
      <c r="CW59" s="186">
        <v>0</v>
      </c>
      <c r="CX59" s="186">
        <v>238</v>
      </c>
      <c r="CY59" s="186">
        <v>500</v>
      </c>
      <c r="CZ59" s="186">
        <v>0</v>
      </c>
      <c r="DA59" s="186">
        <v>0</v>
      </c>
      <c r="DB59" s="186">
        <v>0</v>
      </c>
      <c r="DC59" s="194">
        <v>0</v>
      </c>
    </row>
    <row r="60" spans="1:107">
      <c r="A60" s="174" t="s">
        <v>63</v>
      </c>
      <c r="B60" s="186">
        <v>3211228.1300000018</v>
      </c>
      <c r="C60" s="186">
        <v>1601395.6000000003</v>
      </c>
      <c r="D60" s="186">
        <v>385850.57999999996</v>
      </c>
      <c r="E60" s="186">
        <v>248789.94999999998</v>
      </c>
      <c r="F60" s="186">
        <v>197625.56</v>
      </c>
      <c r="G60" s="186">
        <v>63461.200000000004</v>
      </c>
      <c r="H60" s="186">
        <v>0</v>
      </c>
      <c r="I60" s="186">
        <v>25594.54</v>
      </c>
      <c r="J60" s="186">
        <v>61598.22</v>
      </c>
      <c r="K60" s="186">
        <v>68973.599999999991</v>
      </c>
      <c r="L60" s="186">
        <v>20083.52</v>
      </c>
      <c r="M60" s="186">
        <v>37949.789999999994</v>
      </c>
      <c r="N60" s="186">
        <v>0</v>
      </c>
      <c r="O60" s="186">
        <v>5223.6400000000003</v>
      </c>
      <c r="P60" s="186">
        <v>35326.06</v>
      </c>
      <c r="Q60" s="186">
        <v>28561.739999999998</v>
      </c>
      <c r="R60" s="186">
        <v>32086.2</v>
      </c>
      <c r="S60" s="186">
        <v>87358.150000000009</v>
      </c>
      <c r="T60" s="186">
        <v>79199.25</v>
      </c>
      <c r="U60" s="186">
        <v>115407.28</v>
      </c>
      <c r="V60" s="186">
        <v>6256.22</v>
      </c>
      <c r="W60" s="186">
        <v>0</v>
      </c>
      <c r="X60" s="186">
        <v>21546.07</v>
      </c>
      <c r="Y60" s="186">
        <v>0</v>
      </c>
      <c r="Z60" s="186">
        <v>71045.91</v>
      </c>
      <c r="AA60" s="186">
        <v>0</v>
      </c>
      <c r="AB60" s="186">
        <v>67925.7</v>
      </c>
      <c r="AC60" s="186">
        <v>54565.24</v>
      </c>
      <c r="AD60" s="186">
        <v>33422.03</v>
      </c>
      <c r="AE60" s="186">
        <v>285</v>
      </c>
      <c r="AF60" s="186">
        <v>36808.01</v>
      </c>
      <c r="AG60" s="186">
        <v>129504.38</v>
      </c>
      <c r="AH60" s="186">
        <v>82079.969999999987</v>
      </c>
      <c r="AI60" s="186">
        <v>137458.22</v>
      </c>
      <c r="AJ60" s="186">
        <v>109081.98999999999</v>
      </c>
      <c r="AK60" s="186">
        <v>146750.07</v>
      </c>
      <c r="AL60" s="186">
        <v>32458.400000000001</v>
      </c>
      <c r="AM60" s="186">
        <v>18417.09</v>
      </c>
      <c r="AN60" s="186">
        <v>1405.04</v>
      </c>
      <c r="AO60" s="186">
        <v>17553.8</v>
      </c>
      <c r="AP60" s="186">
        <v>51542.84</v>
      </c>
      <c r="AQ60" s="186">
        <v>35293.9</v>
      </c>
      <c r="AR60" s="186">
        <v>34772.980000000003</v>
      </c>
      <c r="AS60" s="186">
        <v>42487.56</v>
      </c>
      <c r="AT60" s="186">
        <v>74237.64</v>
      </c>
      <c r="AU60" s="186">
        <v>79789.22</v>
      </c>
      <c r="AV60" s="186">
        <v>57205.03</v>
      </c>
      <c r="AW60" s="186">
        <v>66076.34</v>
      </c>
      <c r="AX60" s="186">
        <v>74525.73</v>
      </c>
      <c r="AY60" s="186">
        <v>67589.349999999991</v>
      </c>
      <c r="AZ60" s="186">
        <v>6285.69</v>
      </c>
      <c r="BA60" s="186">
        <v>61413.32</v>
      </c>
      <c r="BB60" s="186">
        <v>40429.269999999997</v>
      </c>
      <c r="BC60" s="186">
        <v>32504.61</v>
      </c>
      <c r="BD60" s="186">
        <v>111087.07</v>
      </c>
      <c r="BE60" s="186">
        <v>50228.66</v>
      </c>
      <c r="BF60" s="186">
        <v>62162.04</v>
      </c>
      <c r="BG60" s="186">
        <v>47392.36</v>
      </c>
      <c r="BH60" s="186">
        <v>37281.82</v>
      </c>
      <c r="BI60" s="186">
        <v>1606.1</v>
      </c>
      <c r="BJ60" s="186">
        <v>27126.25</v>
      </c>
      <c r="BK60" s="186">
        <v>31549.149999999998</v>
      </c>
      <c r="BL60" s="186">
        <v>28577.040000000001</v>
      </c>
      <c r="BM60" s="186">
        <v>2190.75</v>
      </c>
      <c r="BN60" s="186">
        <v>32666.019999999997</v>
      </c>
      <c r="BO60" s="186">
        <v>46602.29</v>
      </c>
      <c r="BP60" s="186">
        <v>11010.79</v>
      </c>
      <c r="BQ60" s="186">
        <v>3781.56</v>
      </c>
      <c r="BR60" s="186">
        <v>7249.07</v>
      </c>
      <c r="BS60" s="186">
        <v>17595.97</v>
      </c>
      <c r="BT60" s="186">
        <v>11704.31</v>
      </c>
      <c r="BU60" s="186">
        <v>23666.449999999997</v>
      </c>
      <c r="BV60" s="186">
        <v>12422.560000000001</v>
      </c>
      <c r="BW60" s="186">
        <v>117732.61</v>
      </c>
      <c r="BX60" s="186">
        <v>4073.06</v>
      </c>
      <c r="BY60" s="186">
        <v>11131.310000000001</v>
      </c>
      <c r="BZ60" s="186">
        <v>6589.3700000000008</v>
      </c>
      <c r="CA60" s="186">
        <v>7014.78</v>
      </c>
      <c r="CB60" s="186">
        <v>13066.150000000001</v>
      </c>
      <c r="CC60" s="186">
        <v>40180.160000000003</v>
      </c>
      <c r="CD60" s="186">
        <v>14236.2</v>
      </c>
      <c r="CE60" s="186">
        <v>5158.0499999999993</v>
      </c>
      <c r="CF60" s="186">
        <v>1216.9000000000001</v>
      </c>
      <c r="CG60" s="186">
        <v>3871.36</v>
      </c>
      <c r="CH60" s="186">
        <v>990.5</v>
      </c>
      <c r="CI60" s="186">
        <v>2062.1</v>
      </c>
      <c r="CJ60" s="186">
        <v>3467.64</v>
      </c>
      <c r="CK60" s="186">
        <v>1903.7</v>
      </c>
      <c r="CL60" s="186">
        <v>3311.1</v>
      </c>
      <c r="CM60" s="186">
        <v>2536.9499999999998</v>
      </c>
      <c r="CN60" s="186">
        <v>1604.94</v>
      </c>
      <c r="CO60" s="186">
        <v>0</v>
      </c>
      <c r="CP60" s="186">
        <v>3026</v>
      </c>
      <c r="CQ60" s="186">
        <v>221.93</v>
      </c>
      <c r="CR60" s="186">
        <v>2399.02</v>
      </c>
      <c r="CS60" s="186">
        <v>4119.16</v>
      </c>
      <c r="CT60" s="186">
        <v>2336.6799999999998</v>
      </c>
      <c r="CU60" s="186">
        <v>2566.1</v>
      </c>
      <c r="CV60" s="186">
        <v>2264</v>
      </c>
      <c r="CW60" s="186">
        <v>0</v>
      </c>
      <c r="CX60" s="186">
        <v>6484.8</v>
      </c>
      <c r="CY60" s="186">
        <v>2771.16</v>
      </c>
      <c r="CZ60" s="186">
        <v>1599.22</v>
      </c>
      <c r="DA60" s="186">
        <v>6072.5300000000007</v>
      </c>
      <c r="DB60" s="186">
        <v>2539.11</v>
      </c>
      <c r="DC60" s="194">
        <v>17241.47</v>
      </c>
    </row>
    <row r="61" spans="1:107">
      <c r="A61" s="174" t="s">
        <v>64</v>
      </c>
      <c r="B61" s="186">
        <v>0</v>
      </c>
      <c r="C61" s="186">
        <v>0</v>
      </c>
      <c r="D61" s="186">
        <v>0</v>
      </c>
      <c r="E61" s="186">
        <v>0</v>
      </c>
      <c r="F61" s="186">
        <v>0</v>
      </c>
      <c r="G61" s="186">
        <v>0</v>
      </c>
      <c r="H61" s="186">
        <v>0</v>
      </c>
      <c r="I61" s="186">
        <v>0</v>
      </c>
      <c r="J61" s="186">
        <v>0</v>
      </c>
      <c r="K61" s="186">
        <v>0</v>
      </c>
      <c r="L61" s="186">
        <v>0</v>
      </c>
      <c r="M61" s="186">
        <v>0</v>
      </c>
      <c r="N61" s="186">
        <v>0</v>
      </c>
      <c r="O61" s="186">
        <v>0</v>
      </c>
      <c r="P61" s="186">
        <v>0</v>
      </c>
      <c r="Q61" s="186">
        <v>0</v>
      </c>
      <c r="R61" s="186">
        <v>0</v>
      </c>
      <c r="S61" s="186">
        <v>0</v>
      </c>
      <c r="T61" s="186">
        <v>0</v>
      </c>
      <c r="U61" s="186">
        <v>0</v>
      </c>
      <c r="V61" s="186">
        <v>0</v>
      </c>
      <c r="W61" s="186">
        <v>0</v>
      </c>
      <c r="X61" s="186">
        <v>0</v>
      </c>
      <c r="Y61" s="186">
        <v>0</v>
      </c>
      <c r="Z61" s="186">
        <v>0</v>
      </c>
      <c r="AA61" s="186">
        <v>0</v>
      </c>
      <c r="AB61" s="186">
        <v>0</v>
      </c>
      <c r="AC61" s="186">
        <v>0</v>
      </c>
      <c r="AD61" s="186">
        <v>0</v>
      </c>
      <c r="AE61" s="186">
        <v>0</v>
      </c>
      <c r="AF61" s="186">
        <v>0</v>
      </c>
      <c r="AG61" s="186">
        <v>0</v>
      </c>
      <c r="AH61" s="186">
        <v>0</v>
      </c>
      <c r="AI61" s="186">
        <v>0</v>
      </c>
      <c r="AJ61" s="186">
        <v>0</v>
      </c>
      <c r="AK61" s="186">
        <v>0</v>
      </c>
      <c r="AL61" s="186">
        <v>0</v>
      </c>
      <c r="AM61" s="186">
        <v>0</v>
      </c>
      <c r="AN61" s="186">
        <v>0</v>
      </c>
      <c r="AO61" s="186">
        <v>0</v>
      </c>
      <c r="AP61" s="186">
        <v>0</v>
      </c>
      <c r="AQ61" s="186">
        <v>0</v>
      </c>
      <c r="AR61" s="186">
        <v>0</v>
      </c>
      <c r="AS61" s="186">
        <v>0</v>
      </c>
      <c r="AT61" s="186">
        <v>0</v>
      </c>
      <c r="AU61" s="186">
        <v>0</v>
      </c>
      <c r="AV61" s="186">
        <v>0</v>
      </c>
      <c r="AW61" s="186">
        <v>0</v>
      </c>
      <c r="AX61" s="186">
        <v>0</v>
      </c>
      <c r="AY61" s="186">
        <v>0</v>
      </c>
      <c r="AZ61" s="186">
        <v>0</v>
      </c>
      <c r="BA61" s="186">
        <v>0</v>
      </c>
      <c r="BB61" s="186">
        <v>0</v>
      </c>
      <c r="BC61" s="186">
        <v>0</v>
      </c>
      <c r="BD61" s="186">
        <v>0</v>
      </c>
      <c r="BE61" s="186">
        <v>0</v>
      </c>
      <c r="BF61" s="186">
        <v>0</v>
      </c>
      <c r="BG61" s="186">
        <v>0</v>
      </c>
      <c r="BH61" s="186">
        <v>0</v>
      </c>
      <c r="BI61" s="186">
        <v>0</v>
      </c>
      <c r="BJ61" s="186">
        <v>0</v>
      </c>
      <c r="BK61" s="186">
        <v>0</v>
      </c>
      <c r="BL61" s="186">
        <v>0</v>
      </c>
      <c r="BM61" s="186">
        <v>0</v>
      </c>
      <c r="BN61" s="186">
        <v>0</v>
      </c>
      <c r="BO61" s="186">
        <v>0</v>
      </c>
      <c r="BP61" s="186">
        <v>0</v>
      </c>
      <c r="BQ61" s="186">
        <v>0</v>
      </c>
      <c r="BR61" s="186">
        <v>0</v>
      </c>
      <c r="BS61" s="186">
        <v>0</v>
      </c>
      <c r="BT61" s="186">
        <v>0</v>
      </c>
      <c r="BU61" s="186">
        <v>0</v>
      </c>
      <c r="BV61" s="186">
        <v>0</v>
      </c>
      <c r="BW61" s="186">
        <v>0</v>
      </c>
      <c r="BX61" s="186">
        <v>0</v>
      </c>
      <c r="BY61" s="186">
        <v>0</v>
      </c>
      <c r="BZ61" s="186">
        <v>0</v>
      </c>
      <c r="CA61" s="186">
        <v>0</v>
      </c>
      <c r="CB61" s="186">
        <v>0</v>
      </c>
      <c r="CC61" s="186">
        <v>0</v>
      </c>
      <c r="CD61" s="186">
        <v>0</v>
      </c>
      <c r="CE61" s="186">
        <v>0</v>
      </c>
      <c r="CF61" s="186">
        <v>0</v>
      </c>
      <c r="CG61" s="186">
        <v>0</v>
      </c>
      <c r="CH61" s="186">
        <v>0</v>
      </c>
      <c r="CI61" s="186">
        <v>0</v>
      </c>
      <c r="CJ61" s="186">
        <v>0</v>
      </c>
      <c r="CK61" s="186">
        <v>0</v>
      </c>
      <c r="CL61" s="186">
        <v>0</v>
      </c>
      <c r="CM61" s="186">
        <v>0</v>
      </c>
      <c r="CN61" s="186">
        <v>0</v>
      </c>
      <c r="CO61" s="186">
        <v>0</v>
      </c>
      <c r="CP61" s="186">
        <v>0</v>
      </c>
      <c r="CQ61" s="186">
        <v>0</v>
      </c>
      <c r="CR61" s="186">
        <v>0</v>
      </c>
      <c r="CS61" s="186">
        <v>0</v>
      </c>
      <c r="CT61" s="186">
        <v>0</v>
      </c>
      <c r="CU61" s="186">
        <v>0</v>
      </c>
      <c r="CV61" s="186">
        <v>0</v>
      </c>
      <c r="CW61" s="186">
        <v>0</v>
      </c>
      <c r="CX61" s="186">
        <v>0</v>
      </c>
      <c r="CY61" s="186">
        <v>0</v>
      </c>
      <c r="CZ61" s="186">
        <v>0</v>
      </c>
      <c r="DA61" s="186">
        <v>0</v>
      </c>
      <c r="DB61" s="186">
        <v>0</v>
      </c>
      <c r="DC61" s="194">
        <v>0</v>
      </c>
    </row>
    <row r="62" spans="1:107">
      <c r="A62" s="174" t="s">
        <v>65</v>
      </c>
      <c r="B62" s="186">
        <v>-2433</v>
      </c>
      <c r="C62" s="186">
        <v>-1216.5</v>
      </c>
      <c r="D62" s="186">
        <v>0</v>
      </c>
      <c r="E62" s="186">
        <v>-1216.5</v>
      </c>
      <c r="F62" s="186">
        <v>0</v>
      </c>
      <c r="G62" s="186">
        <v>0</v>
      </c>
      <c r="H62" s="186">
        <v>0</v>
      </c>
      <c r="I62" s="186">
        <v>0</v>
      </c>
      <c r="J62" s="186">
        <v>0</v>
      </c>
      <c r="K62" s="186">
        <v>0</v>
      </c>
      <c r="L62" s="186">
        <v>0</v>
      </c>
      <c r="M62" s="186">
        <v>0</v>
      </c>
      <c r="N62" s="186">
        <v>0</v>
      </c>
      <c r="O62" s="186">
        <v>0</v>
      </c>
      <c r="P62" s="186">
        <v>0</v>
      </c>
      <c r="Q62" s="186">
        <v>0</v>
      </c>
      <c r="R62" s="186">
        <v>0</v>
      </c>
      <c r="S62" s="186">
        <v>0</v>
      </c>
      <c r="T62" s="186">
        <v>0</v>
      </c>
      <c r="U62" s="186">
        <v>0</v>
      </c>
      <c r="V62" s="186">
        <v>0</v>
      </c>
      <c r="W62" s="186">
        <v>0</v>
      </c>
      <c r="X62" s="186">
        <v>0</v>
      </c>
      <c r="Y62" s="186">
        <v>0</v>
      </c>
      <c r="Z62" s="186">
        <v>0</v>
      </c>
      <c r="AA62" s="186">
        <v>0</v>
      </c>
      <c r="AB62" s="186">
        <v>0</v>
      </c>
      <c r="AC62" s="186">
        <v>0</v>
      </c>
      <c r="AD62" s="186">
        <v>-1216.5</v>
      </c>
      <c r="AE62" s="186">
        <v>0</v>
      </c>
      <c r="AF62" s="186">
        <v>0</v>
      </c>
      <c r="AG62" s="186">
        <v>0</v>
      </c>
      <c r="AH62" s="186">
        <v>0</v>
      </c>
      <c r="AI62" s="186">
        <v>0</v>
      </c>
      <c r="AJ62" s="186">
        <v>0</v>
      </c>
      <c r="AK62" s="186">
        <v>0</v>
      </c>
      <c r="AL62" s="186">
        <v>0</v>
      </c>
      <c r="AM62" s="186">
        <v>0</v>
      </c>
      <c r="AN62" s="186">
        <v>0</v>
      </c>
      <c r="AO62" s="186">
        <v>0</v>
      </c>
      <c r="AP62" s="186">
        <v>0</v>
      </c>
      <c r="AQ62" s="186">
        <v>0</v>
      </c>
      <c r="AR62" s="186">
        <v>-1216.5</v>
      </c>
      <c r="AS62" s="186">
        <v>0</v>
      </c>
      <c r="AT62" s="186">
        <v>0</v>
      </c>
      <c r="AU62" s="186">
        <v>0</v>
      </c>
      <c r="AV62" s="186">
        <v>0</v>
      </c>
      <c r="AW62" s="186">
        <v>0</v>
      </c>
      <c r="AX62" s="186">
        <v>0</v>
      </c>
      <c r="AY62" s="186">
        <v>0</v>
      </c>
      <c r="AZ62" s="186">
        <v>0</v>
      </c>
      <c r="BA62" s="186">
        <v>0</v>
      </c>
      <c r="BB62" s="186">
        <v>0</v>
      </c>
      <c r="BC62" s="186">
        <v>0</v>
      </c>
      <c r="BD62" s="186">
        <v>0</v>
      </c>
      <c r="BE62" s="186">
        <v>0</v>
      </c>
      <c r="BF62" s="186">
        <v>0</v>
      </c>
      <c r="BG62" s="186">
        <v>0</v>
      </c>
      <c r="BH62" s="186">
        <v>0</v>
      </c>
      <c r="BI62" s="186">
        <v>0</v>
      </c>
      <c r="BJ62" s="186">
        <v>0</v>
      </c>
      <c r="BK62" s="186">
        <v>0</v>
      </c>
      <c r="BL62" s="186">
        <v>0</v>
      </c>
      <c r="BM62" s="186">
        <v>0</v>
      </c>
      <c r="BN62" s="186">
        <v>0</v>
      </c>
      <c r="BO62" s="186">
        <v>0</v>
      </c>
      <c r="BP62" s="186">
        <v>0</v>
      </c>
      <c r="BQ62" s="186">
        <v>0</v>
      </c>
      <c r="BR62" s="186">
        <v>0</v>
      </c>
      <c r="BS62" s="186">
        <v>0</v>
      </c>
      <c r="BT62" s="186">
        <v>0</v>
      </c>
      <c r="BU62" s="186">
        <v>0</v>
      </c>
      <c r="BV62" s="186">
        <v>0</v>
      </c>
      <c r="BW62" s="186">
        <v>0</v>
      </c>
      <c r="BX62" s="186">
        <v>0</v>
      </c>
      <c r="BY62" s="186">
        <v>0</v>
      </c>
      <c r="BZ62" s="186">
        <v>0</v>
      </c>
      <c r="CA62" s="186">
        <v>0</v>
      </c>
      <c r="CB62" s="186">
        <v>0</v>
      </c>
      <c r="CC62" s="186">
        <v>0</v>
      </c>
      <c r="CD62" s="186">
        <v>0</v>
      </c>
      <c r="CE62" s="186">
        <v>0</v>
      </c>
      <c r="CF62" s="186">
        <v>0</v>
      </c>
      <c r="CG62" s="186">
        <v>0</v>
      </c>
      <c r="CH62" s="186">
        <v>0</v>
      </c>
      <c r="CI62" s="186">
        <v>0</v>
      </c>
      <c r="CJ62" s="186">
        <v>0</v>
      </c>
      <c r="CK62" s="186">
        <v>0</v>
      </c>
      <c r="CL62" s="186">
        <v>0</v>
      </c>
      <c r="CM62" s="186">
        <v>0</v>
      </c>
      <c r="CN62" s="186">
        <v>0</v>
      </c>
      <c r="CO62" s="186">
        <v>0</v>
      </c>
      <c r="CP62" s="186">
        <v>0</v>
      </c>
      <c r="CQ62" s="186">
        <v>0</v>
      </c>
      <c r="CR62" s="186">
        <v>0</v>
      </c>
      <c r="CS62" s="186">
        <v>0</v>
      </c>
      <c r="CT62" s="186">
        <v>0</v>
      </c>
      <c r="CU62" s="186">
        <v>0</v>
      </c>
      <c r="CV62" s="186">
        <v>0</v>
      </c>
      <c r="CW62" s="186">
        <v>0</v>
      </c>
      <c r="CX62" s="186">
        <v>0</v>
      </c>
      <c r="CY62" s="186">
        <v>0</v>
      </c>
      <c r="CZ62" s="186">
        <v>0</v>
      </c>
      <c r="DA62" s="186">
        <v>0</v>
      </c>
      <c r="DB62" s="186">
        <v>0</v>
      </c>
      <c r="DC62" s="194">
        <v>0</v>
      </c>
    </row>
    <row r="63" spans="1:107">
      <c r="A63" s="174" t="s">
        <v>66</v>
      </c>
      <c r="B63" s="186">
        <v>127440</v>
      </c>
      <c r="C63" s="186">
        <v>87020</v>
      </c>
      <c r="D63" s="186">
        <v>0</v>
      </c>
      <c r="E63" s="186">
        <v>0</v>
      </c>
      <c r="F63" s="186">
        <v>19820</v>
      </c>
      <c r="G63" s="186">
        <v>420</v>
      </c>
      <c r="H63" s="186">
        <v>0</v>
      </c>
      <c r="I63" s="186">
        <v>840</v>
      </c>
      <c r="J63" s="186">
        <v>2520</v>
      </c>
      <c r="K63" s="186">
        <v>0</v>
      </c>
      <c r="L63" s="186">
        <v>0</v>
      </c>
      <c r="M63" s="186">
        <v>0</v>
      </c>
      <c r="N63" s="186">
        <v>0</v>
      </c>
      <c r="O63" s="186">
        <v>0</v>
      </c>
      <c r="P63" s="186">
        <v>0</v>
      </c>
      <c r="Q63" s="186">
        <v>0</v>
      </c>
      <c r="R63" s="186">
        <v>0</v>
      </c>
      <c r="S63" s="186">
        <v>420</v>
      </c>
      <c r="T63" s="186">
        <v>0</v>
      </c>
      <c r="U63" s="186">
        <v>14300</v>
      </c>
      <c r="V63" s="186">
        <v>420</v>
      </c>
      <c r="W63" s="186">
        <v>0</v>
      </c>
      <c r="X63" s="186">
        <v>0</v>
      </c>
      <c r="Y63" s="186">
        <v>0</v>
      </c>
      <c r="Z63" s="186">
        <v>0</v>
      </c>
      <c r="AA63" s="186">
        <v>0</v>
      </c>
      <c r="AB63" s="186">
        <v>0</v>
      </c>
      <c r="AC63" s="186">
        <v>0</v>
      </c>
      <c r="AD63" s="186">
        <v>0</v>
      </c>
      <c r="AE63" s="186">
        <v>0</v>
      </c>
      <c r="AF63" s="186">
        <v>0</v>
      </c>
      <c r="AG63" s="186">
        <v>0</v>
      </c>
      <c r="AH63" s="186">
        <v>0</v>
      </c>
      <c r="AI63" s="186">
        <v>0</v>
      </c>
      <c r="AJ63" s="186">
        <v>1260</v>
      </c>
      <c r="AK63" s="186">
        <v>14780</v>
      </c>
      <c r="AL63" s="186">
        <v>2940</v>
      </c>
      <c r="AM63" s="186">
        <v>2100</v>
      </c>
      <c r="AN63" s="186">
        <v>420</v>
      </c>
      <c r="AO63" s="186">
        <v>0</v>
      </c>
      <c r="AP63" s="186">
        <v>0</v>
      </c>
      <c r="AQ63" s="186">
        <v>420</v>
      </c>
      <c r="AR63" s="186">
        <v>0</v>
      </c>
      <c r="AS63" s="186">
        <v>0</v>
      </c>
      <c r="AT63" s="186">
        <v>2520</v>
      </c>
      <c r="AU63" s="186">
        <v>2520</v>
      </c>
      <c r="AV63" s="186">
        <v>4200</v>
      </c>
      <c r="AW63" s="186">
        <v>2520</v>
      </c>
      <c r="AX63" s="186">
        <v>2940</v>
      </c>
      <c r="AY63" s="186">
        <v>2100</v>
      </c>
      <c r="AZ63" s="186">
        <v>1260</v>
      </c>
      <c r="BA63" s="186">
        <v>1260</v>
      </c>
      <c r="BB63" s="186">
        <v>1260</v>
      </c>
      <c r="BC63" s="186">
        <v>1680</v>
      </c>
      <c r="BD63" s="186">
        <v>2520</v>
      </c>
      <c r="BE63" s="186">
        <v>3360</v>
      </c>
      <c r="BF63" s="186">
        <v>2520</v>
      </c>
      <c r="BG63" s="186">
        <v>2520</v>
      </c>
      <c r="BH63" s="186">
        <v>1680</v>
      </c>
      <c r="BI63" s="186">
        <v>1260</v>
      </c>
      <c r="BJ63" s="186">
        <v>1260</v>
      </c>
      <c r="BK63" s="186">
        <v>1680</v>
      </c>
      <c r="BL63" s="186">
        <v>1260</v>
      </c>
      <c r="BM63" s="186">
        <v>840</v>
      </c>
      <c r="BN63" s="186">
        <v>1680</v>
      </c>
      <c r="BO63" s="186">
        <v>2100</v>
      </c>
      <c r="BP63" s="186">
        <v>840</v>
      </c>
      <c r="BQ63" s="186">
        <v>840</v>
      </c>
      <c r="BR63" s="186">
        <v>840</v>
      </c>
      <c r="BS63" s="186">
        <v>840</v>
      </c>
      <c r="BT63" s="186">
        <v>840</v>
      </c>
      <c r="BU63" s="186">
        <v>840</v>
      </c>
      <c r="BV63" s="186">
        <v>840</v>
      </c>
      <c r="BW63" s="186">
        <v>13020</v>
      </c>
      <c r="BX63" s="186">
        <v>840</v>
      </c>
      <c r="BY63" s="186">
        <v>840</v>
      </c>
      <c r="BZ63" s="186">
        <v>420</v>
      </c>
      <c r="CA63" s="186">
        <v>840</v>
      </c>
      <c r="CB63" s="186">
        <v>840</v>
      </c>
      <c r="CC63" s="186">
        <v>2520</v>
      </c>
      <c r="CD63" s="186">
        <v>1260</v>
      </c>
      <c r="CE63" s="186">
        <v>840</v>
      </c>
      <c r="CF63" s="186">
        <v>420</v>
      </c>
      <c r="CG63" s="186">
        <v>840</v>
      </c>
      <c r="CH63" s="186">
        <v>420</v>
      </c>
      <c r="CI63" s="186">
        <v>420</v>
      </c>
      <c r="CJ63" s="186">
        <v>840</v>
      </c>
      <c r="CK63" s="186">
        <v>420</v>
      </c>
      <c r="CL63" s="186">
        <v>840</v>
      </c>
      <c r="CM63" s="186">
        <v>420</v>
      </c>
      <c r="CN63" s="186">
        <v>420</v>
      </c>
      <c r="CO63" s="186">
        <v>420</v>
      </c>
      <c r="CP63" s="186">
        <v>420</v>
      </c>
      <c r="CQ63" s="186">
        <v>420</v>
      </c>
      <c r="CR63" s="186">
        <v>420</v>
      </c>
      <c r="CS63" s="186">
        <v>840</v>
      </c>
      <c r="CT63" s="186">
        <v>420</v>
      </c>
      <c r="CU63" s="186">
        <v>420</v>
      </c>
      <c r="CV63" s="186">
        <v>840</v>
      </c>
      <c r="CW63" s="186">
        <v>420</v>
      </c>
      <c r="CX63" s="186">
        <v>920</v>
      </c>
      <c r="CY63" s="186">
        <v>840</v>
      </c>
      <c r="CZ63" s="186">
        <v>420</v>
      </c>
      <c r="DA63" s="186">
        <v>420</v>
      </c>
      <c r="DB63" s="186">
        <v>420</v>
      </c>
      <c r="DC63" s="194">
        <v>1680</v>
      </c>
    </row>
    <row r="64" spans="1:107">
      <c r="A64" s="174" t="s">
        <v>241</v>
      </c>
      <c r="B64" s="186">
        <v>220731.59</v>
      </c>
      <c r="C64" s="186">
        <v>137469.28</v>
      </c>
      <c r="D64" s="186">
        <v>11048.42</v>
      </c>
      <c r="E64" s="186">
        <v>34654.879999999997</v>
      </c>
      <c r="F64" s="186">
        <v>0</v>
      </c>
      <c r="G64" s="186">
        <v>0</v>
      </c>
      <c r="H64" s="186">
        <v>0</v>
      </c>
      <c r="I64" s="186">
        <v>0</v>
      </c>
      <c r="J64" s="186">
        <v>19139.71</v>
      </c>
      <c r="K64" s="186">
        <v>0</v>
      </c>
      <c r="L64" s="186">
        <v>0</v>
      </c>
      <c r="M64" s="186">
        <v>5603.24</v>
      </c>
      <c r="N64" s="186">
        <v>12816.06</v>
      </c>
      <c r="O64" s="186">
        <v>0</v>
      </c>
      <c r="P64" s="186">
        <v>0</v>
      </c>
      <c r="Q64" s="186">
        <v>0</v>
      </c>
      <c r="R64" s="186">
        <v>0</v>
      </c>
      <c r="S64" s="186">
        <v>0</v>
      </c>
      <c r="T64" s="186">
        <v>0</v>
      </c>
      <c r="U64" s="186">
        <v>0</v>
      </c>
      <c r="V64" s="186">
        <v>0</v>
      </c>
      <c r="W64" s="186">
        <v>0</v>
      </c>
      <c r="X64" s="186">
        <v>34654.879999999997</v>
      </c>
      <c r="Y64" s="186">
        <v>0</v>
      </c>
      <c r="Z64" s="186">
        <v>0</v>
      </c>
      <c r="AA64" s="186">
        <v>0</v>
      </c>
      <c r="AB64" s="186">
        <v>0</v>
      </c>
      <c r="AC64" s="186">
        <v>0</v>
      </c>
      <c r="AD64" s="186">
        <v>0</v>
      </c>
      <c r="AE64" s="186">
        <v>0</v>
      </c>
      <c r="AF64" s="186">
        <v>11048.42</v>
      </c>
      <c r="AG64" s="186">
        <v>0</v>
      </c>
      <c r="AH64" s="186">
        <v>0</v>
      </c>
      <c r="AI64" s="186">
        <v>0</v>
      </c>
      <c r="AJ64" s="186">
        <v>0</v>
      </c>
      <c r="AK64" s="186">
        <v>0</v>
      </c>
      <c r="AL64" s="186">
        <v>0</v>
      </c>
      <c r="AM64" s="186">
        <v>0</v>
      </c>
      <c r="AN64" s="186">
        <v>0</v>
      </c>
      <c r="AO64" s="186">
        <v>0</v>
      </c>
      <c r="AP64" s="186">
        <v>0</v>
      </c>
      <c r="AQ64" s="186">
        <v>0</v>
      </c>
      <c r="AR64" s="186">
        <v>0</v>
      </c>
      <c r="AS64" s="186">
        <v>0</v>
      </c>
      <c r="AT64" s="186">
        <v>0</v>
      </c>
      <c r="AU64" s="186">
        <v>0</v>
      </c>
      <c r="AV64" s="186">
        <v>0</v>
      </c>
      <c r="AW64" s="186">
        <v>0</v>
      </c>
      <c r="AX64" s="186">
        <v>0</v>
      </c>
      <c r="AY64" s="186">
        <v>0</v>
      </c>
      <c r="AZ64" s="186">
        <v>0</v>
      </c>
      <c r="BA64" s="186">
        <v>0</v>
      </c>
      <c r="BB64" s="186">
        <v>0</v>
      </c>
      <c r="BC64" s="186">
        <v>0</v>
      </c>
      <c r="BD64" s="186">
        <v>0</v>
      </c>
      <c r="BE64" s="186">
        <v>0</v>
      </c>
      <c r="BF64" s="186">
        <v>0</v>
      </c>
      <c r="BG64" s="186">
        <v>0</v>
      </c>
      <c r="BH64" s="186">
        <v>0</v>
      </c>
      <c r="BI64" s="186">
        <v>0</v>
      </c>
      <c r="BJ64" s="186">
        <v>0</v>
      </c>
      <c r="BK64" s="186">
        <v>0</v>
      </c>
      <c r="BL64" s="186">
        <v>0</v>
      </c>
      <c r="BM64" s="186">
        <v>0</v>
      </c>
      <c r="BN64" s="186">
        <v>0</v>
      </c>
      <c r="BO64" s="186">
        <v>0</v>
      </c>
      <c r="BP64" s="186">
        <v>0</v>
      </c>
      <c r="BQ64" s="186">
        <v>0</v>
      </c>
      <c r="BR64" s="186">
        <v>0</v>
      </c>
      <c r="BS64" s="186">
        <v>0</v>
      </c>
      <c r="BT64" s="186">
        <v>0</v>
      </c>
      <c r="BU64" s="186">
        <v>0</v>
      </c>
      <c r="BV64" s="186">
        <v>0</v>
      </c>
      <c r="BW64" s="186">
        <v>137469.28</v>
      </c>
      <c r="BX64" s="186">
        <v>0</v>
      </c>
      <c r="BY64" s="186">
        <v>0</v>
      </c>
      <c r="BZ64" s="186">
        <v>0</v>
      </c>
      <c r="CA64" s="186">
        <v>0</v>
      </c>
      <c r="CB64" s="186">
        <v>0</v>
      </c>
      <c r="CC64" s="186">
        <v>0</v>
      </c>
      <c r="CD64" s="186">
        <v>0</v>
      </c>
      <c r="CE64" s="186">
        <v>0</v>
      </c>
      <c r="CF64" s="186">
        <v>0</v>
      </c>
      <c r="CG64" s="186">
        <v>0</v>
      </c>
      <c r="CH64" s="186">
        <v>0</v>
      </c>
      <c r="CI64" s="186">
        <v>0</v>
      </c>
      <c r="CJ64" s="186">
        <v>0</v>
      </c>
      <c r="CK64" s="186">
        <v>0</v>
      </c>
      <c r="CL64" s="186">
        <v>0</v>
      </c>
      <c r="CM64" s="186">
        <v>0</v>
      </c>
      <c r="CN64" s="186">
        <v>0</v>
      </c>
      <c r="CO64" s="186">
        <v>0</v>
      </c>
      <c r="CP64" s="186">
        <v>0</v>
      </c>
      <c r="CQ64" s="186">
        <v>0</v>
      </c>
      <c r="CR64" s="186">
        <v>0</v>
      </c>
      <c r="CS64" s="186">
        <v>0</v>
      </c>
      <c r="CT64" s="186">
        <v>0</v>
      </c>
      <c r="CU64" s="186">
        <v>0</v>
      </c>
      <c r="CV64" s="186">
        <v>0</v>
      </c>
      <c r="CW64" s="186">
        <v>0</v>
      </c>
      <c r="CX64" s="186">
        <v>0</v>
      </c>
      <c r="CY64" s="186">
        <v>0</v>
      </c>
      <c r="CZ64" s="186">
        <v>0</v>
      </c>
      <c r="DA64" s="186">
        <v>0</v>
      </c>
      <c r="DB64" s="186">
        <v>0</v>
      </c>
      <c r="DC64" s="194">
        <v>0</v>
      </c>
    </row>
    <row r="65" spans="1:120">
      <c r="A65" s="174" t="s">
        <v>68</v>
      </c>
      <c r="B65" s="186">
        <v>6830074.4800000004</v>
      </c>
      <c r="C65" s="186">
        <v>0</v>
      </c>
      <c r="D65" s="186">
        <v>0</v>
      </c>
      <c r="E65" s="186">
        <v>0</v>
      </c>
      <c r="F65" s="186">
        <v>0</v>
      </c>
      <c r="G65" s="186">
        <v>0</v>
      </c>
      <c r="H65" s="186">
        <v>6830074.4800000004</v>
      </c>
      <c r="I65" s="186">
        <v>0</v>
      </c>
      <c r="J65" s="186">
        <v>0</v>
      </c>
      <c r="K65" s="186">
        <v>0</v>
      </c>
      <c r="L65" s="186">
        <v>0</v>
      </c>
      <c r="M65" s="186">
        <v>0</v>
      </c>
      <c r="N65" s="186">
        <v>0</v>
      </c>
      <c r="O65" s="186">
        <v>0</v>
      </c>
      <c r="P65" s="186">
        <v>0</v>
      </c>
      <c r="Q65" s="186">
        <v>0</v>
      </c>
      <c r="R65" s="186">
        <v>0</v>
      </c>
      <c r="S65" s="186">
        <v>0</v>
      </c>
      <c r="T65" s="186">
        <v>0</v>
      </c>
      <c r="U65" s="186">
        <v>0</v>
      </c>
      <c r="V65" s="186">
        <v>0</v>
      </c>
      <c r="W65" s="186">
        <v>0</v>
      </c>
      <c r="X65" s="186">
        <v>0</v>
      </c>
      <c r="Y65" s="186">
        <v>0</v>
      </c>
      <c r="Z65" s="186">
        <v>0</v>
      </c>
      <c r="AA65" s="186">
        <v>0</v>
      </c>
      <c r="AB65" s="186">
        <v>0</v>
      </c>
      <c r="AC65" s="186">
        <v>0</v>
      </c>
      <c r="AD65" s="186">
        <v>0</v>
      </c>
      <c r="AE65" s="186">
        <v>0</v>
      </c>
      <c r="AF65" s="186">
        <v>0</v>
      </c>
      <c r="AG65" s="186">
        <v>0</v>
      </c>
      <c r="AH65" s="186">
        <v>0</v>
      </c>
      <c r="AI65" s="186">
        <v>0</v>
      </c>
      <c r="AJ65" s="186">
        <v>0</v>
      </c>
      <c r="AK65" s="186">
        <v>0</v>
      </c>
      <c r="AL65" s="186">
        <v>0</v>
      </c>
      <c r="AM65" s="186">
        <v>0</v>
      </c>
      <c r="AN65" s="186">
        <v>0</v>
      </c>
      <c r="AO65" s="186">
        <v>0</v>
      </c>
      <c r="AP65" s="186">
        <v>0</v>
      </c>
      <c r="AQ65" s="186">
        <v>0</v>
      </c>
      <c r="AR65" s="186">
        <v>0</v>
      </c>
      <c r="AS65" s="186">
        <v>0</v>
      </c>
      <c r="AT65" s="186">
        <v>0</v>
      </c>
      <c r="AU65" s="186">
        <v>0</v>
      </c>
      <c r="AV65" s="186">
        <v>0</v>
      </c>
      <c r="AW65" s="186">
        <v>0</v>
      </c>
      <c r="AX65" s="186">
        <v>0</v>
      </c>
      <c r="AY65" s="186">
        <v>0</v>
      </c>
      <c r="AZ65" s="186">
        <v>0</v>
      </c>
      <c r="BA65" s="186">
        <v>0</v>
      </c>
      <c r="BB65" s="186">
        <v>0</v>
      </c>
      <c r="BC65" s="186">
        <v>0</v>
      </c>
      <c r="BD65" s="186">
        <v>0</v>
      </c>
      <c r="BE65" s="186">
        <v>0</v>
      </c>
      <c r="BF65" s="186">
        <v>0</v>
      </c>
      <c r="BG65" s="186">
        <v>0</v>
      </c>
      <c r="BH65" s="186">
        <v>0</v>
      </c>
      <c r="BI65" s="186">
        <v>0</v>
      </c>
      <c r="BJ65" s="186">
        <v>0</v>
      </c>
      <c r="BK65" s="186">
        <v>0</v>
      </c>
      <c r="BL65" s="186">
        <v>0</v>
      </c>
      <c r="BM65" s="186">
        <v>0</v>
      </c>
      <c r="BN65" s="186">
        <v>0</v>
      </c>
      <c r="BO65" s="186">
        <v>0</v>
      </c>
      <c r="BP65" s="186">
        <v>0</v>
      </c>
      <c r="BQ65" s="186">
        <v>0</v>
      </c>
      <c r="BR65" s="186">
        <v>0</v>
      </c>
      <c r="BS65" s="186">
        <v>0</v>
      </c>
      <c r="BT65" s="186">
        <v>0</v>
      </c>
      <c r="BU65" s="186">
        <v>0</v>
      </c>
      <c r="BV65" s="186">
        <v>0</v>
      </c>
      <c r="BW65" s="186">
        <v>0</v>
      </c>
      <c r="BX65" s="186">
        <v>0</v>
      </c>
      <c r="BY65" s="186">
        <v>0</v>
      </c>
      <c r="BZ65" s="186">
        <v>0</v>
      </c>
      <c r="CA65" s="186">
        <v>0</v>
      </c>
      <c r="CB65" s="186">
        <v>0</v>
      </c>
      <c r="CC65" s="186">
        <v>0</v>
      </c>
      <c r="CD65" s="186">
        <v>0</v>
      </c>
      <c r="CE65" s="186">
        <v>0</v>
      </c>
      <c r="CF65" s="186">
        <v>0</v>
      </c>
      <c r="CG65" s="186">
        <v>0</v>
      </c>
      <c r="CH65" s="186">
        <v>0</v>
      </c>
      <c r="CI65" s="186">
        <v>0</v>
      </c>
      <c r="CJ65" s="186">
        <v>0</v>
      </c>
      <c r="CK65" s="186">
        <v>0</v>
      </c>
      <c r="CL65" s="186">
        <v>0</v>
      </c>
      <c r="CM65" s="186">
        <v>0</v>
      </c>
      <c r="CN65" s="186">
        <v>0</v>
      </c>
      <c r="CO65" s="186">
        <v>0</v>
      </c>
      <c r="CP65" s="186">
        <v>0</v>
      </c>
      <c r="CQ65" s="186">
        <v>0</v>
      </c>
      <c r="CR65" s="186">
        <v>0</v>
      </c>
      <c r="CS65" s="186">
        <v>0</v>
      </c>
      <c r="CT65" s="186">
        <v>0</v>
      </c>
      <c r="CU65" s="186">
        <v>0</v>
      </c>
      <c r="CV65" s="186">
        <v>0</v>
      </c>
      <c r="CW65" s="186">
        <v>0</v>
      </c>
      <c r="CX65" s="186">
        <v>0</v>
      </c>
      <c r="CY65" s="186">
        <v>0</v>
      </c>
      <c r="CZ65" s="186">
        <v>0</v>
      </c>
      <c r="DA65" s="186">
        <v>0</v>
      </c>
      <c r="DB65" s="186">
        <v>0</v>
      </c>
      <c r="DC65" s="194">
        <v>0</v>
      </c>
    </row>
    <row r="66" spans="1:120" s="191" customFormat="1">
      <c r="A66" s="175" t="s">
        <v>247</v>
      </c>
      <c r="B66" s="189">
        <v>25127158.530000001</v>
      </c>
      <c r="C66" s="189">
        <v>8622121.8199999984</v>
      </c>
      <c r="D66" s="189">
        <v>2443806.9099999997</v>
      </c>
      <c r="E66" s="189">
        <v>1469474.4499999997</v>
      </c>
      <c r="F66" s="189">
        <v>896853.44</v>
      </c>
      <c r="G66" s="189">
        <v>861189.6</v>
      </c>
      <c r="H66" s="189">
        <v>6966675.9700000007</v>
      </c>
      <c r="I66" s="189">
        <v>143186.91</v>
      </c>
      <c r="J66" s="189">
        <v>335099.37000000005</v>
      </c>
      <c r="K66" s="189">
        <v>372660.06999999995</v>
      </c>
      <c r="L66" s="189">
        <v>123960.44000000002</v>
      </c>
      <c r="M66" s="189">
        <v>236754.16999999998</v>
      </c>
      <c r="N66" s="189">
        <v>12816.06</v>
      </c>
      <c r="O66" s="189">
        <v>23350.37</v>
      </c>
      <c r="P66" s="189">
        <v>196205.16</v>
      </c>
      <c r="Q66" s="189">
        <v>175972.14999999997</v>
      </c>
      <c r="R66" s="189">
        <v>198987.78</v>
      </c>
      <c r="S66" s="189">
        <v>432811.35</v>
      </c>
      <c r="T66" s="189">
        <v>373479.51</v>
      </c>
      <c r="U66" s="189">
        <v>654991.94000000006</v>
      </c>
      <c r="V66" s="189">
        <v>44404.22</v>
      </c>
      <c r="W66" s="189">
        <v>0</v>
      </c>
      <c r="X66" s="189">
        <v>121816.87</v>
      </c>
      <c r="Y66" s="189">
        <v>38075.919999999998</v>
      </c>
      <c r="Z66" s="189">
        <v>428608.39</v>
      </c>
      <c r="AA66" s="189">
        <v>0</v>
      </c>
      <c r="AB66" s="189">
        <v>260149.52000000002</v>
      </c>
      <c r="AC66" s="189">
        <v>312202.07</v>
      </c>
      <c r="AD66" s="189">
        <v>187899.51</v>
      </c>
      <c r="AE66" s="189">
        <v>120722.17</v>
      </c>
      <c r="AF66" s="189">
        <v>230741.38</v>
      </c>
      <c r="AG66" s="189">
        <v>689376.29</v>
      </c>
      <c r="AH66" s="189">
        <v>848117.52999999991</v>
      </c>
      <c r="AI66" s="189">
        <v>675571.71</v>
      </c>
      <c r="AJ66" s="189">
        <v>532859.88</v>
      </c>
      <c r="AK66" s="189">
        <v>616932.83000000007</v>
      </c>
      <c r="AL66" s="189">
        <v>203263.56</v>
      </c>
      <c r="AM66" s="189">
        <v>76657.05</v>
      </c>
      <c r="AN66" s="189">
        <v>9496.9599999999991</v>
      </c>
      <c r="AO66" s="189">
        <v>213172.71</v>
      </c>
      <c r="AP66" s="189">
        <v>302678.44999999995</v>
      </c>
      <c r="AQ66" s="189">
        <v>179375.63</v>
      </c>
      <c r="AR66" s="189">
        <v>204055.28</v>
      </c>
      <c r="AS66" s="189">
        <v>239308.67</v>
      </c>
      <c r="AT66" s="189">
        <v>401884.5</v>
      </c>
      <c r="AU66" s="189">
        <v>400978.77</v>
      </c>
      <c r="AV66" s="189">
        <v>426526.29999999993</v>
      </c>
      <c r="AW66" s="189">
        <v>332442.53000000003</v>
      </c>
      <c r="AX66" s="189">
        <v>358103.31</v>
      </c>
      <c r="AY66" s="189">
        <v>323684.93</v>
      </c>
      <c r="AZ66" s="189">
        <v>131012.29999999999</v>
      </c>
      <c r="BA66" s="189">
        <v>343347.85000000003</v>
      </c>
      <c r="BB66" s="189">
        <v>151898.69999999998</v>
      </c>
      <c r="BC66" s="189">
        <v>131182.29999999999</v>
      </c>
      <c r="BD66" s="189">
        <v>409141.37</v>
      </c>
      <c r="BE66" s="189">
        <v>253481.14</v>
      </c>
      <c r="BF66" s="189">
        <v>316825.21999999997</v>
      </c>
      <c r="BG66" s="189">
        <v>218761.08000000002</v>
      </c>
      <c r="BH66" s="189">
        <v>166715.56</v>
      </c>
      <c r="BI66" s="189">
        <v>153122.44</v>
      </c>
      <c r="BJ66" s="189">
        <v>185544.75999999998</v>
      </c>
      <c r="BK66" s="189">
        <v>161805.69</v>
      </c>
      <c r="BL66" s="189">
        <v>121085.72</v>
      </c>
      <c r="BM66" s="189">
        <v>109231.38</v>
      </c>
      <c r="BN66" s="189">
        <v>155366.1</v>
      </c>
      <c r="BO66" s="189">
        <v>194435.5</v>
      </c>
      <c r="BP66" s="189">
        <v>59978.57</v>
      </c>
      <c r="BQ66" s="189">
        <v>64487.11</v>
      </c>
      <c r="BR66" s="189">
        <v>47652.73</v>
      </c>
      <c r="BS66" s="189">
        <v>74566.490000000005</v>
      </c>
      <c r="BT66" s="189">
        <v>71638.789999999994</v>
      </c>
      <c r="BU66" s="189">
        <v>142020.71000000002</v>
      </c>
      <c r="BV66" s="189">
        <v>59608.19</v>
      </c>
      <c r="BW66" s="189">
        <v>623958.68999999994</v>
      </c>
      <c r="BX66" s="189">
        <v>18990.810000000001</v>
      </c>
      <c r="BY66" s="189">
        <v>50758.22</v>
      </c>
      <c r="BZ66" s="189">
        <v>36274.230000000003</v>
      </c>
      <c r="CA66" s="189">
        <v>32533.119999999999</v>
      </c>
      <c r="CB66" s="189">
        <v>53131.11</v>
      </c>
      <c r="CC66" s="189">
        <v>138006.38</v>
      </c>
      <c r="CD66" s="189">
        <v>67248.350000000006</v>
      </c>
      <c r="CE66" s="189">
        <v>30409.11</v>
      </c>
      <c r="CF66" s="189">
        <v>9827.6299999999992</v>
      </c>
      <c r="CG66" s="189">
        <v>19449.91</v>
      </c>
      <c r="CH66" s="189">
        <v>16216.64</v>
      </c>
      <c r="CI66" s="189">
        <v>8550.85</v>
      </c>
      <c r="CJ66" s="189">
        <v>35128.44</v>
      </c>
      <c r="CK66" s="189">
        <v>23184.980000000003</v>
      </c>
      <c r="CL66" s="189">
        <v>19170.339999999997</v>
      </c>
      <c r="CM66" s="189">
        <v>27666.550000000003</v>
      </c>
      <c r="CN66" s="189">
        <v>10270.34</v>
      </c>
      <c r="CO66" s="189">
        <v>8594.48</v>
      </c>
      <c r="CP66" s="189">
        <v>13361.63</v>
      </c>
      <c r="CQ66" s="189">
        <v>18297.350000000002</v>
      </c>
      <c r="CR66" s="189">
        <v>11022.1</v>
      </c>
      <c r="CS66" s="189">
        <v>20766.98</v>
      </c>
      <c r="CT66" s="189">
        <v>10996.39</v>
      </c>
      <c r="CU66" s="189">
        <v>17289.62</v>
      </c>
      <c r="CV66" s="189">
        <v>16267.75</v>
      </c>
      <c r="CW66" s="189">
        <v>8588.4</v>
      </c>
      <c r="CX66" s="189">
        <v>24565.289999999997</v>
      </c>
      <c r="CY66" s="189">
        <v>21629.53</v>
      </c>
      <c r="CZ66" s="189">
        <v>10191.49</v>
      </c>
      <c r="DA66" s="189">
        <v>20379.730000000003</v>
      </c>
      <c r="DB66" s="189">
        <v>16616.88</v>
      </c>
      <c r="DC66" s="189">
        <v>77657.72</v>
      </c>
      <c r="DD66" s="189">
        <f t="shared" ref="DD66:DP66" si="0">SUM(DD56:DD65)</f>
        <v>0</v>
      </c>
      <c r="DE66" s="189">
        <f t="shared" si="0"/>
        <v>0</v>
      </c>
      <c r="DF66" s="189">
        <f t="shared" si="0"/>
        <v>0</v>
      </c>
      <c r="DG66" s="189">
        <f t="shared" si="0"/>
        <v>0</v>
      </c>
      <c r="DH66" s="189">
        <f t="shared" si="0"/>
        <v>0</v>
      </c>
      <c r="DI66" s="189">
        <f t="shared" si="0"/>
        <v>0</v>
      </c>
      <c r="DJ66" s="189">
        <f t="shared" si="0"/>
        <v>0</v>
      </c>
      <c r="DK66" s="189">
        <f t="shared" si="0"/>
        <v>0</v>
      </c>
      <c r="DL66" s="189">
        <f t="shared" si="0"/>
        <v>0</v>
      </c>
      <c r="DM66" s="189">
        <f t="shared" si="0"/>
        <v>0</v>
      </c>
      <c r="DN66" s="189">
        <f t="shared" si="0"/>
        <v>0</v>
      </c>
      <c r="DO66" s="189">
        <f t="shared" si="0"/>
        <v>0</v>
      </c>
      <c r="DP66" s="189">
        <f t="shared" si="0"/>
        <v>0</v>
      </c>
    </row>
    <row r="67" spans="1:120">
      <c r="A67" s="174" t="s">
        <v>71</v>
      </c>
      <c r="B67" s="186">
        <v>7936531.6600000011</v>
      </c>
      <c r="C67" s="186">
        <v>3639333.0000000009</v>
      </c>
      <c r="D67" s="186">
        <v>4167787</v>
      </c>
      <c r="E67" s="186">
        <v>59783.659999999996</v>
      </c>
      <c r="F67" s="186">
        <v>69628</v>
      </c>
      <c r="G67" s="186">
        <v>0</v>
      </c>
      <c r="H67" s="186">
        <v>0</v>
      </c>
      <c r="I67" s="186">
        <v>0</v>
      </c>
      <c r="J67" s="186">
        <v>0</v>
      </c>
      <c r="K67" s="186">
        <v>0</v>
      </c>
      <c r="L67" s="186">
        <v>0</v>
      </c>
      <c r="M67" s="186">
        <v>0</v>
      </c>
      <c r="N67" s="186">
        <v>0</v>
      </c>
      <c r="O67" s="186">
        <v>0</v>
      </c>
      <c r="P67" s="186">
        <v>0</v>
      </c>
      <c r="Q67" s="186">
        <v>0</v>
      </c>
      <c r="R67" s="186">
        <v>0</v>
      </c>
      <c r="S67" s="186">
        <v>0</v>
      </c>
      <c r="T67" s="186">
        <v>0</v>
      </c>
      <c r="U67" s="186">
        <v>0</v>
      </c>
      <c r="V67" s="186">
        <v>0</v>
      </c>
      <c r="W67" s="186">
        <v>0</v>
      </c>
      <c r="X67" s="186">
        <v>0</v>
      </c>
      <c r="Y67" s="186">
        <v>0</v>
      </c>
      <c r="Z67" s="186">
        <v>0</v>
      </c>
      <c r="AA67" s="186">
        <v>0</v>
      </c>
      <c r="AB67" s="186">
        <v>0</v>
      </c>
      <c r="AC67" s="186">
        <v>-62353.32</v>
      </c>
      <c r="AD67" s="186">
        <v>122136.98</v>
      </c>
      <c r="AE67" s="186">
        <v>0</v>
      </c>
      <c r="AF67" s="186">
        <v>0</v>
      </c>
      <c r="AG67" s="186">
        <v>3576100</v>
      </c>
      <c r="AH67" s="186">
        <v>0</v>
      </c>
      <c r="AI67" s="186">
        <v>591687</v>
      </c>
      <c r="AJ67" s="186">
        <v>0</v>
      </c>
      <c r="AK67" s="186">
        <v>69628</v>
      </c>
      <c r="AL67" s="186">
        <v>0</v>
      </c>
      <c r="AM67" s="186">
        <v>0</v>
      </c>
      <c r="AN67" s="186">
        <v>0</v>
      </c>
      <c r="AO67" s="186">
        <v>20774.96</v>
      </c>
      <c r="AP67" s="186">
        <v>0</v>
      </c>
      <c r="AQ67" s="186">
        <v>0</v>
      </c>
      <c r="AR67" s="186">
        <v>0</v>
      </c>
      <c r="AS67" s="186">
        <v>0</v>
      </c>
      <c r="AT67" s="186">
        <v>138247.78</v>
      </c>
      <c r="AU67" s="186">
        <v>280742.83</v>
      </c>
      <c r="AV67" s="186">
        <v>360885.79</v>
      </c>
      <c r="AW67" s="186">
        <v>145947.81999999998</v>
      </c>
      <c r="AX67" s="186">
        <v>243383.33</v>
      </c>
      <c r="AY67" s="186">
        <v>162568.4</v>
      </c>
      <c r="AZ67" s="186">
        <v>94830.41</v>
      </c>
      <c r="BA67" s="186">
        <v>296107.77</v>
      </c>
      <c r="BB67" s="186">
        <v>35116.449999999997</v>
      </c>
      <c r="BC67" s="186">
        <v>19554.580000000002</v>
      </c>
      <c r="BD67" s="186">
        <v>190636.50999999998</v>
      </c>
      <c r="BE67" s="186">
        <v>170828.01</v>
      </c>
      <c r="BF67" s="186">
        <v>103393.02</v>
      </c>
      <c r="BG67" s="186">
        <v>61104.33</v>
      </c>
      <c r="BH67" s="186">
        <v>56557.13</v>
      </c>
      <c r="BI67" s="186">
        <v>67434.05</v>
      </c>
      <c r="BJ67" s="186">
        <v>135549.83000000002</v>
      </c>
      <c r="BK67" s="186">
        <v>71754.259999999995</v>
      </c>
      <c r="BL67" s="186">
        <v>40188.160000000003</v>
      </c>
      <c r="BM67" s="186">
        <v>72381.72</v>
      </c>
      <c r="BN67" s="186">
        <v>103123.05</v>
      </c>
      <c r="BO67" s="186">
        <v>79176.240000000005</v>
      </c>
      <c r="BP67" s="186">
        <v>15742.12</v>
      </c>
      <c r="BQ67" s="186">
        <v>21924.45</v>
      </c>
      <c r="BR67" s="186">
        <v>3970.41</v>
      </c>
      <c r="BS67" s="186">
        <v>47205.409999999996</v>
      </c>
      <c r="BT67" s="186">
        <v>47451.34</v>
      </c>
      <c r="BU67" s="186">
        <v>62953.01</v>
      </c>
      <c r="BV67" s="186">
        <v>66346.17</v>
      </c>
      <c r="BW67" s="186">
        <v>220851.09</v>
      </c>
      <c r="BX67" s="186">
        <v>6997.66</v>
      </c>
      <c r="BY67" s="186">
        <v>58684.22</v>
      </c>
      <c r="BZ67" s="186">
        <v>24361.05</v>
      </c>
      <c r="CA67" s="186">
        <v>21823.55</v>
      </c>
      <c r="CB67" s="186">
        <v>3755.19</v>
      </c>
      <c r="CC67" s="186">
        <v>9972.68</v>
      </c>
      <c r="CD67" s="186">
        <v>16355.1</v>
      </c>
      <c r="CE67" s="186">
        <v>416.45</v>
      </c>
      <c r="CF67" s="186">
        <v>1116.6600000000001</v>
      </c>
      <c r="CG67" s="186">
        <v>11887.57</v>
      </c>
      <c r="CH67" s="186">
        <v>1727.04</v>
      </c>
      <c r="CI67" s="186">
        <v>344.57</v>
      </c>
      <c r="CJ67" s="186">
        <v>0</v>
      </c>
      <c r="CK67" s="186">
        <v>3791.82</v>
      </c>
      <c r="CL67" s="186">
        <v>3383.91</v>
      </c>
      <c r="CM67" s="186">
        <v>8630.66</v>
      </c>
      <c r="CN67" s="186">
        <v>3850.24</v>
      </c>
      <c r="CO67" s="186">
        <v>303.81</v>
      </c>
      <c r="CP67" s="186">
        <v>5405.64</v>
      </c>
      <c r="CQ67" s="186">
        <v>4443.46</v>
      </c>
      <c r="CR67" s="186">
        <v>1734.16</v>
      </c>
      <c r="CS67" s="186">
        <v>2297.1</v>
      </c>
      <c r="CT67" s="186">
        <v>3565.48</v>
      </c>
      <c r="CU67" s="186">
        <v>848.2</v>
      </c>
      <c r="CV67" s="186">
        <v>3773.75</v>
      </c>
      <c r="CW67" s="186">
        <v>0</v>
      </c>
      <c r="CX67" s="186">
        <v>0</v>
      </c>
      <c r="CY67" s="186">
        <v>1638.72</v>
      </c>
      <c r="CZ67" s="186">
        <v>193.31</v>
      </c>
      <c r="DA67" s="186">
        <v>0</v>
      </c>
      <c r="DB67" s="186">
        <v>1300.57</v>
      </c>
      <c r="DC67" s="194">
        <v>0</v>
      </c>
    </row>
    <row r="68" spans="1:120">
      <c r="A68" s="174" t="s">
        <v>242</v>
      </c>
      <c r="B68" s="186">
        <v>6820073.1299999999</v>
      </c>
      <c r="C68" s="186">
        <v>5884287.3700000001</v>
      </c>
      <c r="D68" s="186">
        <v>935785.76</v>
      </c>
      <c r="E68" s="186">
        <v>0</v>
      </c>
      <c r="F68" s="186">
        <v>0</v>
      </c>
      <c r="G68" s="186">
        <v>0</v>
      </c>
      <c r="H68" s="186">
        <v>0</v>
      </c>
      <c r="I68" s="186">
        <v>0</v>
      </c>
      <c r="J68" s="186">
        <v>0</v>
      </c>
      <c r="K68" s="186">
        <v>0</v>
      </c>
      <c r="L68" s="186">
        <v>0</v>
      </c>
      <c r="M68" s="186">
        <v>0</v>
      </c>
      <c r="N68" s="186">
        <v>0</v>
      </c>
      <c r="O68" s="186">
        <v>0</v>
      </c>
      <c r="P68" s="186">
        <v>0</v>
      </c>
      <c r="Q68" s="186">
        <v>0</v>
      </c>
      <c r="R68" s="186">
        <v>0</v>
      </c>
      <c r="S68" s="186">
        <v>0</v>
      </c>
      <c r="T68" s="186">
        <v>0</v>
      </c>
      <c r="U68" s="186">
        <v>0</v>
      </c>
      <c r="V68" s="186">
        <v>0</v>
      </c>
      <c r="W68" s="186">
        <v>0</v>
      </c>
      <c r="X68" s="186">
        <v>0</v>
      </c>
      <c r="Y68" s="186">
        <v>0</v>
      </c>
      <c r="Z68" s="186">
        <v>0</v>
      </c>
      <c r="AA68" s="186">
        <v>0</v>
      </c>
      <c r="AB68" s="186">
        <v>0</v>
      </c>
      <c r="AC68" s="186">
        <v>0</v>
      </c>
      <c r="AD68" s="186">
        <v>0</v>
      </c>
      <c r="AE68" s="186">
        <v>0</v>
      </c>
      <c r="AF68" s="186">
        <v>0</v>
      </c>
      <c r="AG68" s="186">
        <v>31200</v>
      </c>
      <c r="AH68" s="186">
        <v>0</v>
      </c>
      <c r="AI68" s="186">
        <v>904585.76</v>
      </c>
      <c r="AJ68" s="186">
        <v>0</v>
      </c>
      <c r="AK68" s="186">
        <v>0</v>
      </c>
      <c r="AL68" s="186">
        <v>0</v>
      </c>
      <c r="AM68" s="186">
        <v>0</v>
      </c>
      <c r="AN68" s="186">
        <v>0</v>
      </c>
      <c r="AO68" s="186">
        <v>5759929.04</v>
      </c>
      <c r="AP68" s="186">
        <v>0</v>
      </c>
      <c r="AQ68" s="186">
        <v>0</v>
      </c>
      <c r="AR68" s="186">
        <v>0</v>
      </c>
      <c r="AS68" s="186">
        <v>0</v>
      </c>
      <c r="AT68" s="186">
        <v>0</v>
      </c>
      <c r="AU68" s="186">
        <v>0</v>
      </c>
      <c r="AV68" s="186">
        <v>0</v>
      </c>
      <c r="AW68" s="186">
        <v>0</v>
      </c>
      <c r="AX68" s="186">
        <v>0</v>
      </c>
      <c r="AY68" s="186">
        <v>0</v>
      </c>
      <c r="AZ68" s="186">
        <v>0</v>
      </c>
      <c r="BA68" s="186">
        <v>0</v>
      </c>
      <c r="BB68" s="186">
        <v>0</v>
      </c>
      <c r="BC68" s="186">
        <v>0</v>
      </c>
      <c r="BD68" s="186">
        <v>0</v>
      </c>
      <c r="BE68" s="186">
        <v>0</v>
      </c>
      <c r="BF68" s="186">
        <v>0</v>
      </c>
      <c r="BG68" s="186">
        <v>5063.46</v>
      </c>
      <c r="BH68" s="186">
        <v>0</v>
      </c>
      <c r="BI68" s="186">
        <v>0</v>
      </c>
      <c r="BJ68" s="186">
        <v>0</v>
      </c>
      <c r="BK68" s="186">
        <v>0</v>
      </c>
      <c r="BL68" s="186">
        <v>0</v>
      </c>
      <c r="BM68" s="186">
        <v>0</v>
      </c>
      <c r="BN68" s="186">
        <v>0</v>
      </c>
      <c r="BO68" s="186">
        <v>0</v>
      </c>
      <c r="BP68" s="186">
        <v>0</v>
      </c>
      <c r="BQ68" s="186">
        <v>0</v>
      </c>
      <c r="BR68" s="186">
        <v>0</v>
      </c>
      <c r="BS68" s="186">
        <v>0</v>
      </c>
      <c r="BT68" s="186">
        <v>0</v>
      </c>
      <c r="BU68" s="186">
        <v>0</v>
      </c>
      <c r="BV68" s="186">
        <v>0</v>
      </c>
      <c r="BW68" s="186">
        <v>119168.87</v>
      </c>
      <c r="BX68" s="186">
        <v>0</v>
      </c>
      <c r="BY68" s="186">
        <v>0</v>
      </c>
      <c r="BZ68" s="186">
        <v>0</v>
      </c>
      <c r="CA68" s="186">
        <v>0</v>
      </c>
      <c r="CB68" s="186">
        <v>0</v>
      </c>
      <c r="CC68" s="186">
        <v>0</v>
      </c>
      <c r="CD68" s="186">
        <v>0</v>
      </c>
      <c r="CE68" s="186">
        <v>0</v>
      </c>
      <c r="CF68" s="186">
        <v>0</v>
      </c>
      <c r="CG68" s="186">
        <v>0</v>
      </c>
      <c r="CH68" s="186">
        <v>0</v>
      </c>
      <c r="CI68" s="186">
        <v>126</v>
      </c>
      <c r="CJ68" s="186">
        <v>0</v>
      </c>
      <c r="CK68" s="186">
        <v>0</v>
      </c>
      <c r="CL68" s="186">
        <v>0</v>
      </c>
      <c r="CM68" s="186">
        <v>0</v>
      </c>
      <c r="CN68" s="186">
        <v>0</v>
      </c>
      <c r="CO68" s="186">
        <v>0</v>
      </c>
      <c r="CP68" s="186">
        <v>0</v>
      </c>
      <c r="CQ68" s="186">
        <v>0</v>
      </c>
      <c r="CR68" s="186">
        <v>0</v>
      </c>
      <c r="CS68" s="186">
        <v>0</v>
      </c>
      <c r="CT68" s="186">
        <v>0</v>
      </c>
      <c r="CU68" s="186">
        <v>0</v>
      </c>
      <c r="CV68" s="186">
        <v>0</v>
      </c>
      <c r="CW68" s="186">
        <v>0</v>
      </c>
      <c r="CX68" s="186">
        <v>0</v>
      </c>
      <c r="CY68" s="186">
        <v>0</v>
      </c>
      <c r="CZ68" s="186">
        <v>0</v>
      </c>
      <c r="DA68" s="186">
        <v>0</v>
      </c>
      <c r="DB68" s="186">
        <v>0</v>
      </c>
      <c r="DC68" s="194">
        <v>0</v>
      </c>
    </row>
    <row r="69" spans="1:120">
      <c r="A69" s="174" t="s">
        <v>73</v>
      </c>
      <c r="B69" s="186">
        <v>4543794.6900000004</v>
      </c>
      <c r="C69" s="186">
        <v>4175929.59</v>
      </c>
      <c r="D69" s="186">
        <v>1629678.85</v>
      </c>
      <c r="E69" s="186">
        <v>199915.14999999997</v>
      </c>
      <c r="F69" s="186">
        <v>5.4</v>
      </c>
      <c r="G69" s="186">
        <v>0</v>
      </c>
      <c r="H69" s="186">
        <v>-952863.57</v>
      </c>
      <c r="I69" s="186">
        <v>0</v>
      </c>
      <c r="J69" s="186">
        <v>0</v>
      </c>
      <c r="K69" s="186">
        <v>0</v>
      </c>
      <c r="L69" s="186">
        <v>0</v>
      </c>
      <c r="M69" s="186">
        <v>0</v>
      </c>
      <c r="N69" s="186">
        <v>0</v>
      </c>
      <c r="O69" s="186">
        <v>0</v>
      </c>
      <c r="P69" s="186">
        <v>0</v>
      </c>
      <c r="Q69" s="186">
        <v>0</v>
      </c>
      <c r="R69" s="186">
        <v>0</v>
      </c>
      <c r="S69" s="186">
        <v>0</v>
      </c>
      <c r="T69" s="186">
        <v>0</v>
      </c>
      <c r="U69" s="186">
        <v>0</v>
      </c>
      <c r="V69" s="186">
        <v>0</v>
      </c>
      <c r="W69" s="186">
        <v>6323.45</v>
      </c>
      <c r="X69" s="186">
        <v>17.600000000000001</v>
      </c>
      <c r="Y69" s="186">
        <v>0</v>
      </c>
      <c r="Z69" s="186">
        <v>867543.04000000004</v>
      </c>
      <c r="AA69" s="186">
        <v>0</v>
      </c>
      <c r="AB69" s="186">
        <v>-645405.29</v>
      </c>
      <c r="AC69" s="186">
        <v>-50943.12</v>
      </c>
      <c r="AD69" s="186">
        <v>28702.92</v>
      </c>
      <c r="AE69" s="186">
        <v>0</v>
      </c>
      <c r="AF69" s="186">
        <v>0</v>
      </c>
      <c r="AG69" s="186">
        <v>1309767.49</v>
      </c>
      <c r="AH69" s="186">
        <v>175130.83</v>
      </c>
      <c r="AI69" s="186">
        <v>144780.53</v>
      </c>
      <c r="AJ69" s="186">
        <v>-515194.18</v>
      </c>
      <c r="AK69" s="186">
        <v>-0.94</v>
      </c>
      <c r="AL69" s="186">
        <v>6.34</v>
      </c>
      <c r="AM69" s="186">
        <v>0</v>
      </c>
      <c r="AN69" s="186">
        <v>0</v>
      </c>
      <c r="AO69" s="186">
        <v>6034.49</v>
      </c>
      <c r="AP69" s="186">
        <v>7932.03</v>
      </c>
      <c r="AQ69" s="186">
        <v>0</v>
      </c>
      <c r="AR69" s="186">
        <v>1119698.8700000001</v>
      </c>
      <c r="AS69" s="186">
        <v>0</v>
      </c>
      <c r="AT69" s="186">
        <v>129569.84</v>
      </c>
      <c r="AU69" s="186">
        <v>185128.01</v>
      </c>
      <c r="AV69" s="186">
        <v>160922.63</v>
      </c>
      <c r="AW69" s="186">
        <v>125230.96</v>
      </c>
      <c r="AX69" s="186">
        <v>164418.43</v>
      </c>
      <c r="AY69" s="186">
        <v>156641.04</v>
      </c>
      <c r="AZ69" s="186">
        <v>49641</v>
      </c>
      <c r="BA69" s="186">
        <v>174757.46</v>
      </c>
      <c r="BB69" s="186">
        <v>63555.25</v>
      </c>
      <c r="BC69" s="186">
        <v>55705.48</v>
      </c>
      <c r="BD69" s="186">
        <v>134973.12</v>
      </c>
      <c r="BE69" s="186">
        <v>493856.13</v>
      </c>
      <c r="BF69" s="186">
        <v>74835.66</v>
      </c>
      <c r="BG69" s="186">
        <v>118043.88</v>
      </c>
      <c r="BH69" s="186">
        <v>43992.03</v>
      </c>
      <c r="BI69" s="186">
        <v>50289.37</v>
      </c>
      <c r="BJ69" s="186">
        <v>53531.08</v>
      </c>
      <c r="BK69" s="186">
        <v>55948.12</v>
      </c>
      <c r="BL69" s="186">
        <v>47048.54</v>
      </c>
      <c r="BM69" s="186">
        <v>23601.22</v>
      </c>
      <c r="BN69" s="186">
        <v>36088.910000000003</v>
      </c>
      <c r="BO69" s="186">
        <v>55947.839999999997</v>
      </c>
      <c r="BP69" s="186">
        <v>12171.72</v>
      </c>
      <c r="BQ69" s="186">
        <v>19273.95</v>
      </c>
      <c r="BR69" s="186">
        <v>10656.45</v>
      </c>
      <c r="BS69" s="186">
        <v>20964.87</v>
      </c>
      <c r="BT69" s="186">
        <v>9142.07</v>
      </c>
      <c r="BU69" s="186">
        <v>20670.18</v>
      </c>
      <c r="BV69" s="186">
        <v>12161.88</v>
      </c>
      <c r="BW69" s="186">
        <v>8091.51</v>
      </c>
      <c r="BX69" s="186">
        <v>8089.11</v>
      </c>
      <c r="BY69" s="186">
        <v>14238.75</v>
      </c>
      <c r="BZ69" s="186">
        <v>4823.2299999999996</v>
      </c>
      <c r="CA69" s="186">
        <v>6079.21</v>
      </c>
      <c r="CB69" s="186">
        <v>13753.72</v>
      </c>
      <c r="CC69" s="186">
        <v>9880.25</v>
      </c>
      <c r="CD69" s="186">
        <v>405095.97</v>
      </c>
      <c r="CE69" s="186">
        <v>4503.5600000000004</v>
      </c>
      <c r="CF69" s="186">
        <v>4.63</v>
      </c>
      <c r="CG69" s="186">
        <v>3022.89</v>
      </c>
      <c r="CH69" s="186">
        <v>-838.75</v>
      </c>
      <c r="CI69" s="186">
        <v>30.24</v>
      </c>
      <c r="CJ69" s="186">
        <v>1683.68</v>
      </c>
      <c r="CK69" s="186">
        <v>146.53</v>
      </c>
      <c r="CL69" s="186">
        <v>31.32</v>
      </c>
      <c r="CM69" s="186">
        <v>217.5</v>
      </c>
      <c r="CN69" s="186">
        <v>-222.16</v>
      </c>
      <c r="CO69" s="186">
        <v>9.0500000000000007</v>
      </c>
      <c r="CP69" s="186">
        <v>-6.71</v>
      </c>
      <c r="CQ69" s="186">
        <v>1262.3499999999999</v>
      </c>
      <c r="CR69" s="186">
        <v>27.67</v>
      </c>
      <c r="CS69" s="186">
        <v>2404.13</v>
      </c>
      <c r="CT69" s="186">
        <v>124.88</v>
      </c>
      <c r="CU69" s="186">
        <v>275.58999999999997</v>
      </c>
      <c r="CV69" s="186">
        <v>3.78</v>
      </c>
      <c r="CW69" s="186">
        <v>4.32</v>
      </c>
      <c r="CX69" s="186">
        <v>67.91</v>
      </c>
      <c r="CY69" s="186">
        <v>262.94</v>
      </c>
      <c r="CZ69" s="186">
        <v>0</v>
      </c>
      <c r="DA69" s="186">
        <v>7.0000000000000007E-2</v>
      </c>
      <c r="DB69" s="186">
        <v>79.459999999999994</v>
      </c>
      <c r="DC69" s="194">
        <v>350.45</v>
      </c>
    </row>
    <row r="70" spans="1:120">
      <c r="A70" s="174" t="s">
        <v>96</v>
      </c>
      <c r="B70" s="186">
        <v>23293.010000000002</v>
      </c>
      <c r="C70" s="186">
        <v>23293.010000000002</v>
      </c>
      <c r="D70" s="186">
        <v>0</v>
      </c>
      <c r="E70" s="186">
        <v>0</v>
      </c>
      <c r="F70" s="186">
        <v>0</v>
      </c>
      <c r="G70" s="186">
        <v>0</v>
      </c>
      <c r="H70" s="186">
        <v>0</v>
      </c>
      <c r="I70" s="186">
        <v>0</v>
      </c>
      <c r="J70" s="186">
        <v>0</v>
      </c>
      <c r="K70" s="186">
        <v>0</v>
      </c>
      <c r="L70" s="186">
        <v>0</v>
      </c>
      <c r="M70" s="186">
        <v>0</v>
      </c>
      <c r="N70" s="186">
        <v>0</v>
      </c>
      <c r="O70" s="186">
        <v>0</v>
      </c>
      <c r="P70" s="186">
        <v>0</v>
      </c>
      <c r="Q70" s="186">
        <v>0</v>
      </c>
      <c r="R70" s="186">
        <v>0</v>
      </c>
      <c r="S70" s="186">
        <v>0</v>
      </c>
      <c r="T70" s="186">
        <v>0</v>
      </c>
      <c r="U70" s="186">
        <v>0</v>
      </c>
      <c r="V70" s="186">
        <v>0</v>
      </c>
      <c r="W70" s="186">
        <v>0</v>
      </c>
      <c r="X70" s="186">
        <v>0</v>
      </c>
      <c r="Y70" s="186">
        <v>0</v>
      </c>
      <c r="Z70" s="186">
        <v>0</v>
      </c>
      <c r="AA70" s="186">
        <v>0</v>
      </c>
      <c r="AB70" s="186">
        <v>0</v>
      </c>
      <c r="AC70" s="186">
        <v>0</v>
      </c>
      <c r="AD70" s="186">
        <v>0</v>
      </c>
      <c r="AE70" s="186">
        <v>0</v>
      </c>
      <c r="AF70" s="186">
        <v>0</v>
      </c>
      <c r="AG70" s="186">
        <v>0</v>
      </c>
      <c r="AH70" s="186">
        <v>0</v>
      </c>
      <c r="AI70" s="186">
        <v>0</v>
      </c>
      <c r="AJ70" s="186">
        <v>0</v>
      </c>
      <c r="AK70" s="186">
        <v>0</v>
      </c>
      <c r="AL70" s="186">
        <v>0</v>
      </c>
      <c r="AM70" s="186">
        <v>0</v>
      </c>
      <c r="AN70" s="186">
        <v>0</v>
      </c>
      <c r="AO70" s="186">
        <v>0</v>
      </c>
      <c r="AP70" s="186">
        <v>0</v>
      </c>
      <c r="AQ70" s="186">
        <v>0</v>
      </c>
      <c r="AR70" s="186">
        <v>0</v>
      </c>
      <c r="AS70" s="186">
        <v>0</v>
      </c>
      <c r="AT70" s="186">
        <v>0</v>
      </c>
      <c r="AU70" s="186">
        <v>0</v>
      </c>
      <c r="AV70" s="186">
        <v>0</v>
      </c>
      <c r="AW70" s="186">
        <v>0</v>
      </c>
      <c r="AX70" s="186">
        <v>4581.6400000000003</v>
      </c>
      <c r="AY70" s="186">
        <v>1752.33</v>
      </c>
      <c r="AZ70" s="186">
        <v>0</v>
      </c>
      <c r="BA70" s="186">
        <v>0</v>
      </c>
      <c r="BB70" s="186">
        <v>0</v>
      </c>
      <c r="BC70" s="186">
        <v>0</v>
      </c>
      <c r="BD70" s="186">
        <v>1946.24</v>
      </c>
      <c r="BE70" s="186">
        <v>7963.06</v>
      </c>
      <c r="BF70" s="186">
        <v>0</v>
      </c>
      <c r="BG70" s="186">
        <v>0</v>
      </c>
      <c r="BH70" s="186">
        <v>569.89</v>
      </c>
      <c r="BI70" s="186">
        <v>685.23</v>
      </c>
      <c r="BJ70" s="186">
        <v>671.66</v>
      </c>
      <c r="BK70" s="186">
        <v>0</v>
      </c>
      <c r="BL70" s="186">
        <v>0</v>
      </c>
      <c r="BM70" s="186">
        <v>278.97000000000003</v>
      </c>
      <c r="BN70" s="186">
        <v>0</v>
      </c>
      <c r="BO70" s="186">
        <v>2383.15</v>
      </c>
      <c r="BP70" s="186">
        <v>0</v>
      </c>
      <c r="BQ70" s="186">
        <v>0</v>
      </c>
      <c r="BR70" s="186">
        <v>1803.04</v>
      </c>
      <c r="BS70" s="186">
        <v>0</v>
      </c>
      <c r="BT70" s="186">
        <v>0</v>
      </c>
      <c r="BU70" s="186">
        <v>0</v>
      </c>
      <c r="BV70" s="186">
        <v>281.57</v>
      </c>
      <c r="BW70" s="186">
        <v>0</v>
      </c>
      <c r="BX70" s="186">
        <v>0</v>
      </c>
      <c r="BY70" s="186">
        <v>0</v>
      </c>
      <c r="BZ70" s="186">
        <v>0</v>
      </c>
      <c r="CA70" s="186">
        <v>0</v>
      </c>
      <c r="CB70" s="186">
        <v>0</v>
      </c>
      <c r="CC70" s="186">
        <v>0</v>
      </c>
      <c r="CD70" s="186">
        <v>0</v>
      </c>
      <c r="CE70" s="186">
        <v>0</v>
      </c>
      <c r="CF70" s="186">
        <v>0</v>
      </c>
      <c r="CG70" s="186">
        <v>0</v>
      </c>
      <c r="CH70" s="186">
        <v>0</v>
      </c>
      <c r="CI70" s="186">
        <v>0</v>
      </c>
      <c r="CJ70" s="186">
        <v>0</v>
      </c>
      <c r="CK70" s="186">
        <v>0</v>
      </c>
      <c r="CL70" s="186">
        <v>0</v>
      </c>
      <c r="CM70" s="186">
        <v>0</v>
      </c>
      <c r="CN70" s="186">
        <v>0</v>
      </c>
      <c r="CO70" s="186">
        <v>0</v>
      </c>
      <c r="CP70" s="186">
        <v>0</v>
      </c>
      <c r="CQ70" s="186">
        <v>0</v>
      </c>
      <c r="CR70" s="186">
        <v>0</v>
      </c>
      <c r="CS70" s="186">
        <v>0</v>
      </c>
      <c r="CT70" s="186">
        <v>0</v>
      </c>
      <c r="CU70" s="186">
        <v>0</v>
      </c>
      <c r="CV70" s="186">
        <v>0</v>
      </c>
      <c r="CW70" s="186">
        <v>0</v>
      </c>
      <c r="CX70" s="186">
        <v>0</v>
      </c>
      <c r="CY70" s="186">
        <v>0</v>
      </c>
      <c r="CZ70" s="186">
        <v>0</v>
      </c>
      <c r="DA70" s="186">
        <v>376.23</v>
      </c>
      <c r="DB70" s="186">
        <v>0</v>
      </c>
      <c r="DC70" s="194">
        <v>0</v>
      </c>
    </row>
    <row r="71" spans="1:120">
      <c r="A71" s="174" t="s">
        <v>74</v>
      </c>
      <c r="B71" s="186">
        <v>2568307.1</v>
      </c>
      <c r="C71" s="186">
        <v>20000</v>
      </c>
      <c r="D71" s="186">
        <v>0</v>
      </c>
      <c r="E71" s="186">
        <v>-383650</v>
      </c>
      <c r="F71" s="186">
        <v>0</v>
      </c>
      <c r="G71" s="186">
        <v>0</v>
      </c>
      <c r="H71" s="186">
        <v>2931957.1</v>
      </c>
      <c r="I71" s="186">
        <v>0</v>
      </c>
      <c r="J71" s="186">
        <v>0</v>
      </c>
      <c r="K71" s="186">
        <v>0</v>
      </c>
      <c r="L71" s="186">
        <v>0</v>
      </c>
      <c r="M71" s="186">
        <v>0</v>
      </c>
      <c r="N71" s="186">
        <v>0</v>
      </c>
      <c r="O71" s="186">
        <v>0</v>
      </c>
      <c r="P71" s="186">
        <v>0</v>
      </c>
      <c r="Q71" s="186">
        <v>0</v>
      </c>
      <c r="R71" s="186">
        <v>0</v>
      </c>
      <c r="S71" s="186">
        <v>0</v>
      </c>
      <c r="T71" s="186">
        <v>0</v>
      </c>
      <c r="U71" s="186">
        <v>0</v>
      </c>
      <c r="V71" s="186">
        <v>0</v>
      </c>
      <c r="W71" s="186">
        <v>0</v>
      </c>
      <c r="X71" s="186">
        <v>0</v>
      </c>
      <c r="Y71" s="186">
        <v>0</v>
      </c>
      <c r="Z71" s="186">
        <v>-383650</v>
      </c>
      <c r="AA71" s="186">
        <v>0</v>
      </c>
      <c r="AB71" s="186">
        <v>0</v>
      </c>
      <c r="AC71" s="186">
        <v>0</v>
      </c>
      <c r="AD71" s="186">
        <v>0</v>
      </c>
      <c r="AE71" s="186">
        <v>0</v>
      </c>
      <c r="AF71" s="186">
        <v>0</v>
      </c>
      <c r="AG71" s="186">
        <v>0</v>
      </c>
      <c r="AH71" s="186">
        <v>0</v>
      </c>
      <c r="AI71" s="186">
        <v>0</v>
      </c>
      <c r="AJ71" s="186">
        <v>0</v>
      </c>
      <c r="AK71" s="186">
        <v>0</v>
      </c>
      <c r="AL71" s="186">
        <v>0</v>
      </c>
      <c r="AM71" s="186">
        <v>0</v>
      </c>
      <c r="AN71" s="186">
        <v>0</v>
      </c>
      <c r="AO71" s="186">
        <v>0</v>
      </c>
      <c r="AP71" s="186">
        <v>0</v>
      </c>
      <c r="AQ71" s="186">
        <v>0</v>
      </c>
      <c r="AR71" s="186">
        <v>0</v>
      </c>
      <c r="AS71" s="186">
        <v>0</v>
      </c>
      <c r="AT71" s="186">
        <v>0</v>
      </c>
      <c r="AU71" s="186">
        <v>0</v>
      </c>
      <c r="AV71" s="186">
        <v>0</v>
      </c>
      <c r="AW71" s="186">
        <v>0</v>
      </c>
      <c r="AX71" s="186">
        <v>0</v>
      </c>
      <c r="AY71" s="186">
        <v>0</v>
      </c>
      <c r="AZ71" s="186">
        <v>0</v>
      </c>
      <c r="BA71" s="186">
        <v>0</v>
      </c>
      <c r="BB71" s="186">
        <v>0</v>
      </c>
      <c r="BC71" s="186">
        <v>0</v>
      </c>
      <c r="BD71" s="186">
        <v>0</v>
      </c>
      <c r="BE71" s="186">
        <v>0</v>
      </c>
      <c r="BF71" s="186">
        <v>0</v>
      </c>
      <c r="BG71" s="186">
        <v>0</v>
      </c>
      <c r="BH71" s="186">
        <v>0</v>
      </c>
      <c r="BI71" s="186">
        <v>0</v>
      </c>
      <c r="BJ71" s="186">
        <v>0</v>
      </c>
      <c r="BK71" s="186">
        <v>0</v>
      </c>
      <c r="BL71" s="186">
        <v>0</v>
      </c>
      <c r="BM71" s="186">
        <v>0</v>
      </c>
      <c r="BN71" s="186">
        <v>0</v>
      </c>
      <c r="BO71" s="186">
        <v>0</v>
      </c>
      <c r="BP71" s="186">
        <v>0</v>
      </c>
      <c r="BQ71" s="186">
        <v>0</v>
      </c>
      <c r="BR71" s="186">
        <v>0</v>
      </c>
      <c r="BS71" s="186">
        <v>0</v>
      </c>
      <c r="BT71" s="186">
        <v>0</v>
      </c>
      <c r="BU71" s="186">
        <v>0</v>
      </c>
      <c r="BV71" s="186">
        <v>0</v>
      </c>
      <c r="BW71" s="186">
        <v>0</v>
      </c>
      <c r="BX71" s="186">
        <v>0</v>
      </c>
      <c r="BY71" s="186">
        <v>0</v>
      </c>
      <c r="BZ71" s="186">
        <v>0</v>
      </c>
      <c r="CA71" s="186">
        <v>0</v>
      </c>
      <c r="CB71" s="186">
        <v>0</v>
      </c>
      <c r="CC71" s="186">
        <v>0</v>
      </c>
      <c r="CD71" s="186">
        <v>0</v>
      </c>
      <c r="CE71" s="186">
        <v>0</v>
      </c>
      <c r="CF71" s="186">
        <v>0</v>
      </c>
      <c r="CG71" s="186">
        <v>0</v>
      </c>
      <c r="CH71" s="186">
        <v>0</v>
      </c>
      <c r="CI71" s="186">
        <v>0</v>
      </c>
      <c r="CJ71" s="186">
        <v>0</v>
      </c>
      <c r="CK71" s="186">
        <v>0</v>
      </c>
      <c r="CL71" s="186">
        <v>0</v>
      </c>
      <c r="CM71" s="186">
        <v>0</v>
      </c>
      <c r="CN71" s="186">
        <v>0</v>
      </c>
      <c r="CO71" s="186">
        <v>0</v>
      </c>
      <c r="CP71" s="186">
        <v>0</v>
      </c>
      <c r="CQ71" s="186">
        <v>0</v>
      </c>
      <c r="CR71" s="186">
        <v>0</v>
      </c>
      <c r="CS71" s="186">
        <v>0</v>
      </c>
      <c r="CT71" s="186">
        <v>0</v>
      </c>
      <c r="CU71" s="186">
        <v>0</v>
      </c>
      <c r="CV71" s="186">
        <v>0</v>
      </c>
      <c r="CW71" s="186">
        <v>10000</v>
      </c>
      <c r="CX71" s="186">
        <v>0</v>
      </c>
      <c r="CY71" s="186">
        <v>10000</v>
      </c>
      <c r="CZ71" s="186">
        <v>0</v>
      </c>
      <c r="DA71" s="186">
        <v>0</v>
      </c>
      <c r="DB71" s="186">
        <v>0</v>
      </c>
      <c r="DC71" s="194">
        <v>0</v>
      </c>
    </row>
    <row r="72" spans="1:120" s="191" customFormat="1">
      <c r="A72" s="175" t="s">
        <v>69</v>
      </c>
      <c r="B72" s="189">
        <v>21891999.590000004</v>
      </c>
      <c r="C72" s="189">
        <v>13742842.970000001</v>
      </c>
      <c r="D72" s="189">
        <v>6733251.6099999994</v>
      </c>
      <c r="E72" s="189">
        <v>-123951.19000000003</v>
      </c>
      <c r="F72" s="189">
        <v>69633.399999999994</v>
      </c>
      <c r="G72" s="189">
        <v>0</v>
      </c>
      <c r="H72" s="189">
        <v>1979093.5300000003</v>
      </c>
      <c r="I72" s="189">
        <v>0</v>
      </c>
      <c r="J72" s="189">
        <v>0</v>
      </c>
      <c r="K72" s="189">
        <v>0</v>
      </c>
      <c r="L72" s="189">
        <v>0</v>
      </c>
      <c r="M72" s="189">
        <v>0</v>
      </c>
      <c r="N72" s="189">
        <v>0</v>
      </c>
      <c r="O72" s="189">
        <v>0</v>
      </c>
      <c r="P72" s="189">
        <v>0</v>
      </c>
      <c r="Q72" s="189">
        <v>0</v>
      </c>
      <c r="R72" s="189">
        <v>0</v>
      </c>
      <c r="S72" s="189">
        <v>0</v>
      </c>
      <c r="T72" s="189">
        <v>0</v>
      </c>
      <c r="U72" s="189">
        <v>0</v>
      </c>
      <c r="V72" s="189">
        <v>0</v>
      </c>
      <c r="W72" s="189">
        <v>6323.45</v>
      </c>
      <c r="X72" s="189">
        <v>17.600000000000001</v>
      </c>
      <c r="Y72" s="189">
        <v>0</v>
      </c>
      <c r="Z72" s="189">
        <v>483893.04000000004</v>
      </c>
      <c r="AA72" s="189">
        <v>0</v>
      </c>
      <c r="AB72" s="189">
        <v>-645405.29</v>
      </c>
      <c r="AC72" s="189">
        <v>-113296.44</v>
      </c>
      <c r="AD72" s="189">
        <v>150839.9</v>
      </c>
      <c r="AE72" s="189">
        <v>0</v>
      </c>
      <c r="AF72" s="189">
        <v>0</v>
      </c>
      <c r="AG72" s="189">
        <v>4917067.49</v>
      </c>
      <c r="AH72" s="189">
        <v>175130.83</v>
      </c>
      <c r="AI72" s="189">
        <v>1641053.29</v>
      </c>
      <c r="AJ72" s="189">
        <v>-515194.18</v>
      </c>
      <c r="AK72" s="189">
        <v>69627.06</v>
      </c>
      <c r="AL72" s="189">
        <v>6.34</v>
      </c>
      <c r="AM72" s="189">
        <v>0</v>
      </c>
      <c r="AN72" s="189">
        <v>0</v>
      </c>
      <c r="AO72" s="189">
        <v>5786738.4900000002</v>
      </c>
      <c r="AP72" s="189">
        <v>7932.03</v>
      </c>
      <c r="AQ72" s="189">
        <v>0</v>
      </c>
      <c r="AR72" s="189">
        <v>1119698.8700000001</v>
      </c>
      <c r="AS72" s="189">
        <v>0</v>
      </c>
      <c r="AT72" s="189">
        <v>267817.62</v>
      </c>
      <c r="AU72" s="189">
        <v>465870.84</v>
      </c>
      <c r="AV72" s="189">
        <v>521808.42</v>
      </c>
      <c r="AW72" s="189">
        <v>271178.77999999997</v>
      </c>
      <c r="AX72" s="189">
        <v>412383.4</v>
      </c>
      <c r="AY72" s="189">
        <v>320961.77</v>
      </c>
      <c r="AZ72" s="189">
        <v>144471.41</v>
      </c>
      <c r="BA72" s="189">
        <v>470865.23</v>
      </c>
      <c r="BB72" s="189">
        <v>98671.7</v>
      </c>
      <c r="BC72" s="189">
        <v>75260.06</v>
      </c>
      <c r="BD72" s="189">
        <v>327555.87</v>
      </c>
      <c r="BE72" s="189">
        <v>672647.20000000007</v>
      </c>
      <c r="BF72" s="189">
        <v>178228.68</v>
      </c>
      <c r="BG72" s="189">
        <v>184211.67</v>
      </c>
      <c r="BH72" s="189">
        <v>101119.05</v>
      </c>
      <c r="BI72" s="189">
        <v>118408.65000000001</v>
      </c>
      <c r="BJ72" s="189">
        <v>189752.57000000004</v>
      </c>
      <c r="BK72" s="189">
        <v>127702.38</v>
      </c>
      <c r="BL72" s="189">
        <v>87236.700000000012</v>
      </c>
      <c r="BM72" s="189">
        <v>96261.91</v>
      </c>
      <c r="BN72" s="189">
        <v>139211.96000000002</v>
      </c>
      <c r="BO72" s="189">
        <v>137507.23000000001</v>
      </c>
      <c r="BP72" s="189">
        <v>27913.84</v>
      </c>
      <c r="BQ72" s="189">
        <v>41198.400000000001</v>
      </c>
      <c r="BR72" s="189">
        <v>16429.900000000001</v>
      </c>
      <c r="BS72" s="189">
        <v>68170.28</v>
      </c>
      <c r="BT72" s="189">
        <v>56593.409999999996</v>
      </c>
      <c r="BU72" s="189">
        <v>83623.19</v>
      </c>
      <c r="BV72" s="189">
        <v>78789.62000000001</v>
      </c>
      <c r="BW72" s="189">
        <v>348111.47</v>
      </c>
      <c r="BX72" s="189">
        <v>15086.77</v>
      </c>
      <c r="BY72" s="189">
        <v>72922.97</v>
      </c>
      <c r="BZ72" s="189">
        <v>29184.28</v>
      </c>
      <c r="CA72" s="189">
        <v>27902.76</v>
      </c>
      <c r="CB72" s="189">
        <v>17508.91</v>
      </c>
      <c r="CC72" s="189">
        <v>19852.93</v>
      </c>
      <c r="CD72" s="189">
        <v>421451.06999999995</v>
      </c>
      <c r="CE72" s="189">
        <v>4920.01</v>
      </c>
      <c r="CF72" s="189">
        <v>1121.2900000000002</v>
      </c>
      <c r="CG72" s="189">
        <v>14910.46</v>
      </c>
      <c r="CH72" s="189">
        <v>888.29</v>
      </c>
      <c r="CI72" s="189">
        <v>500.81</v>
      </c>
      <c r="CJ72" s="189">
        <v>1683.68</v>
      </c>
      <c r="CK72" s="189">
        <v>3938.3500000000004</v>
      </c>
      <c r="CL72" s="189">
        <v>3415.23</v>
      </c>
      <c r="CM72" s="189">
        <v>8848.16</v>
      </c>
      <c r="CN72" s="189">
        <v>3628.08</v>
      </c>
      <c r="CO72" s="189">
        <v>312.86</v>
      </c>
      <c r="CP72" s="189">
        <v>5398.93</v>
      </c>
      <c r="CQ72" s="189">
        <v>5705.8099999999995</v>
      </c>
      <c r="CR72" s="189">
        <v>1761.8300000000002</v>
      </c>
      <c r="CS72" s="189">
        <v>4701.2299999999996</v>
      </c>
      <c r="CT72" s="189">
        <v>3690.36</v>
      </c>
      <c r="CU72" s="189">
        <v>1123.79</v>
      </c>
      <c r="CV72" s="189">
        <v>3777.53</v>
      </c>
      <c r="CW72" s="189">
        <v>10004.32</v>
      </c>
      <c r="CX72" s="189">
        <v>67.91</v>
      </c>
      <c r="CY72" s="189">
        <v>11901.66</v>
      </c>
      <c r="CZ72" s="189">
        <v>193.31</v>
      </c>
      <c r="DA72" s="189">
        <v>376.3</v>
      </c>
      <c r="DB72" s="189">
        <v>1380.03</v>
      </c>
      <c r="DC72" s="189">
        <v>350.45</v>
      </c>
      <c r="DD72" s="189">
        <f t="shared" ref="DD72:DL72" si="1">SUM(DD67:DD71)</f>
        <v>0</v>
      </c>
      <c r="DE72" s="189">
        <f t="shared" si="1"/>
        <v>0</v>
      </c>
      <c r="DF72" s="189">
        <f t="shared" si="1"/>
        <v>0</v>
      </c>
      <c r="DG72" s="189">
        <f t="shared" si="1"/>
        <v>0</v>
      </c>
      <c r="DH72" s="189">
        <f t="shared" si="1"/>
        <v>0</v>
      </c>
      <c r="DI72" s="189">
        <f t="shared" si="1"/>
        <v>0</v>
      </c>
      <c r="DJ72" s="189">
        <f t="shared" si="1"/>
        <v>0</v>
      </c>
      <c r="DK72" s="189">
        <f t="shared" si="1"/>
        <v>0</v>
      </c>
      <c r="DL72" s="189">
        <f t="shared" si="1"/>
        <v>0</v>
      </c>
    </row>
    <row r="73" spans="1:120">
      <c r="A73" s="174" t="s">
        <v>76</v>
      </c>
      <c r="B73" s="186">
        <v>1895217.8399999999</v>
      </c>
      <c r="C73" s="186">
        <v>739575.18</v>
      </c>
      <c r="D73" s="186">
        <v>409489.79</v>
      </c>
      <c r="E73" s="186">
        <v>121464.81</v>
      </c>
      <c r="F73" s="186">
        <v>70687.75</v>
      </c>
      <c r="G73" s="186">
        <v>26555.14</v>
      </c>
      <c r="H73" s="186">
        <v>270323</v>
      </c>
      <c r="I73" s="186">
        <v>1191</v>
      </c>
      <c r="J73" s="186">
        <v>100211.6</v>
      </c>
      <c r="K73" s="186">
        <v>7388.93</v>
      </c>
      <c r="L73" s="186">
        <v>27173</v>
      </c>
      <c r="M73" s="186">
        <v>1176</v>
      </c>
      <c r="N73" s="186">
        <v>0</v>
      </c>
      <c r="O73" s="186">
        <v>3149</v>
      </c>
      <c r="P73" s="186">
        <v>3405</v>
      </c>
      <c r="Q73" s="186">
        <v>0</v>
      </c>
      <c r="R73" s="186">
        <v>2247</v>
      </c>
      <c r="S73" s="186">
        <v>8112.66</v>
      </c>
      <c r="T73" s="186">
        <v>0</v>
      </c>
      <c r="U73" s="186">
        <v>0</v>
      </c>
      <c r="V73" s="186">
        <v>0</v>
      </c>
      <c r="W73" s="186">
        <v>0</v>
      </c>
      <c r="X73" s="186">
        <v>8232.5</v>
      </c>
      <c r="Y73" s="186">
        <v>0</v>
      </c>
      <c r="Z73" s="186">
        <v>32640.31</v>
      </c>
      <c r="AA73" s="186">
        <v>1661</v>
      </c>
      <c r="AB73" s="186">
        <v>7742</v>
      </c>
      <c r="AC73" s="186">
        <v>26536.5</v>
      </c>
      <c r="AD73" s="186">
        <v>36225.5</v>
      </c>
      <c r="AE73" s="186">
        <v>8427</v>
      </c>
      <c r="AF73" s="186">
        <v>10744</v>
      </c>
      <c r="AG73" s="186">
        <v>327173.23</v>
      </c>
      <c r="AH73" s="186">
        <v>27158.31</v>
      </c>
      <c r="AI73" s="186">
        <v>44414.25</v>
      </c>
      <c r="AJ73" s="186">
        <v>103067.98</v>
      </c>
      <c r="AK73" s="186">
        <v>41527.599999999999</v>
      </c>
      <c r="AL73" s="186">
        <v>27873.35</v>
      </c>
      <c r="AM73" s="186">
        <v>1286.8</v>
      </c>
      <c r="AN73" s="186">
        <v>0</v>
      </c>
      <c r="AO73" s="186">
        <v>4395</v>
      </c>
      <c r="AP73" s="186">
        <v>4173</v>
      </c>
      <c r="AQ73" s="186">
        <v>9276</v>
      </c>
      <c r="AR73" s="186">
        <v>0</v>
      </c>
      <c r="AS73" s="186">
        <v>8379</v>
      </c>
      <c r="AT73" s="186">
        <v>47756.4</v>
      </c>
      <c r="AU73" s="186">
        <v>45998.84</v>
      </c>
      <c r="AV73" s="186">
        <v>28046</v>
      </c>
      <c r="AW73" s="186">
        <v>43194.38</v>
      </c>
      <c r="AX73" s="186">
        <v>4143</v>
      </c>
      <c r="AY73" s="186">
        <v>28772.2</v>
      </c>
      <c r="AZ73" s="186">
        <v>7573</v>
      </c>
      <c r="BA73" s="186">
        <v>7449</v>
      </c>
      <c r="BB73" s="186">
        <v>21807.5</v>
      </c>
      <c r="BC73" s="186">
        <v>17631.5</v>
      </c>
      <c r="BD73" s="186">
        <v>36474.6</v>
      </c>
      <c r="BE73" s="186">
        <v>4294</v>
      </c>
      <c r="BF73" s="186">
        <v>18053</v>
      </c>
      <c r="BG73" s="186">
        <v>23446</v>
      </c>
      <c r="BH73" s="186">
        <v>4564</v>
      </c>
      <c r="BI73" s="186">
        <v>20938</v>
      </c>
      <c r="BJ73" s="186">
        <v>0</v>
      </c>
      <c r="BK73" s="186">
        <v>17283.599999999999</v>
      </c>
      <c r="BL73" s="186">
        <v>2400</v>
      </c>
      <c r="BM73" s="186">
        <v>0</v>
      </c>
      <c r="BN73" s="186">
        <v>14574</v>
      </c>
      <c r="BO73" s="186">
        <v>6273</v>
      </c>
      <c r="BP73" s="186">
        <v>12165.5</v>
      </c>
      <c r="BQ73" s="186">
        <v>39105</v>
      </c>
      <c r="BR73" s="186">
        <v>0</v>
      </c>
      <c r="BS73" s="186">
        <v>0</v>
      </c>
      <c r="BT73" s="186">
        <v>2687</v>
      </c>
      <c r="BU73" s="186">
        <v>3265.4</v>
      </c>
      <c r="BV73" s="186">
        <v>1553</v>
      </c>
      <c r="BW73" s="186">
        <v>3142</v>
      </c>
      <c r="BX73" s="186">
        <v>0</v>
      </c>
      <c r="BY73" s="186">
        <v>5388.6</v>
      </c>
      <c r="BZ73" s="186">
        <v>0</v>
      </c>
      <c r="CA73" s="186">
        <v>0</v>
      </c>
      <c r="CB73" s="186">
        <v>12340</v>
      </c>
      <c r="CC73" s="186">
        <v>30247.7</v>
      </c>
      <c r="CD73" s="186">
        <v>13466.28</v>
      </c>
      <c r="CE73" s="186">
        <v>11459</v>
      </c>
      <c r="CF73" s="186">
        <v>10846</v>
      </c>
      <c r="CG73" s="186">
        <v>6942.3</v>
      </c>
      <c r="CH73" s="186">
        <v>1082</v>
      </c>
      <c r="CI73" s="186">
        <v>41235.360000000001</v>
      </c>
      <c r="CJ73" s="186">
        <v>2397</v>
      </c>
      <c r="CK73" s="186">
        <v>4108</v>
      </c>
      <c r="CL73" s="186">
        <v>234</v>
      </c>
      <c r="CM73" s="186">
        <v>1399</v>
      </c>
      <c r="CN73" s="186">
        <v>0</v>
      </c>
      <c r="CO73" s="186">
        <v>0</v>
      </c>
      <c r="CP73" s="186">
        <v>10138</v>
      </c>
      <c r="CQ73" s="186">
        <v>21606.22</v>
      </c>
      <c r="CR73" s="186">
        <v>557</v>
      </c>
      <c r="CS73" s="186">
        <v>4992</v>
      </c>
      <c r="CT73" s="186">
        <v>7093.9</v>
      </c>
      <c r="CU73" s="186">
        <v>1528</v>
      </c>
      <c r="CV73" s="186">
        <v>0</v>
      </c>
      <c r="CW73" s="186">
        <v>7324</v>
      </c>
      <c r="CX73" s="186">
        <v>23821</v>
      </c>
      <c r="CY73" s="186">
        <v>8597</v>
      </c>
      <c r="CZ73" s="186">
        <v>9816.9</v>
      </c>
      <c r="DA73" s="186">
        <v>3886</v>
      </c>
      <c r="DB73" s="186">
        <v>885</v>
      </c>
      <c r="DC73" s="194">
        <v>9372</v>
      </c>
    </row>
    <row r="74" spans="1:120">
      <c r="A74" s="174" t="s">
        <v>77</v>
      </c>
      <c r="B74" s="186">
        <v>1267550.4600000002</v>
      </c>
      <c r="C74" s="186">
        <v>288484.30000000005</v>
      </c>
      <c r="D74" s="186">
        <v>484007.84</v>
      </c>
      <c r="E74" s="186">
        <v>162454.03</v>
      </c>
      <c r="F74" s="186">
        <v>58814.78</v>
      </c>
      <c r="G74" s="186">
        <v>64901.88</v>
      </c>
      <c r="H74" s="186">
        <v>0</v>
      </c>
      <c r="I74" s="186">
        <v>7000.21</v>
      </c>
      <c r="J74" s="186">
        <v>8967.74</v>
      </c>
      <c r="K74" s="186">
        <v>9697</v>
      </c>
      <c r="L74" s="186">
        <v>13428.08</v>
      </c>
      <c r="M74" s="186">
        <v>23613.94</v>
      </c>
      <c r="N74" s="186">
        <v>0</v>
      </c>
      <c r="O74" s="186">
        <v>0</v>
      </c>
      <c r="P74" s="186">
        <v>2370</v>
      </c>
      <c r="Q74" s="186">
        <v>14816</v>
      </c>
      <c r="R74" s="186">
        <v>21259.03</v>
      </c>
      <c r="S74" s="186">
        <v>49480.33</v>
      </c>
      <c r="T74" s="186">
        <v>4143.5</v>
      </c>
      <c r="U74" s="186">
        <v>4467.0600000000004</v>
      </c>
      <c r="V74" s="186">
        <v>0</v>
      </c>
      <c r="W74" s="186">
        <v>0</v>
      </c>
      <c r="X74" s="186">
        <v>15296.75</v>
      </c>
      <c r="Y74" s="186">
        <v>2458.4</v>
      </c>
      <c r="Z74" s="186">
        <v>70934.19</v>
      </c>
      <c r="AA74" s="186">
        <v>2115.58</v>
      </c>
      <c r="AB74" s="186">
        <v>11199.7</v>
      </c>
      <c r="AC74" s="186">
        <v>15237.62</v>
      </c>
      <c r="AD74" s="186">
        <v>25203.69</v>
      </c>
      <c r="AE74" s="186">
        <v>20008.099999999999</v>
      </c>
      <c r="AF74" s="186">
        <v>25941</v>
      </c>
      <c r="AG74" s="186">
        <v>303958.14</v>
      </c>
      <c r="AH74" s="186">
        <v>70447.240000000005</v>
      </c>
      <c r="AI74" s="186">
        <v>83661.460000000006</v>
      </c>
      <c r="AJ74" s="186">
        <v>48867.74</v>
      </c>
      <c r="AK74" s="186">
        <v>26530.09</v>
      </c>
      <c r="AL74" s="186">
        <v>11745.17</v>
      </c>
      <c r="AM74" s="186">
        <v>20539.52</v>
      </c>
      <c r="AN74" s="186">
        <v>777</v>
      </c>
      <c r="AO74" s="186">
        <v>711.32</v>
      </c>
      <c r="AP74" s="186">
        <v>28494.51</v>
      </c>
      <c r="AQ74" s="186">
        <v>30190.82</v>
      </c>
      <c r="AR74" s="186">
        <v>3782.5</v>
      </c>
      <c r="AS74" s="186">
        <v>14053.08</v>
      </c>
      <c r="AT74" s="186">
        <v>7170</v>
      </c>
      <c r="AU74" s="186">
        <v>8183</v>
      </c>
      <c r="AV74" s="186">
        <v>0</v>
      </c>
      <c r="AW74" s="186">
        <v>11183.39</v>
      </c>
      <c r="AX74" s="186">
        <v>1421</v>
      </c>
      <c r="AY74" s="186">
        <v>3170.5</v>
      </c>
      <c r="AZ74" s="186">
        <v>477</v>
      </c>
      <c r="BA74" s="186">
        <v>16606.5</v>
      </c>
      <c r="BB74" s="186">
        <v>11098.5</v>
      </c>
      <c r="BC74" s="186">
        <v>4303.5</v>
      </c>
      <c r="BD74" s="186">
        <v>18216.34</v>
      </c>
      <c r="BE74" s="186">
        <v>3349</v>
      </c>
      <c r="BF74" s="186">
        <v>1450.8</v>
      </c>
      <c r="BG74" s="186">
        <v>9114.08</v>
      </c>
      <c r="BH74" s="186">
        <v>3046.21</v>
      </c>
      <c r="BI74" s="186">
        <v>9472.85</v>
      </c>
      <c r="BJ74" s="186">
        <v>0</v>
      </c>
      <c r="BK74" s="186">
        <v>3621.61</v>
      </c>
      <c r="BL74" s="186">
        <v>0</v>
      </c>
      <c r="BM74" s="186">
        <v>0</v>
      </c>
      <c r="BN74" s="186">
        <v>1654</v>
      </c>
      <c r="BO74" s="186">
        <v>9563.5</v>
      </c>
      <c r="BP74" s="186">
        <v>5658.92</v>
      </c>
      <c r="BQ74" s="186">
        <v>0</v>
      </c>
      <c r="BR74" s="186">
        <v>0</v>
      </c>
      <c r="BS74" s="186">
        <v>0</v>
      </c>
      <c r="BT74" s="186">
        <v>0</v>
      </c>
      <c r="BU74" s="186">
        <v>1856.5</v>
      </c>
      <c r="BV74" s="186">
        <v>0</v>
      </c>
      <c r="BW74" s="186">
        <v>595.28</v>
      </c>
      <c r="BX74" s="186">
        <v>623</v>
      </c>
      <c r="BY74" s="186">
        <v>4957</v>
      </c>
      <c r="BZ74" s="186">
        <v>0</v>
      </c>
      <c r="CA74" s="186">
        <v>0</v>
      </c>
      <c r="CB74" s="186">
        <v>0</v>
      </c>
      <c r="CC74" s="186">
        <v>3435.5</v>
      </c>
      <c r="CD74" s="186">
        <v>3529</v>
      </c>
      <c r="CE74" s="186">
        <v>3350</v>
      </c>
      <c r="CF74" s="186">
        <v>1935.5</v>
      </c>
      <c r="CG74" s="186">
        <v>5029.68</v>
      </c>
      <c r="CH74" s="186">
        <v>3284.9</v>
      </c>
      <c r="CI74" s="186">
        <v>3755</v>
      </c>
      <c r="CJ74" s="186">
        <v>1884.5</v>
      </c>
      <c r="CK74" s="186">
        <v>3279</v>
      </c>
      <c r="CL74" s="186">
        <v>0</v>
      </c>
      <c r="CM74" s="186">
        <v>2023</v>
      </c>
      <c r="CN74" s="186">
        <v>0</v>
      </c>
      <c r="CO74" s="186">
        <v>2682</v>
      </c>
      <c r="CP74" s="186">
        <v>3665.5</v>
      </c>
      <c r="CQ74" s="186">
        <v>1509.5</v>
      </c>
      <c r="CR74" s="186">
        <v>8148.5</v>
      </c>
      <c r="CS74" s="186">
        <v>797.6</v>
      </c>
      <c r="CT74" s="186">
        <v>2693.9</v>
      </c>
      <c r="CU74" s="186">
        <v>1613</v>
      </c>
      <c r="CV74" s="186">
        <v>0</v>
      </c>
      <c r="CW74" s="186">
        <v>0</v>
      </c>
      <c r="CX74" s="186">
        <v>2350</v>
      </c>
      <c r="CY74" s="186">
        <v>8649.7999999999993</v>
      </c>
      <c r="CZ74" s="186">
        <v>3985.4</v>
      </c>
      <c r="DA74" s="186">
        <v>2617.7800000000002</v>
      </c>
      <c r="DB74" s="186">
        <v>1666</v>
      </c>
      <c r="DC74" s="194">
        <v>2574.5300000000002</v>
      </c>
    </row>
    <row r="75" spans="1:120">
      <c r="A75" s="174" t="s">
        <v>80</v>
      </c>
      <c r="B75" s="186">
        <v>491910.58999999997</v>
      </c>
      <c r="C75" s="186">
        <v>197928.17999999993</v>
      </c>
      <c r="D75" s="186">
        <v>202100.83000000002</v>
      </c>
      <c r="E75" s="186">
        <v>6946.630000000001</v>
      </c>
      <c r="F75" s="186">
        <v>2509.71</v>
      </c>
      <c r="G75" s="186">
        <v>6567.8</v>
      </c>
      <c r="H75" s="186">
        <v>310.89999999999998</v>
      </c>
      <c r="I75" s="186">
        <v>1000</v>
      </c>
      <c r="J75" s="186">
        <v>63159.62</v>
      </c>
      <c r="K75" s="186">
        <v>4784</v>
      </c>
      <c r="L75" s="186">
        <v>0</v>
      </c>
      <c r="M75" s="186">
        <v>0</v>
      </c>
      <c r="N75" s="186">
        <v>0</v>
      </c>
      <c r="O75" s="186">
        <v>0</v>
      </c>
      <c r="P75" s="186">
        <v>0</v>
      </c>
      <c r="Q75" s="186">
        <v>0</v>
      </c>
      <c r="R75" s="186">
        <v>223.92</v>
      </c>
      <c r="S75" s="186">
        <v>3827</v>
      </c>
      <c r="T75" s="186">
        <v>0</v>
      </c>
      <c r="U75" s="186">
        <v>0</v>
      </c>
      <c r="V75" s="186">
        <v>0</v>
      </c>
      <c r="W75" s="186">
        <v>0</v>
      </c>
      <c r="X75" s="186">
        <v>1046.8699999999999</v>
      </c>
      <c r="Y75" s="186">
        <v>0</v>
      </c>
      <c r="Z75" s="186">
        <v>1392.19</v>
      </c>
      <c r="AA75" s="186">
        <v>0</v>
      </c>
      <c r="AB75" s="186">
        <v>898.19</v>
      </c>
      <c r="AC75" s="186">
        <v>935.19</v>
      </c>
      <c r="AD75" s="186">
        <v>2674.19</v>
      </c>
      <c r="AE75" s="186">
        <v>0</v>
      </c>
      <c r="AF75" s="186">
        <v>1930</v>
      </c>
      <c r="AG75" s="186">
        <v>156271.1</v>
      </c>
      <c r="AH75" s="186">
        <v>26030</v>
      </c>
      <c r="AI75" s="186">
        <v>17869.73</v>
      </c>
      <c r="AJ75" s="186">
        <v>2552</v>
      </c>
      <c r="AK75" s="186">
        <v>1462.81</v>
      </c>
      <c r="AL75" s="186">
        <v>0</v>
      </c>
      <c r="AM75" s="186">
        <v>1046.9000000000001</v>
      </c>
      <c r="AN75" s="186">
        <v>0</v>
      </c>
      <c r="AO75" s="186">
        <v>0</v>
      </c>
      <c r="AP75" s="186">
        <v>316</v>
      </c>
      <c r="AQ75" s="186">
        <v>0</v>
      </c>
      <c r="AR75" s="186">
        <v>0</v>
      </c>
      <c r="AS75" s="186">
        <v>0</v>
      </c>
      <c r="AT75" s="186">
        <v>23604</v>
      </c>
      <c r="AU75" s="186">
        <v>10396</v>
      </c>
      <c r="AV75" s="186">
        <v>2700</v>
      </c>
      <c r="AW75" s="186">
        <v>12755.99</v>
      </c>
      <c r="AX75" s="186">
        <v>7562.79</v>
      </c>
      <c r="AY75" s="186">
        <v>14975.64</v>
      </c>
      <c r="AZ75" s="186">
        <v>0</v>
      </c>
      <c r="BA75" s="186">
        <v>1984.5</v>
      </c>
      <c r="BB75" s="186">
        <v>2905.47</v>
      </c>
      <c r="BC75" s="186">
        <v>90.2</v>
      </c>
      <c r="BD75" s="186">
        <v>16714.900000000001</v>
      </c>
      <c r="BE75" s="186">
        <v>2801.8</v>
      </c>
      <c r="BF75" s="186">
        <v>5920.5</v>
      </c>
      <c r="BG75" s="186">
        <v>1215.9000000000001</v>
      </c>
      <c r="BH75" s="186">
        <v>2655.81</v>
      </c>
      <c r="BI75" s="186">
        <v>0</v>
      </c>
      <c r="BJ75" s="186">
        <v>0</v>
      </c>
      <c r="BK75" s="186">
        <v>13150.7</v>
      </c>
      <c r="BL75" s="186">
        <v>0</v>
      </c>
      <c r="BM75" s="186">
        <v>0</v>
      </c>
      <c r="BN75" s="186">
        <v>12786</v>
      </c>
      <c r="BO75" s="186">
        <v>5951</v>
      </c>
      <c r="BP75" s="186">
        <v>3132.6</v>
      </c>
      <c r="BQ75" s="186">
        <v>3424.28</v>
      </c>
      <c r="BR75" s="186">
        <v>0</v>
      </c>
      <c r="BS75" s="186">
        <v>0</v>
      </c>
      <c r="BT75" s="186">
        <v>0</v>
      </c>
      <c r="BU75" s="186">
        <v>620.29999999999995</v>
      </c>
      <c r="BV75" s="186">
        <v>767.5</v>
      </c>
      <c r="BW75" s="186">
        <v>150</v>
      </c>
      <c r="BX75" s="186">
        <v>537.46</v>
      </c>
      <c r="BY75" s="186">
        <v>9219</v>
      </c>
      <c r="BZ75" s="186">
        <v>0</v>
      </c>
      <c r="CA75" s="186">
        <v>0</v>
      </c>
      <c r="CB75" s="186">
        <v>0</v>
      </c>
      <c r="CC75" s="186">
        <v>3918.3</v>
      </c>
      <c r="CD75" s="186">
        <v>0</v>
      </c>
      <c r="CE75" s="186">
        <v>2059.6999999999998</v>
      </c>
      <c r="CF75" s="186">
        <v>1179.7</v>
      </c>
      <c r="CG75" s="186">
        <v>1334</v>
      </c>
      <c r="CH75" s="186">
        <v>293.97000000000003</v>
      </c>
      <c r="CI75" s="186">
        <v>540.29999999999995</v>
      </c>
      <c r="CJ75" s="186">
        <v>0</v>
      </c>
      <c r="CK75" s="186">
        <v>0</v>
      </c>
      <c r="CL75" s="186">
        <v>0</v>
      </c>
      <c r="CM75" s="186">
        <v>0</v>
      </c>
      <c r="CN75" s="186">
        <v>0</v>
      </c>
      <c r="CO75" s="186">
        <v>3379.3</v>
      </c>
      <c r="CP75" s="186">
        <v>1526.9</v>
      </c>
      <c r="CQ75" s="186">
        <v>452.9</v>
      </c>
      <c r="CR75" s="186">
        <v>4998.8999999999996</v>
      </c>
      <c r="CS75" s="186">
        <v>1178.68</v>
      </c>
      <c r="CT75" s="186">
        <v>0</v>
      </c>
      <c r="CU75" s="186">
        <v>3400.65</v>
      </c>
      <c r="CV75" s="186">
        <v>0</v>
      </c>
      <c r="CW75" s="186">
        <v>5913.9</v>
      </c>
      <c r="CX75" s="186">
        <v>123</v>
      </c>
      <c r="CY75" s="186">
        <v>0</v>
      </c>
      <c r="CZ75" s="186">
        <v>4304</v>
      </c>
      <c r="DA75" s="186">
        <v>2334.13</v>
      </c>
      <c r="DB75" s="186">
        <v>0</v>
      </c>
      <c r="DC75" s="194">
        <v>4651.51</v>
      </c>
    </row>
    <row r="76" spans="1:120">
      <c r="A76" s="174" t="s">
        <v>81</v>
      </c>
      <c r="B76" s="186">
        <v>144195.46</v>
      </c>
      <c r="C76" s="186">
        <v>69619.45</v>
      </c>
      <c r="D76" s="186">
        <v>52170</v>
      </c>
      <c r="E76" s="186">
        <v>480</v>
      </c>
      <c r="F76" s="186">
        <v>0</v>
      </c>
      <c r="G76" s="186">
        <v>0</v>
      </c>
      <c r="H76" s="186">
        <v>0</v>
      </c>
      <c r="I76" s="186">
        <v>0</v>
      </c>
      <c r="J76" s="186">
        <v>3430</v>
      </c>
      <c r="K76" s="186">
        <v>4670.37</v>
      </c>
      <c r="L76" s="186">
        <v>0</v>
      </c>
      <c r="M76" s="186">
        <v>0</v>
      </c>
      <c r="N76" s="186">
        <v>0</v>
      </c>
      <c r="O76" s="186">
        <v>0</v>
      </c>
      <c r="P76" s="186">
        <v>0</v>
      </c>
      <c r="Q76" s="186">
        <v>0</v>
      </c>
      <c r="R76" s="186">
        <v>0</v>
      </c>
      <c r="S76" s="186">
        <v>0</v>
      </c>
      <c r="T76" s="186">
        <v>0</v>
      </c>
      <c r="U76" s="186">
        <v>13825.64</v>
      </c>
      <c r="V76" s="186">
        <v>0</v>
      </c>
      <c r="W76" s="186">
        <v>0</v>
      </c>
      <c r="X76" s="186">
        <v>0</v>
      </c>
      <c r="Y76" s="186">
        <v>0</v>
      </c>
      <c r="Z76" s="186">
        <v>480</v>
      </c>
      <c r="AA76" s="186">
        <v>0</v>
      </c>
      <c r="AB76" s="186">
        <v>0</v>
      </c>
      <c r="AC76" s="186">
        <v>0</v>
      </c>
      <c r="AD76" s="186">
        <v>0</v>
      </c>
      <c r="AE76" s="186">
        <v>0</v>
      </c>
      <c r="AF76" s="186">
        <v>0</v>
      </c>
      <c r="AG76" s="186">
        <v>42121</v>
      </c>
      <c r="AH76" s="186">
        <v>9410</v>
      </c>
      <c r="AI76" s="186">
        <v>639</v>
      </c>
      <c r="AJ76" s="186">
        <v>0</v>
      </c>
      <c r="AK76" s="186">
        <v>0</v>
      </c>
      <c r="AL76" s="186">
        <v>0</v>
      </c>
      <c r="AM76" s="186">
        <v>0</v>
      </c>
      <c r="AN76" s="186">
        <v>0</v>
      </c>
      <c r="AO76" s="186">
        <v>0</v>
      </c>
      <c r="AP76" s="186">
        <v>750</v>
      </c>
      <c r="AQ76" s="186">
        <v>0</v>
      </c>
      <c r="AR76" s="186">
        <v>0</v>
      </c>
      <c r="AS76" s="186">
        <v>0</v>
      </c>
      <c r="AT76" s="186">
        <v>0</v>
      </c>
      <c r="AU76" s="186">
        <v>0</v>
      </c>
      <c r="AV76" s="186">
        <v>2495</v>
      </c>
      <c r="AW76" s="186">
        <v>3085.47</v>
      </c>
      <c r="AX76" s="186">
        <v>3573.5</v>
      </c>
      <c r="AY76" s="186">
        <v>780.6</v>
      </c>
      <c r="AZ76" s="186">
        <v>0</v>
      </c>
      <c r="BA76" s="186">
        <v>9295</v>
      </c>
      <c r="BB76" s="186">
        <v>4791.5599999999995</v>
      </c>
      <c r="BC76" s="186">
        <v>1778.42</v>
      </c>
      <c r="BD76" s="186">
        <v>358.37</v>
      </c>
      <c r="BE76" s="186">
        <v>0</v>
      </c>
      <c r="BF76" s="186">
        <v>400</v>
      </c>
      <c r="BG76" s="186">
        <v>0</v>
      </c>
      <c r="BH76" s="186">
        <v>3742.92</v>
      </c>
      <c r="BI76" s="186">
        <v>0</v>
      </c>
      <c r="BJ76" s="186">
        <v>0</v>
      </c>
      <c r="BK76" s="186">
        <v>1691</v>
      </c>
      <c r="BL76" s="186">
        <v>0</v>
      </c>
      <c r="BM76" s="186">
        <v>0</v>
      </c>
      <c r="BN76" s="186">
        <v>0</v>
      </c>
      <c r="BO76" s="186">
        <v>2347.52</v>
      </c>
      <c r="BP76" s="186">
        <v>0</v>
      </c>
      <c r="BQ76" s="186">
        <v>0</v>
      </c>
      <c r="BR76" s="186">
        <v>0</v>
      </c>
      <c r="BS76" s="186">
        <v>0</v>
      </c>
      <c r="BT76" s="186">
        <v>0</v>
      </c>
      <c r="BU76" s="186">
        <v>1059.5</v>
      </c>
      <c r="BV76" s="186">
        <v>0</v>
      </c>
      <c r="BW76" s="186">
        <v>1082.05</v>
      </c>
      <c r="BX76" s="186">
        <v>190</v>
      </c>
      <c r="BY76" s="186">
        <v>10163</v>
      </c>
      <c r="BZ76" s="186">
        <v>0</v>
      </c>
      <c r="CA76" s="186">
        <v>0</v>
      </c>
      <c r="CB76" s="186">
        <v>0</v>
      </c>
      <c r="CC76" s="186">
        <v>0</v>
      </c>
      <c r="CD76" s="186">
        <v>335.24</v>
      </c>
      <c r="CE76" s="186">
        <v>2023.6</v>
      </c>
      <c r="CF76" s="186">
        <v>0</v>
      </c>
      <c r="CG76" s="186">
        <v>0</v>
      </c>
      <c r="CH76" s="186">
        <v>0</v>
      </c>
      <c r="CI76" s="186">
        <v>6538.5</v>
      </c>
      <c r="CJ76" s="186">
        <v>0</v>
      </c>
      <c r="CK76" s="186">
        <v>0</v>
      </c>
      <c r="CL76" s="186">
        <v>0</v>
      </c>
      <c r="CM76" s="186">
        <v>0</v>
      </c>
      <c r="CN76" s="186">
        <v>0</v>
      </c>
      <c r="CO76" s="186">
        <v>0</v>
      </c>
      <c r="CP76" s="186">
        <v>2399.4</v>
      </c>
      <c r="CQ76" s="186">
        <v>1000</v>
      </c>
      <c r="CR76" s="186">
        <v>0</v>
      </c>
      <c r="CS76" s="186">
        <v>0</v>
      </c>
      <c r="CT76" s="186">
        <v>2646.8</v>
      </c>
      <c r="CU76" s="186">
        <v>1894</v>
      </c>
      <c r="CV76" s="186">
        <v>0</v>
      </c>
      <c r="CW76" s="186">
        <v>1600</v>
      </c>
      <c r="CX76" s="186">
        <v>0</v>
      </c>
      <c r="CY76" s="186">
        <v>368</v>
      </c>
      <c r="CZ76" s="186">
        <v>1730</v>
      </c>
      <c r="DA76" s="186">
        <v>1500</v>
      </c>
      <c r="DB76" s="186">
        <v>0</v>
      </c>
      <c r="DC76" s="194">
        <v>0</v>
      </c>
    </row>
    <row r="77" spans="1:120">
      <c r="A77" s="174" t="s">
        <v>84</v>
      </c>
      <c r="B77" s="186">
        <v>193295.30000000002</v>
      </c>
      <c r="C77" s="186">
        <v>59443.540000000008</v>
      </c>
      <c r="D77" s="186">
        <v>3800</v>
      </c>
      <c r="E77" s="186">
        <v>0</v>
      </c>
      <c r="F77" s="186">
        <v>0</v>
      </c>
      <c r="G77" s="186">
        <v>0</v>
      </c>
      <c r="H77" s="186">
        <v>110968.94</v>
      </c>
      <c r="I77" s="186">
        <v>17572.82</v>
      </c>
      <c r="J77" s="186">
        <v>1510</v>
      </c>
      <c r="K77" s="186">
        <v>0</v>
      </c>
      <c r="L77" s="186">
        <v>0</v>
      </c>
      <c r="M77" s="186">
        <v>0</v>
      </c>
      <c r="N77" s="186">
        <v>0</v>
      </c>
      <c r="O77" s="186">
        <v>0</v>
      </c>
      <c r="P77" s="186">
        <v>0</v>
      </c>
      <c r="Q77" s="186">
        <v>0</v>
      </c>
      <c r="R77" s="186">
        <v>0</v>
      </c>
      <c r="S77" s="186">
        <v>0</v>
      </c>
      <c r="T77" s="186">
        <v>0</v>
      </c>
      <c r="U77" s="186">
        <v>0</v>
      </c>
      <c r="V77" s="186">
        <v>0</v>
      </c>
      <c r="W77" s="186">
        <v>0</v>
      </c>
      <c r="X77" s="186">
        <v>0</v>
      </c>
      <c r="Y77" s="186">
        <v>0</v>
      </c>
      <c r="Z77" s="186">
        <v>0</v>
      </c>
      <c r="AA77" s="186">
        <v>0</v>
      </c>
      <c r="AB77" s="186">
        <v>0</v>
      </c>
      <c r="AC77" s="186">
        <v>0</v>
      </c>
      <c r="AD77" s="186">
        <v>0</v>
      </c>
      <c r="AE77" s="186">
        <v>0</v>
      </c>
      <c r="AF77" s="186">
        <v>3800</v>
      </c>
      <c r="AG77" s="186">
        <v>0</v>
      </c>
      <c r="AH77" s="186">
        <v>0</v>
      </c>
      <c r="AI77" s="186">
        <v>0</v>
      </c>
      <c r="AJ77" s="186">
        <v>0</v>
      </c>
      <c r="AK77" s="186">
        <v>0</v>
      </c>
      <c r="AL77" s="186">
        <v>0</v>
      </c>
      <c r="AM77" s="186">
        <v>0</v>
      </c>
      <c r="AN77" s="186">
        <v>0</v>
      </c>
      <c r="AO77" s="186">
        <v>0</v>
      </c>
      <c r="AP77" s="186">
        <v>0</v>
      </c>
      <c r="AQ77" s="186">
        <v>0</v>
      </c>
      <c r="AR77" s="186">
        <v>0</v>
      </c>
      <c r="AS77" s="186">
        <v>0</v>
      </c>
      <c r="AT77" s="186">
        <v>0</v>
      </c>
      <c r="AU77" s="186">
        <v>0</v>
      </c>
      <c r="AV77" s="186">
        <v>0</v>
      </c>
      <c r="AW77" s="186">
        <v>14532.04</v>
      </c>
      <c r="AX77" s="186">
        <v>0</v>
      </c>
      <c r="AY77" s="186">
        <v>0</v>
      </c>
      <c r="AZ77" s="186">
        <v>0</v>
      </c>
      <c r="BA77" s="186">
        <v>0</v>
      </c>
      <c r="BB77" s="186">
        <v>0</v>
      </c>
      <c r="BC77" s="186">
        <v>0</v>
      </c>
      <c r="BD77" s="186">
        <v>3350</v>
      </c>
      <c r="BE77" s="186">
        <v>5631.07</v>
      </c>
      <c r="BF77" s="186">
        <v>0</v>
      </c>
      <c r="BG77" s="186">
        <v>0</v>
      </c>
      <c r="BH77" s="186">
        <v>0</v>
      </c>
      <c r="BI77" s="186">
        <v>0</v>
      </c>
      <c r="BJ77" s="186">
        <v>0</v>
      </c>
      <c r="BK77" s="186">
        <v>6833.4</v>
      </c>
      <c r="BL77" s="186">
        <v>0</v>
      </c>
      <c r="BM77" s="186">
        <v>0</v>
      </c>
      <c r="BN77" s="186">
        <v>0</v>
      </c>
      <c r="BO77" s="186">
        <v>0</v>
      </c>
      <c r="BP77" s="186">
        <v>0</v>
      </c>
      <c r="BQ77" s="186">
        <v>240</v>
      </c>
      <c r="BR77" s="186">
        <v>2333.33</v>
      </c>
      <c r="BS77" s="186">
        <v>0</v>
      </c>
      <c r="BT77" s="186">
        <v>0</v>
      </c>
      <c r="BU77" s="186">
        <v>0</v>
      </c>
      <c r="BV77" s="186">
        <v>-188.3</v>
      </c>
      <c r="BW77" s="186">
        <v>0</v>
      </c>
      <c r="BX77" s="186">
        <v>0</v>
      </c>
      <c r="BY77" s="186">
        <v>0</v>
      </c>
      <c r="BZ77" s="186">
        <v>0</v>
      </c>
      <c r="CA77" s="186">
        <v>0</v>
      </c>
      <c r="CB77" s="186">
        <v>0</v>
      </c>
      <c r="CC77" s="186">
        <v>0</v>
      </c>
      <c r="CD77" s="186">
        <v>3519</v>
      </c>
      <c r="CE77" s="186">
        <v>0</v>
      </c>
      <c r="CF77" s="186">
        <v>4041</v>
      </c>
      <c r="CG77" s="186">
        <v>0</v>
      </c>
      <c r="CH77" s="186">
        <v>0</v>
      </c>
      <c r="CI77" s="186">
        <v>9181</v>
      </c>
      <c r="CJ77" s="186">
        <v>0</v>
      </c>
      <c r="CK77" s="186">
        <v>300</v>
      </c>
      <c r="CL77" s="186">
        <v>0</v>
      </c>
      <c r="CM77" s="186">
        <v>0</v>
      </c>
      <c r="CN77" s="186">
        <v>0</v>
      </c>
      <c r="CO77" s="186">
        <v>0</v>
      </c>
      <c r="CP77" s="186">
        <v>0</v>
      </c>
      <c r="CQ77" s="186">
        <v>0</v>
      </c>
      <c r="CR77" s="186">
        <v>0</v>
      </c>
      <c r="CS77" s="186">
        <v>0</v>
      </c>
      <c r="CT77" s="186">
        <v>0</v>
      </c>
      <c r="CU77" s="186">
        <v>340</v>
      </c>
      <c r="CV77" s="186">
        <v>0</v>
      </c>
      <c r="CW77" s="186">
        <v>0</v>
      </c>
      <c r="CX77" s="186">
        <v>0</v>
      </c>
      <c r="CY77" s="186">
        <v>779</v>
      </c>
      <c r="CZ77" s="186">
        <v>2000</v>
      </c>
      <c r="DA77" s="186">
        <v>0</v>
      </c>
      <c r="DB77" s="186">
        <v>0</v>
      </c>
      <c r="DC77" s="194">
        <v>6552</v>
      </c>
    </row>
    <row r="78" spans="1:120">
      <c r="A78" s="174" t="s">
        <v>86</v>
      </c>
      <c r="B78" s="186">
        <v>-185547.17</v>
      </c>
      <c r="C78" s="186">
        <v>3698.11</v>
      </c>
      <c r="D78" s="186">
        <v>0</v>
      </c>
      <c r="E78" s="186">
        <v>-260000</v>
      </c>
      <c r="F78" s="186">
        <v>70754.720000000001</v>
      </c>
      <c r="G78" s="186">
        <v>0</v>
      </c>
      <c r="H78" s="186">
        <v>0</v>
      </c>
      <c r="I78" s="186">
        <v>0</v>
      </c>
      <c r="J78" s="186">
        <v>0</v>
      </c>
      <c r="K78" s="186">
        <v>0</v>
      </c>
      <c r="L78" s="186">
        <v>0</v>
      </c>
      <c r="M78" s="186">
        <v>0</v>
      </c>
      <c r="N78" s="186">
        <v>0</v>
      </c>
      <c r="O78" s="186">
        <v>0</v>
      </c>
      <c r="P78" s="186">
        <v>0</v>
      </c>
      <c r="Q78" s="186">
        <v>0</v>
      </c>
      <c r="R78" s="186">
        <v>0</v>
      </c>
      <c r="S78" s="186">
        <v>0</v>
      </c>
      <c r="T78" s="186">
        <v>0</v>
      </c>
      <c r="U78" s="186">
        <v>0</v>
      </c>
      <c r="V78" s="186">
        <v>0</v>
      </c>
      <c r="W78" s="186">
        <v>0</v>
      </c>
      <c r="X78" s="186">
        <v>0</v>
      </c>
      <c r="Y78" s="186">
        <v>0</v>
      </c>
      <c r="Z78" s="186">
        <v>-260000</v>
      </c>
      <c r="AA78" s="186">
        <v>0</v>
      </c>
      <c r="AB78" s="186">
        <v>0</v>
      </c>
      <c r="AC78" s="186">
        <v>0</v>
      </c>
      <c r="AD78" s="186">
        <v>0</v>
      </c>
      <c r="AE78" s="186">
        <v>0</v>
      </c>
      <c r="AF78" s="186">
        <v>0</v>
      </c>
      <c r="AG78" s="186">
        <v>0</v>
      </c>
      <c r="AH78" s="186">
        <v>0</v>
      </c>
      <c r="AI78" s="186">
        <v>0</v>
      </c>
      <c r="AJ78" s="186">
        <v>0</v>
      </c>
      <c r="AK78" s="186">
        <v>70754.720000000001</v>
      </c>
      <c r="AL78" s="186">
        <v>0</v>
      </c>
      <c r="AM78" s="186">
        <v>0</v>
      </c>
      <c r="AN78" s="186">
        <v>0</v>
      </c>
      <c r="AO78" s="186">
        <v>3698.11</v>
      </c>
      <c r="AP78" s="186">
        <v>0</v>
      </c>
      <c r="AQ78" s="186">
        <v>0</v>
      </c>
      <c r="AR78" s="186">
        <v>0</v>
      </c>
      <c r="AS78" s="186">
        <v>0</v>
      </c>
      <c r="AT78" s="186">
        <v>0</v>
      </c>
      <c r="AU78" s="186">
        <v>0</v>
      </c>
      <c r="AV78" s="186">
        <v>0</v>
      </c>
      <c r="AW78" s="186">
        <v>0</v>
      </c>
      <c r="AX78" s="186">
        <v>0</v>
      </c>
      <c r="AY78" s="186">
        <v>0</v>
      </c>
      <c r="AZ78" s="186">
        <v>0</v>
      </c>
      <c r="BA78" s="186">
        <v>0</v>
      </c>
      <c r="BB78" s="186">
        <v>0</v>
      </c>
      <c r="BC78" s="186">
        <v>0</v>
      </c>
      <c r="BD78" s="186">
        <v>0</v>
      </c>
      <c r="BE78" s="186">
        <v>0</v>
      </c>
      <c r="BF78" s="186">
        <v>0</v>
      </c>
      <c r="BG78" s="186">
        <v>0</v>
      </c>
      <c r="BH78" s="186">
        <v>0</v>
      </c>
      <c r="BI78" s="186">
        <v>0</v>
      </c>
      <c r="BJ78" s="186">
        <v>0</v>
      </c>
      <c r="BK78" s="186">
        <v>0</v>
      </c>
      <c r="BL78" s="186">
        <v>0</v>
      </c>
      <c r="BM78" s="186">
        <v>0</v>
      </c>
      <c r="BN78" s="186">
        <v>0</v>
      </c>
      <c r="BO78" s="186">
        <v>0</v>
      </c>
      <c r="BP78" s="186">
        <v>0</v>
      </c>
      <c r="BQ78" s="186">
        <v>0</v>
      </c>
      <c r="BR78" s="186">
        <v>0</v>
      </c>
      <c r="BS78" s="186">
        <v>0</v>
      </c>
      <c r="BT78" s="186">
        <v>0</v>
      </c>
      <c r="BU78" s="186">
        <v>0</v>
      </c>
      <c r="BV78" s="186">
        <v>0</v>
      </c>
      <c r="BW78" s="186">
        <v>0</v>
      </c>
      <c r="BX78" s="186">
        <v>0</v>
      </c>
      <c r="BY78" s="186">
        <v>0</v>
      </c>
      <c r="BZ78" s="186">
        <v>0</v>
      </c>
      <c r="CA78" s="186">
        <v>0</v>
      </c>
      <c r="CB78" s="186">
        <v>0</v>
      </c>
      <c r="CC78" s="186">
        <v>0</v>
      </c>
      <c r="CD78" s="186">
        <v>0</v>
      </c>
      <c r="CE78" s="186">
        <v>0</v>
      </c>
      <c r="CF78" s="186">
        <v>0</v>
      </c>
      <c r="CG78" s="186">
        <v>0</v>
      </c>
      <c r="CH78" s="186">
        <v>0</v>
      </c>
      <c r="CI78" s="186">
        <v>0</v>
      </c>
      <c r="CJ78" s="186">
        <v>0</v>
      </c>
      <c r="CK78" s="186">
        <v>0</v>
      </c>
      <c r="CL78" s="186">
        <v>0</v>
      </c>
      <c r="CM78" s="186">
        <v>0</v>
      </c>
      <c r="CN78" s="186">
        <v>0</v>
      </c>
      <c r="CO78" s="186">
        <v>0</v>
      </c>
      <c r="CP78" s="186">
        <v>0</v>
      </c>
      <c r="CQ78" s="186">
        <v>0</v>
      </c>
      <c r="CR78" s="186">
        <v>0</v>
      </c>
      <c r="CS78" s="186">
        <v>0</v>
      </c>
      <c r="CT78" s="186">
        <v>0</v>
      </c>
      <c r="CU78" s="186">
        <v>0</v>
      </c>
      <c r="CV78" s="186">
        <v>0</v>
      </c>
      <c r="CW78" s="186">
        <v>0</v>
      </c>
      <c r="CX78" s="186">
        <v>0</v>
      </c>
      <c r="CY78" s="186">
        <v>0</v>
      </c>
      <c r="CZ78" s="186">
        <v>0</v>
      </c>
      <c r="DA78" s="186">
        <v>0</v>
      </c>
      <c r="DB78" s="186">
        <v>0</v>
      </c>
      <c r="DC78" s="194">
        <v>0</v>
      </c>
    </row>
    <row r="79" spans="1:120">
      <c r="A79" s="174" t="s">
        <v>88</v>
      </c>
      <c r="B79" s="186">
        <v>423036.13999999996</v>
      </c>
      <c r="C79" s="186">
        <v>116177.12999999999</v>
      </c>
      <c r="D79" s="186">
        <v>0</v>
      </c>
      <c r="E79" s="186">
        <v>0</v>
      </c>
      <c r="F79" s="186">
        <v>0</v>
      </c>
      <c r="G79" s="186">
        <v>0</v>
      </c>
      <c r="H79" s="186">
        <v>0</v>
      </c>
      <c r="I79" s="186">
        <v>0</v>
      </c>
      <c r="J79" s="186">
        <v>229932.59</v>
      </c>
      <c r="K79" s="186">
        <v>0</v>
      </c>
      <c r="L79" s="186">
        <v>0</v>
      </c>
      <c r="M79" s="186">
        <v>0</v>
      </c>
      <c r="N79" s="186">
        <v>0</v>
      </c>
      <c r="O79" s="186">
        <v>70226.42</v>
      </c>
      <c r="P79" s="186">
        <v>0</v>
      </c>
      <c r="Q79" s="186">
        <v>0</v>
      </c>
      <c r="R79" s="186">
        <v>0</v>
      </c>
      <c r="S79" s="186">
        <v>6700</v>
      </c>
      <c r="T79" s="186">
        <v>0</v>
      </c>
      <c r="U79" s="186">
        <v>0</v>
      </c>
      <c r="V79" s="186">
        <v>0</v>
      </c>
      <c r="W79" s="186">
        <v>0</v>
      </c>
      <c r="X79" s="186">
        <v>0</v>
      </c>
      <c r="Y79" s="186">
        <v>0</v>
      </c>
      <c r="Z79" s="186">
        <v>0</v>
      </c>
      <c r="AA79" s="186">
        <v>0</v>
      </c>
      <c r="AB79" s="186">
        <v>0</v>
      </c>
      <c r="AC79" s="186">
        <v>0</v>
      </c>
      <c r="AD79" s="186">
        <v>0</v>
      </c>
      <c r="AE79" s="186">
        <v>0</v>
      </c>
      <c r="AF79" s="186">
        <v>0</v>
      </c>
      <c r="AG79" s="186">
        <v>0</v>
      </c>
      <c r="AH79" s="186">
        <v>0</v>
      </c>
      <c r="AI79" s="186">
        <v>0</v>
      </c>
      <c r="AJ79" s="186">
        <v>0</v>
      </c>
      <c r="AK79" s="186">
        <v>0</v>
      </c>
      <c r="AL79" s="186">
        <v>0</v>
      </c>
      <c r="AM79" s="186">
        <v>0</v>
      </c>
      <c r="AN79" s="186">
        <v>0</v>
      </c>
      <c r="AO79" s="186">
        <v>88448.51</v>
      </c>
      <c r="AP79" s="186">
        <v>0</v>
      </c>
      <c r="AQ79" s="186">
        <v>0</v>
      </c>
      <c r="AR79" s="186">
        <v>0</v>
      </c>
      <c r="AS79" s="186">
        <v>21879.56</v>
      </c>
      <c r="AT79" s="186">
        <v>0</v>
      </c>
      <c r="AU79" s="186">
        <v>0</v>
      </c>
      <c r="AV79" s="186">
        <v>5849.06</v>
      </c>
      <c r="AW79" s="186">
        <v>0</v>
      </c>
      <c r="AX79" s="186">
        <v>0</v>
      </c>
      <c r="AY79" s="186">
        <v>0</v>
      </c>
      <c r="AZ79" s="186">
        <v>0</v>
      </c>
      <c r="BA79" s="186">
        <v>0</v>
      </c>
      <c r="BB79" s="186">
        <v>0</v>
      </c>
      <c r="BC79" s="186">
        <v>0</v>
      </c>
      <c r="BD79" s="186">
        <v>0</v>
      </c>
      <c r="BE79" s="186">
        <v>0</v>
      </c>
      <c r="BF79" s="186">
        <v>0</v>
      </c>
      <c r="BG79" s="186">
        <v>0</v>
      </c>
      <c r="BH79" s="186">
        <v>0</v>
      </c>
      <c r="BI79" s="186">
        <v>0</v>
      </c>
      <c r="BJ79" s="186">
        <v>0</v>
      </c>
      <c r="BK79" s="186">
        <v>0</v>
      </c>
      <c r="BL79" s="186">
        <v>0</v>
      </c>
      <c r="BM79" s="186">
        <v>0</v>
      </c>
      <c r="BN79" s="186">
        <v>0</v>
      </c>
      <c r="BO79" s="186">
        <v>0</v>
      </c>
      <c r="BP79" s="186">
        <v>0</v>
      </c>
      <c r="BQ79" s="186">
        <v>0</v>
      </c>
      <c r="BR79" s="186">
        <v>0</v>
      </c>
      <c r="BS79" s="186">
        <v>0</v>
      </c>
      <c r="BT79" s="186">
        <v>0</v>
      </c>
      <c r="BU79" s="186">
        <v>0</v>
      </c>
      <c r="BV79" s="186">
        <v>0</v>
      </c>
      <c r="BW79" s="186">
        <v>0</v>
      </c>
      <c r="BX79" s="186">
        <v>0</v>
      </c>
      <c r="BY79" s="186">
        <v>0</v>
      </c>
      <c r="BZ79" s="186">
        <v>0</v>
      </c>
      <c r="CA79" s="186">
        <v>0</v>
      </c>
      <c r="CB79" s="186">
        <v>0</v>
      </c>
      <c r="CC79" s="186">
        <v>0</v>
      </c>
      <c r="CD79" s="186">
        <v>0</v>
      </c>
      <c r="CE79" s="186">
        <v>0</v>
      </c>
      <c r="CF79" s="186">
        <v>0</v>
      </c>
      <c r="CG79" s="186">
        <v>0</v>
      </c>
      <c r="CH79" s="186">
        <v>0</v>
      </c>
      <c r="CI79" s="186">
        <v>0</v>
      </c>
      <c r="CJ79" s="186">
        <v>0</v>
      </c>
      <c r="CK79" s="186">
        <v>0</v>
      </c>
      <c r="CL79" s="186">
        <v>0</v>
      </c>
      <c r="CM79" s="186">
        <v>0</v>
      </c>
      <c r="CN79" s="186">
        <v>0</v>
      </c>
      <c r="CO79" s="186">
        <v>0</v>
      </c>
      <c r="CP79" s="186">
        <v>0</v>
      </c>
      <c r="CQ79" s="186">
        <v>0</v>
      </c>
      <c r="CR79" s="186">
        <v>0</v>
      </c>
      <c r="CS79" s="186">
        <v>0</v>
      </c>
      <c r="CT79" s="186">
        <v>0</v>
      </c>
      <c r="CU79" s="186">
        <v>0</v>
      </c>
      <c r="CV79" s="186">
        <v>0</v>
      </c>
      <c r="CW79" s="186">
        <v>0</v>
      </c>
      <c r="CX79" s="186">
        <v>0</v>
      </c>
      <c r="CY79" s="186">
        <v>0</v>
      </c>
      <c r="CZ79" s="186">
        <v>0</v>
      </c>
      <c r="DA79" s="186">
        <v>0</v>
      </c>
      <c r="DB79" s="186">
        <v>0</v>
      </c>
      <c r="DC79" s="194">
        <v>0</v>
      </c>
    </row>
    <row r="80" spans="1:120">
      <c r="A80" s="174" t="s">
        <v>89</v>
      </c>
      <c r="B80" s="186">
        <v>28047.93</v>
      </c>
      <c r="C80" s="186">
        <v>7703.19</v>
      </c>
      <c r="D80" s="186">
        <v>20296.740000000002</v>
      </c>
      <c r="E80" s="186">
        <v>0</v>
      </c>
      <c r="F80" s="186">
        <v>0</v>
      </c>
      <c r="G80" s="186">
        <v>0</v>
      </c>
      <c r="H80" s="186">
        <v>0</v>
      </c>
      <c r="I80" s="186">
        <v>0</v>
      </c>
      <c r="J80" s="186">
        <v>0</v>
      </c>
      <c r="K80" s="186">
        <v>0</v>
      </c>
      <c r="L80" s="186">
        <v>48</v>
      </c>
      <c r="M80" s="186">
        <v>0</v>
      </c>
      <c r="N80" s="186">
        <v>0</v>
      </c>
      <c r="O80" s="186">
        <v>0</v>
      </c>
      <c r="P80" s="186">
        <v>0</v>
      </c>
      <c r="Q80" s="186">
        <v>0</v>
      </c>
      <c r="R80" s="186">
        <v>0</v>
      </c>
      <c r="S80" s="186">
        <v>0</v>
      </c>
      <c r="T80" s="186">
        <v>0</v>
      </c>
      <c r="U80" s="186">
        <v>0</v>
      </c>
      <c r="V80" s="186">
        <v>0</v>
      </c>
      <c r="W80" s="186">
        <v>0</v>
      </c>
      <c r="X80" s="186">
        <v>0</v>
      </c>
      <c r="Y80" s="186">
        <v>0</v>
      </c>
      <c r="Z80" s="186">
        <v>0</v>
      </c>
      <c r="AA80" s="186">
        <v>0</v>
      </c>
      <c r="AB80" s="186">
        <v>0</v>
      </c>
      <c r="AC80" s="186">
        <v>0</v>
      </c>
      <c r="AD80" s="186">
        <v>0</v>
      </c>
      <c r="AE80" s="186">
        <v>0</v>
      </c>
      <c r="AF80" s="186">
        <v>0</v>
      </c>
      <c r="AG80" s="186">
        <v>17316.580000000002</v>
      </c>
      <c r="AH80" s="186">
        <v>1152</v>
      </c>
      <c r="AI80" s="186">
        <v>1828.16</v>
      </c>
      <c r="AJ80" s="186">
        <v>0</v>
      </c>
      <c r="AK80" s="186">
        <v>0</v>
      </c>
      <c r="AL80" s="186">
        <v>0</v>
      </c>
      <c r="AM80" s="186">
        <v>0</v>
      </c>
      <c r="AN80" s="186">
        <v>0</v>
      </c>
      <c r="AO80" s="186">
        <v>0</v>
      </c>
      <c r="AP80" s="186">
        <v>0</v>
      </c>
      <c r="AQ80" s="186">
        <v>0</v>
      </c>
      <c r="AR80" s="186">
        <v>0</v>
      </c>
      <c r="AS80" s="186">
        <v>0</v>
      </c>
      <c r="AT80" s="186">
        <v>0</v>
      </c>
      <c r="AU80" s="186">
        <v>120</v>
      </c>
      <c r="AV80" s="186">
        <v>0</v>
      </c>
      <c r="AW80" s="186">
        <v>0</v>
      </c>
      <c r="AX80" s="186">
        <v>0</v>
      </c>
      <c r="AY80" s="186">
        <v>2000</v>
      </c>
      <c r="AZ80" s="186">
        <v>150</v>
      </c>
      <c r="BA80" s="186">
        <v>0</v>
      </c>
      <c r="BB80" s="186">
        <v>0</v>
      </c>
      <c r="BC80" s="186">
        <v>0</v>
      </c>
      <c r="BD80" s="186">
        <v>2489.3200000000002</v>
      </c>
      <c r="BE80" s="186">
        <v>0</v>
      </c>
      <c r="BF80" s="186">
        <v>0</v>
      </c>
      <c r="BG80" s="186">
        <v>0</v>
      </c>
      <c r="BH80" s="186">
        <v>0</v>
      </c>
      <c r="BI80" s="186">
        <v>0</v>
      </c>
      <c r="BJ80" s="186">
        <v>0</v>
      </c>
      <c r="BK80" s="186">
        <v>0</v>
      </c>
      <c r="BL80" s="186">
        <v>0</v>
      </c>
      <c r="BM80" s="186">
        <v>0</v>
      </c>
      <c r="BN80" s="186">
        <v>970.87</v>
      </c>
      <c r="BO80" s="186">
        <v>0</v>
      </c>
      <c r="BP80" s="186">
        <v>0</v>
      </c>
      <c r="BQ80" s="186">
        <v>0</v>
      </c>
      <c r="BR80" s="186">
        <v>0</v>
      </c>
      <c r="BS80" s="186">
        <v>0</v>
      </c>
      <c r="BT80" s="186">
        <v>0</v>
      </c>
      <c r="BU80" s="186">
        <v>1335</v>
      </c>
      <c r="BV80" s="186">
        <v>0</v>
      </c>
      <c r="BW80" s="186">
        <v>0</v>
      </c>
      <c r="BX80" s="186">
        <v>0</v>
      </c>
      <c r="BY80" s="186">
        <v>0</v>
      </c>
      <c r="BZ80" s="186">
        <v>0</v>
      </c>
      <c r="CA80" s="186">
        <v>0</v>
      </c>
      <c r="CB80" s="186">
        <v>0</v>
      </c>
      <c r="CC80" s="186">
        <v>0</v>
      </c>
      <c r="CD80" s="186">
        <v>0</v>
      </c>
      <c r="CE80" s="186">
        <v>0</v>
      </c>
      <c r="CF80" s="186">
        <v>0</v>
      </c>
      <c r="CG80" s="186">
        <v>0</v>
      </c>
      <c r="CH80" s="186">
        <v>0</v>
      </c>
      <c r="CI80" s="186">
        <v>0</v>
      </c>
      <c r="CJ80" s="186">
        <v>0</v>
      </c>
      <c r="CK80" s="186">
        <v>0</v>
      </c>
      <c r="CL80" s="186">
        <v>0</v>
      </c>
      <c r="CM80" s="186">
        <v>638</v>
      </c>
      <c r="CN80" s="186">
        <v>0</v>
      </c>
      <c r="CO80" s="186">
        <v>0</v>
      </c>
      <c r="CP80" s="186">
        <v>0</v>
      </c>
      <c r="CQ80" s="186">
        <v>0</v>
      </c>
      <c r="CR80" s="186">
        <v>0</v>
      </c>
      <c r="CS80" s="186">
        <v>0</v>
      </c>
      <c r="CT80" s="186">
        <v>0</v>
      </c>
      <c r="CU80" s="186">
        <v>0</v>
      </c>
      <c r="CV80" s="186">
        <v>0</v>
      </c>
      <c r="CW80" s="186">
        <v>0</v>
      </c>
      <c r="CX80" s="186">
        <v>0</v>
      </c>
      <c r="CY80" s="186">
        <v>0</v>
      </c>
      <c r="CZ80" s="186">
        <v>0</v>
      </c>
      <c r="DA80" s="186">
        <v>0</v>
      </c>
      <c r="DB80" s="186">
        <v>0</v>
      </c>
      <c r="DC80" s="194">
        <v>0</v>
      </c>
    </row>
    <row r="81" spans="1:118">
      <c r="A81" s="174" t="s">
        <v>93</v>
      </c>
      <c r="B81" s="186">
        <v>3173.3</v>
      </c>
      <c r="C81" s="186">
        <v>2829.5</v>
      </c>
      <c r="D81" s="186">
        <v>305.8</v>
      </c>
      <c r="E81" s="186">
        <v>0</v>
      </c>
      <c r="F81" s="186">
        <v>0</v>
      </c>
      <c r="G81" s="186">
        <v>0</v>
      </c>
      <c r="H81" s="186">
        <v>0</v>
      </c>
      <c r="I81" s="186">
        <v>0</v>
      </c>
      <c r="J81" s="186">
        <v>0</v>
      </c>
      <c r="K81" s="186">
        <v>0</v>
      </c>
      <c r="L81" s="186">
        <v>0</v>
      </c>
      <c r="M81" s="186">
        <v>0</v>
      </c>
      <c r="N81" s="186">
        <v>0</v>
      </c>
      <c r="O81" s="186">
        <v>0</v>
      </c>
      <c r="P81" s="186">
        <v>38</v>
      </c>
      <c r="Q81" s="186">
        <v>0</v>
      </c>
      <c r="R81" s="186">
        <v>0</v>
      </c>
      <c r="S81" s="186">
        <v>0</v>
      </c>
      <c r="T81" s="186">
        <v>0</v>
      </c>
      <c r="U81" s="186">
        <v>0</v>
      </c>
      <c r="V81" s="186">
        <v>0</v>
      </c>
      <c r="W81" s="186">
        <v>0</v>
      </c>
      <c r="X81" s="186">
        <v>0</v>
      </c>
      <c r="Y81" s="186">
        <v>0</v>
      </c>
      <c r="Z81" s="186">
        <v>0</v>
      </c>
      <c r="AA81" s="186">
        <v>0</v>
      </c>
      <c r="AB81" s="186">
        <v>0</v>
      </c>
      <c r="AC81" s="186">
        <v>0</v>
      </c>
      <c r="AD81" s="186">
        <v>0</v>
      </c>
      <c r="AE81" s="186">
        <v>0</v>
      </c>
      <c r="AF81" s="186">
        <v>0</v>
      </c>
      <c r="AG81" s="186">
        <v>0</v>
      </c>
      <c r="AH81" s="186">
        <v>0</v>
      </c>
      <c r="AI81" s="186">
        <v>305.8</v>
      </c>
      <c r="AJ81" s="186">
        <v>0</v>
      </c>
      <c r="AK81" s="186">
        <v>0</v>
      </c>
      <c r="AL81" s="186">
        <v>0</v>
      </c>
      <c r="AM81" s="186">
        <v>0</v>
      </c>
      <c r="AN81" s="186">
        <v>0</v>
      </c>
      <c r="AO81" s="186">
        <v>0</v>
      </c>
      <c r="AP81" s="186">
        <v>0</v>
      </c>
      <c r="AQ81" s="186">
        <v>0</v>
      </c>
      <c r="AR81" s="186">
        <v>0</v>
      </c>
      <c r="AS81" s="186">
        <v>0</v>
      </c>
      <c r="AT81" s="186">
        <v>0</v>
      </c>
      <c r="AU81" s="186">
        <v>0</v>
      </c>
      <c r="AV81" s="186">
        <v>0</v>
      </c>
      <c r="AW81" s="186">
        <v>0</v>
      </c>
      <c r="AX81" s="186">
        <v>0</v>
      </c>
      <c r="AY81" s="186">
        <v>0</v>
      </c>
      <c r="AZ81" s="186">
        <v>0</v>
      </c>
      <c r="BA81" s="186">
        <v>2000</v>
      </c>
      <c r="BB81" s="186">
        <v>0</v>
      </c>
      <c r="BC81" s="186">
        <v>421</v>
      </c>
      <c r="BD81" s="186">
        <v>0</v>
      </c>
      <c r="BE81" s="186">
        <v>0</v>
      </c>
      <c r="BF81" s="186">
        <v>0</v>
      </c>
      <c r="BG81" s="186">
        <v>0</v>
      </c>
      <c r="BH81" s="186">
        <v>0</v>
      </c>
      <c r="BI81" s="186">
        <v>0</v>
      </c>
      <c r="BJ81" s="186">
        <v>0</v>
      </c>
      <c r="BK81" s="186">
        <v>0</v>
      </c>
      <c r="BL81" s="186">
        <v>0</v>
      </c>
      <c r="BM81" s="186">
        <v>0</v>
      </c>
      <c r="BN81" s="186">
        <v>0</v>
      </c>
      <c r="BO81" s="186">
        <v>0</v>
      </c>
      <c r="BP81" s="186">
        <v>0</v>
      </c>
      <c r="BQ81" s="186">
        <v>0</v>
      </c>
      <c r="BR81" s="186">
        <v>0</v>
      </c>
      <c r="BS81" s="186">
        <v>0</v>
      </c>
      <c r="BT81" s="186">
        <v>0</v>
      </c>
      <c r="BU81" s="186">
        <v>0</v>
      </c>
      <c r="BV81" s="186">
        <v>0</v>
      </c>
      <c r="BW81" s="186">
        <v>0</v>
      </c>
      <c r="BX81" s="186">
        <v>63.8</v>
      </c>
      <c r="BY81" s="186">
        <v>0</v>
      </c>
      <c r="BZ81" s="186">
        <v>0</v>
      </c>
      <c r="CA81" s="186">
        <v>0</v>
      </c>
      <c r="CB81" s="186">
        <v>0</v>
      </c>
      <c r="CC81" s="186">
        <v>0</v>
      </c>
      <c r="CD81" s="186">
        <v>0</v>
      </c>
      <c r="CE81" s="186">
        <v>0</v>
      </c>
      <c r="CF81" s="186">
        <v>0</v>
      </c>
      <c r="CG81" s="186">
        <v>222</v>
      </c>
      <c r="CH81" s="186">
        <v>0</v>
      </c>
      <c r="CI81" s="186">
        <v>0</v>
      </c>
      <c r="CJ81" s="186">
        <v>0</v>
      </c>
      <c r="CK81" s="186">
        <v>0</v>
      </c>
      <c r="CL81" s="186">
        <v>0</v>
      </c>
      <c r="CM81" s="186">
        <v>0</v>
      </c>
      <c r="CN81" s="186">
        <v>0</v>
      </c>
      <c r="CO81" s="186">
        <v>0</v>
      </c>
      <c r="CP81" s="186">
        <v>122.7</v>
      </c>
      <c r="CQ81" s="186">
        <v>0</v>
      </c>
      <c r="CR81" s="186">
        <v>0</v>
      </c>
      <c r="CS81" s="186">
        <v>0</v>
      </c>
      <c r="CT81" s="186">
        <v>0</v>
      </c>
      <c r="CU81" s="186">
        <v>0</v>
      </c>
      <c r="CV81" s="186">
        <v>0</v>
      </c>
      <c r="CW81" s="186">
        <v>0</v>
      </c>
      <c r="CX81" s="186">
        <v>0</v>
      </c>
      <c r="CY81" s="186">
        <v>0</v>
      </c>
      <c r="CZ81" s="186">
        <v>0</v>
      </c>
      <c r="DA81" s="186">
        <v>0</v>
      </c>
      <c r="DB81" s="186">
        <v>0</v>
      </c>
      <c r="DC81" s="194">
        <v>0</v>
      </c>
    </row>
    <row r="82" spans="1:118">
      <c r="A82" s="174" t="s">
        <v>94</v>
      </c>
      <c r="B82" s="186">
        <v>93553.72</v>
      </c>
      <c r="C82" s="186">
        <v>28402.340000000004</v>
      </c>
      <c r="D82" s="186">
        <v>38415.75</v>
      </c>
      <c r="E82" s="186">
        <v>7431.85</v>
      </c>
      <c r="F82" s="186">
        <v>3146.2200000000003</v>
      </c>
      <c r="G82" s="186">
        <v>4412.43</v>
      </c>
      <c r="H82" s="186">
        <v>1456</v>
      </c>
      <c r="I82" s="186">
        <v>339.95</v>
      </c>
      <c r="J82" s="186">
        <v>3082.69</v>
      </c>
      <c r="K82" s="186">
        <v>3020.7</v>
      </c>
      <c r="L82" s="186">
        <v>1450.58</v>
      </c>
      <c r="M82" s="186">
        <v>475.66</v>
      </c>
      <c r="N82" s="186">
        <v>0</v>
      </c>
      <c r="O82" s="186">
        <v>0</v>
      </c>
      <c r="P82" s="186">
        <v>0</v>
      </c>
      <c r="Q82" s="186">
        <v>378.41</v>
      </c>
      <c r="R82" s="186">
        <v>395.2</v>
      </c>
      <c r="S82" s="186">
        <v>501</v>
      </c>
      <c r="T82" s="186">
        <v>183.22</v>
      </c>
      <c r="U82" s="186">
        <v>252.86</v>
      </c>
      <c r="V82" s="186">
        <v>0</v>
      </c>
      <c r="W82" s="186">
        <v>0</v>
      </c>
      <c r="X82" s="186">
        <v>562.20000000000005</v>
      </c>
      <c r="Y82" s="186">
        <v>0</v>
      </c>
      <c r="Z82" s="186">
        <v>2100.9699999999998</v>
      </c>
      <c r="AA82" s="186">
        <v>0</v>
      </c>
      <c r="AB82" s="186">
        <v>1904.36</v>
      </c>
      <c r="AC82" s="186">
        <v>2301.2199999999998</v>
      </c>
      <c r="AD82" s="186">
        <v>563.1</v>
      </c>
      <c r="AE82" s="186">
        <v>0</v>
      </c>
      <c r="AF82" s="186">
        <v>1243.1099999999999</v>
      </c>
      <c r="AG82" s="186">
        <v>21096.3</v>
      </c>
      <c r="AH82" s="186">
        <v>2231</v>
      </c>
      <c r="AI82" s="186">
        <v>13845.34</v>
      </c>
      <c r="AJ82" s="186">
        <v>208.86</v>
      </c>
      <c r="AK82" s="186">
        <v>1338.77</v>
      </c>
      <c r="AL82" s="186">
        <v>655.23</v>
      </c>
      <c r="AM82" s="186">
        <v>1152.22</v>
      </c>
      <c r="AN82" s="186">
        <v>0</v>
      </c>
      <c r="AO82" s="186">
        <v>0</v>
      </c>
      <c r="AP82" s="186">
        <v>794.32</v>
      </c>
      <c r="AQ82" s="186">
        <v>447.26</v>
      </c>
      <c r="AR82" s="186">
        <v>0</v>
      </c>
      <c r="AS82" s="186">
        <v>105.34</v>
      </c>
      <c r="AT82" s="186">
        <v>86</v>
      </c>
      <c r="AU82" s="186">
        <v>950</v>
      </c>
      <c r="AV82" s="186">
        <v>0</v>
      </c>
      <c r="AW82" s="186">
        <v>0</v>
      </c>
      <c r="AX82" s="186">
        <v>0</v>
      </c>
      <c r="AY82" s="186">
        <v>0</v>
      </c>
      <c r="AZ82" s="186">
        <v>0</v>
      </c>
      <c r="BA82" s="186">
        <v>56</v>
      </c>
      <c r="BB82" s="186">
        <v>879</v>
      </c>
      <c r="BC82" s="186">
        <v>715</v>
      </c>
      <c r="BD82" s="186">
        <v>203</v>
      </c>
      <c r="BE82" s="186">
        <v>234</v>
      </c>
      <c r="BF82" s="186">
        <v>856.6</v>
      </c>
      <c r="BG82" s="186">
        <v>1215.5999999999999</v>
      </c>
      <c r="BH82" s="186">
        <v>542</v>
      </c>
      <c r="BI82" s="186">
        <v>0</v>
      </c>
      <c r="BJ82" s="186">
        <v>0</v>
      </c>
      <c r="BK82" s="186">
        <v>26</v>
      </c>
      <c r="BL82" s="186">
        <v>0</v>
      </c>
      <c r="BM82" s="186">
        <v>0</v>
      </c>
      <c r="BN82" s="186">
        <v>427</v>
      </c>
      <c r="BO82" s="186">
        <v>501.5</v>
      </c>
      <c r="BP82" s="186">
        <v>655</v>
      </c>
      <c r="BQ82" s="186">
        <v>211</v>
      </c>
      <c r="BR82" s="186">
        <v>0</v>
      </c>
      <c r="BS82" s="186">
        <v>0</v>
      </c>
      <c r="BT82" s="186">
        <v>0</v>
      </c>
      <c r="BU82" s="186">
        <v>559</v>
      </c>
      <c r="BV82" s="186">
        <v>0</v>
      </c>
      <c r="BW82" s="186">
        <v>1999.5</v>
      </c>
      <c r="BX82" s="186">
        <v>400.6</v>
      </c>
      <c r="BY82" s="186">
        <v>418</v>
      </c>
      <c r="BZ82" s="186">
        <v>0</v>
      </c>
      <c r="CA82" s="186">
        <v>0</v>
      </c>
      <c r="CB82" s="186">
        <v>198</v>
      </c>
      <c r="CC82" s="186">
        <v>5631.3</v>
      </c>
      <c r="CD82" s="186">
        <v>0</v>
      </c>
      <c r="CE82" s="186">
        <v>1982.3</v>
      </c>
      <c r="CF82" s="186">
        <v>0</v>
      </c>
      <c r="CG82" s="186">
        <v>0</v>
      </c>
      <c r="CH82" s="186">
        <v>863.8</v>
      </c>
      <c r="CI82" s="186">
        <v>1064</v>
      </c>
      <c r="CJ82" s="186">
        <v>745.9</v>
      </c>
      <c r="CK82" s="186">
        <v>89</v>
      </c>
      <c r="CL82" s="186">
        <v>147</v>
      </c>
      <c r="CM82" s="186">
        <v>458.2</v>
      </c>
      <c r="CN82" s="186">
        <v>0</v>
      </c>
      <c r="CO82" s="186">
        <v>0</v>
      </c>
      <c r="CP82" s="186">
        <v>0</v>
      </c>
      <c r="CQ82" s="186">
        <v>629.5</v>
      </c>
      <c r="CR82" s="186">
        <v>0</v>
      </c>
      <c r="CS82" s="186">
        <v>386.9</v>
      </c>
      <c r="CT82" s="186">
        <v>281.2</v>
      </c>
      <c r="CU82" s="186">
        <v>1626.9</v>
      </c>
      <c r="CV82" s="186">
        <v>0</v>
      </c>
      <c r="CW82" s="186">
        <v>745.66</v>
      </c>
      <c r="CX82" s="186">
        <v>141.52000000000001</v>
      </c>
      <c r="CY82" s="186">
        <v>0</v>
      </c>
      <c r="CZ82" s="186">
        <v>734.44</v>
      </c>
      <c r="DA82" s="186">
        <v>0</v>
      </c>
      <c r="DB82" s="186">
        <v>395</v>
      </c>
      <c r="DC82" s="194">
        <v>0</v>
      </c>
    </row>
    <row r="83" spans="1:118">
      <c r="A83" s="174" t="s">
        <v>90</v>
      </c>
      <c r="B83" s="186">
        <v>180514.13</v>
      </c>
      <c r="C83" s="186">
        <v>53938.98</v>
      </c>
      <c r="D83" s="186">
        <v>16544</v>
      </c>
      <c r="E83" s="186">
        <v>9368</v>
      </c>
      <c r="F83" s="186">
        <v>27040</v>
      </c>
      <c r="G83" s="186">
        <v>62171.61</v>
      </c>
      <c r="H83" s="186">
        <v>0</v>
      </c>
      <c r="I83" s="186">
        <v>0</v>
      </c>
      <c r="J83" s="186">
        <v>-31438.48</v>
      </c>
      <c r="K83" s="186">
        <v>2330</v>
      </c>
      <c r="L83" s="186">
        <v>0</v>
      </c>
      <c r="M83" s="186">
        <v>0</v>
      </c>
      <c r="N83" s="186">
        <v>18560.02</v>
      </c>
      <c r="O83" s="186">
        <v>0</v>
      </c>
      <c r="P83" s="186">
        <v>0</v>
      </c>
      <c r="Q83" s="186">
        <v>0</v>
      </c>
      <c r="R83" s="186">
        <v>0</v>
      </c>
      <c r="S83" s="186">
        <v>0</v>
      </c>
      <c r="T83" s="186">
        <v>0</v>
      </c>
      <c r="U83" s="186">
        <v>0</v>
      </c>
      <c r="V83" s="186">
        <v>20000</v>
      </c>
      <c r="W83" s="186">
        <v>0</v>
      </c>
      <c r="X83" s="186">
        <v>7543</v>
      </c>
      <c r="Y83" s="186">
        <v>0</v>
      </c>
      <c r="Z83" s="186">
        <v>0</v>
      </c>
      <c r="AA83" s="186">
        <v>0</v>
      </c>
      <c r="AB83" s="186">
        <v>0</v>
      </c>
      <c r="AC83" s="186">
        <v>0</v>
      </c>
      <c r="AD83" s="186">
        <v>1825</v>
      </c>
      <c r="AE83" s="186">
        <v>0</v>
      </c>
      <c r="AF83" s="186">
        <v>8017</v>
      </c>
      <c r="AG83" s="186">
        <v>2482</v>
      </c>
      <c r="AH83" s="186">
        <v>1345</v>
      </c>
      <c r="AI83" s="186">
        <v>4700</v>
      </c>
      <c r="AJ83" s="186">
        <v>2000</v>
      </c>
      <c r="AK83" s="186">
        <v>0</v>
      </c>
      <c r="AL83" s="186">
        <v>27040</v>
      </c>
      <c r="AM83" s="186">
        <v>0</v>
      </c>
      <c r="AN83" s="186">
        <v>0</v>
      </c>
      <c r="AO83" s="186">
        <v>0</v>
      </c>
      <c r="AP83" s="186">
        <v>0</v>
      </c>
      <c r="AQ83" s="186">
        <v>0</v>
      </c>
      <c r="AR83" s="186">
        <v>0</v>
      </c>
      <c r="AS83" s="186">
        <v>0</v>
      </c>
      <c r="AT83" s="186">
        <v>6927.3600000000006</v>
      </c>
      <c r="AU83" s="186">
        <v>0</v>
      </c>
      <c r="AV83" s="186">
        <v>3135</v>
      </c>
      <c r="AW83" s="186">
        <v>0</v>
      </c>
      <c r="AX83" s="186">
        <v>900</v>
      </c>
      <c r="AY83" s="186">
        <v>1900</v>
      </c>
      <c r="AZ83" s="186">
        <v>2273.4</v>
      </c>
      <c r="BA83" s="186">
        <v>4055</v>
      </c>
      <c r="BB83" s="186">
        <v>1791</v>
      </c>
      <c r="BC83" s="186">
        <v>0</v>
      </c>
      <c r="BD83" s="186">
        <v>3511.2200000000003</v>
      </c>
      <c r="BE83" s="186">
        <v>0</v>
      </c>
      <c r="BF83" s="186">
        <v>0</v>
      </c>
      <c r="BG83" s="186">
        <v>0</v>
      </c>
      <c r="BH83" s="186">
        <v>2907</v>
      </c>
      <c r="BI83" s="186">
        <v>1395</v>
      </c>
      <c r="BJ83" s="186">
        <v>0</v>
      </c>
      <c r="BK83" s="186">
        <v>2199</v>
      </c>
      <c r="BL83" s="186">
        <v>0</v>
      </c>
      <c r="BM83" s="186">
        <v>0</v>
      </c>
      <c r="BN83" s="186">
        <v>0</v>
      </c>
      <c r="BO83" s="186">
        <v>0</v>
      </c>
      <c r="BP83" s="186">
        <v>3724</v>
      </c>
      <c r="BQ83" s="186">
        <v>1300</v>
      </c>
      <c r="BR83" s="186">
        <v>0</v>
      </c>
      <c r="BS83" s="186">
        <v>0</v>
      </c>
      <c r="BT83" s="186">
        <v>774</v>
      </c>
      <c r="BU83" s="186">
        <v>5813</v>
      </c>
      <c r="BV83" s="186">
        <v>0</v>
      </c>
      <c r="BW83" s="186">
        <v>0</v>
      </c>
      <c r="BX83" s="186">
        <v>0</v>
      </c>
      <c r="BY83" s="186">
        <v>2000</v>
      </c>
      <c r="BZ83" s="186">
        <v>0</v>
      </c>
      <c r="CA83" s="186">
        <v>0</v>
      </c>
      <c r="CB83" s="186">
        <v>3600</v>
      </c>
      <c r="CC83" s="186">
        <v>1658</v>
      </c>
      <c r="CD83" s="186">
        <v>685</v>
      </c>
      <c r="CE83" s="186">
        <v>1611</v>
      </c>
      <c r="CF83" s="186">
        <v>0</v>
      </c>
      <c r="CG83" s="186">
        <v>0</v>
      </c>
      <c r="CH83" s="186">
        <v>0</v>
      </c>
      <c r="CI83" s="186">
        <v>40</v>
      </c>
      <c r="CJ83" s="186">
        <v>0</v>
      </c>
      <c r="CK83" s="186">
        <v>1310</v>
      </c>
      <c r="CL83" s="186">
        <v>0</v>
      </c>
      <c r="CM83" s="186">
        <v>0</v>
      </c>
      <c r="CN83" s="186">
        <v>0</v>
      </c>
      <c r="CO83" s="186">
        <v>0</v>
      </c>
      <c r="CP83" s="186">
        <v>0</v>
      </c>
      <c r="CQ83" s="186">
        <v>0</v>
      </c>
      <c r="CR83" s="186">
        <v>0</v>
      </c>
      <c r="CS83" s="186">
        <v>0</v>
      </c>
      <c r="CT83" s="186">
        <v>0</v>
      </c>
      <c r="CU83" s="186">
        <v>0</v>
      </c>
      <c r="CV83" s="186">
        <v>0</v>
      </c>
      <c r="CW83" s="186">
        <v>0</v>
      </c>
      <c r="CX83" s="186">
        <v>0</v>
      </c>
      <c r="CY83" s="186">
        <v>0</v>
      </c>
      <c r="CZ83" s="186">
        <v>0</v>
      </c>
      <c r="DA83" s="186">
        <v>0</v>
      </c>
      <c r="DB83" s="186">
        <v>430</v>
      </c>
      <c r="DC83" s="194">
        <v>0</v>
      </c>
    </row>
    <row r="84" spans="1:118">
      <c r="A84" s="174" t="s">
        <v>85</v>
      </c>
      <c r="B84" s="186">
        <v>659694.64</v>
      </c>
      <c r="C84" s="186">
        <v>659694.64</v>
      </c>
      <c r="D84" s="186">
        <v>0</v>
      </c>
      <c r="E84" s="186">
        <v>0</v>
      </c>
      <c r="F84" s="186">
        <v>0</v>
      </c>
      <c r="G84" s="186">
        <v>0</v>
      </c>
      <c r="H84" s="186">
        <v>0</v>
      </c>
      <c r="I84" s="186">
        <v>0</v>
      </c>
      <c r="J84" s="186">
        <v>0</v>
      </c>
      <c r="K84" s="186">
        <v>0</v>
      </c>
      <c r="L84" s="186">
        <v>0</v>
      </c>
      <c r="M84" s="186">
        <v>0</v>
      </c>
      <c r="N84" s="186">
        <v>0</v>
      </c>
      <c r="O84" s="186">
        <v>0</v>
      </c>
      <c r="P84" s="186">
        <v>0</v>
      </c>
      <c r="Q84" s="186">
        <v>0</v>
      </c>
      <c r="R84" s="186">
        <v>0</v>
      </c>
      <c r="S84" s="186">
        <v>0</v>
      </c>
      <c r="T84" s="186">
        <v>0</v>
      </c>
      <c r="U84" s="186">
        <v>0</v>
      </c>
      <c r="V84" s="186">
        <v>0</v>
      </c>
      <c r="W84" s="186">
        <v>0</v>
      </c>
      <c r="X84" s="186">
        <v>0</v>
      </c>
      <c r="Y84" s="186">
        <v>0</v>
      </c>
      <c r="Z84" s="186">
        <v>0</v>
      </c>
      <c r="AA84" s="186">
        <v>0</v>
      </c>
      <c r="AB84" s="186">
        <v>0</v>
      </c>
      <c r="AC84" s="186">
        <v>0</v>
      </c>
      <c r="AD84" s="186">
        <v>0</v>
      </c>
      <c r="AE84" s="186">
        <v>0</v>
      </c>
      <c r="AF84" s="186">
        <v>0</v>
      </c>
      <c r="AG84" s="186">
        <v>0</v>
      </c>
      <c r="AH84" s="186">
        <v>0</v>
      </c>
      <c r="AI84" s="186">
        <v>0</v>
      </c>
      <c r="AJ84" s="186">
        <v>0</v>
      </c>
      <c r="AK84" s="186">
        <v>0</v>
      </c>
      <c r="AL84" s="186">
        <v>0</v>
      </c>
      <c r="AM84" s="186">
        <v>0</v>
      </c>
      <c r="AN84" s="186">
        <v>0</v>
      </c>
      <c r="AO84" s="186">
        <v>0</v>
      </c>
      <c r="AP84" s="186">
        <v>0</v>
      </c>
      <c r="AQ84" s="186">
        <v>0</v>
      </c>
      <c r="AR84" s="186">
        <v>0</v>
      </c>
      <c r="AS84" s="186">
        <v>0</v>
      </c>
      <c r="AT84" s="186">
        <v>12060</v>
      </c>
      <c r="AU84" s="186">
        <v>9010</v>
      </c>
      <c r="AV84" s="186">
        <v>34989</v>
      </c>
      <c r="AW84" s="186">
        <v>16402.82</v>
      </c>
      <c r="AX84" s="186">
        <v>20330</v>
      </c>
      <c r="AY84" s="186">
        <v>78373.5</v>
      </c>
      <c r="AZ84" s="186">
        <v>1200</v>
      </c>
      <c r="BA84" s="186">
        <v>56730</v>
      </c>
      <c r="BB84" s="186">
        <v>21600</v>
      </c>
      <c r="BC84" s="186">
        <v>5570</v>
      </c>
      <c r="BD84" s="186">
        <v>32900</v>
      </c>
      <c r="BE84" s="186">
        <v>18250</v>
      </c>
      <c r="BF84" s="186">
        <v>20320</v>
      </c>
      <c r="BG84" s="186">
        <v>400</v>
      </c>
      <c r="BH84" s="186">
        <v>3239</v>
      </c>
      <c r="BI84" s="186">
        <v>3038</v>
      </c>
      <c r="BJ84" s="186">
        <v>1460</v>
      </c>
      <c r="BK84" s="186">
        <v>13274.34</v>
      </c>
      <c r="BL84" s="186">
        <v>26893.55</v>
      </c>
      <c r="BM84" s="186">
        <v>766.48</v>
      </c>
      <c r="BN84" s="186">
        <v>34915</v>
      </c>
      <c r="BO84" s="186">
        <v>0</v>
      </c>
      <c r="BP84" s="186">
        <v>30612</v>
      </c>
      <c r="BQ84" s="186">
        <v>6870</v>
      </c>
      <c r="BR84" s="186">
        <v>0</v>
      </c>
      <c r="BS84" s="186">
        <v>400</v>
      </c>
      <c r="BT84" s="186">
        <v>0</v>
      </c>
      <c r="BU84" s="186">
        <v>2500</v>
      </c>
      <c r="BV84" s="186">
        <v>18277</v>
      </c>
      <c r="BW84" s="186">
        <v>1520</v>
      </c>
      <c r="BX84" s="186">
        <v>13670</v>
      </c>
      <c r="BY84" s="186">
        <v>2740</v>
      </c>
      <c r="BZ84" s="186">
        <v>160</v>
      </c>
      <c r="CA84" s="186">
        <v>14020</v>
      </c>
      <c r="CB84" s="186">
        <v>11980</v>
      </c>
      <c r="CC84" s="186">
        <v>106714.51</v>
      </c>
      <c r="CD84" s="186">
        <v>11200</v>
      </c>
      <c r="CE84" s="186">
        <v>6994</v>
      </c>
      <c r="CF84" s="186">
        <v>0</v>
      </c>
      <c r="CG84" s="186">
        <v>0</v>
      </c>
      <c r="CH84" s="186">
        <v>2740</v>
      </c>
      <c r="CI84" s="186">
        <v>0</v>
      </c>
      <c r="CJ84" s="186">
        <v>528</v>
      </c>
      <c r="CK84" s="186">
        <v>0</v>
      </c>
      <c r="CL84" s="186">
        <v>0</v>
      </c>
      <c r="CM84" s="186">
        <v>5399</v>
      </c>
      <c r="CN84" s="186">
        <v>0</v>
      </c>
      <c r="CO84" s="186">
        <v>0</v>
      </c>
      <c r="CP84" s="186">
        <v>355.74</v>
      </c>
      <c r="CQ84" s="186">
        <v>3996.8</v>
      </c>
      <c r="CR84" s="186">
        <v>0</v>
      </c>
      <c r="CS84" s="186">
        <v>0</v>
      </c>
      <c r="CT84" s="186">
        <v>0</v>
      </c>
      <c r="CU84" s="186">
        <v>1070</v>
      </c>
      <c r="CV84" s="186">
        <v>0</v>
      </c>
      <c r="CW84" s="186">
        <v>0</v>
      </c>
      <c r="CX84" s="186">
        <v>0</v>
      </c>
      <c r="CY84" s="186">
        <v>0</v>
      </c>
      <c r="CZ84" s="186">
        <v>0</v>
      </c>
      <c r="DA84" s="186">
        <v>0</v>
      </c>
      <c r="DB84" s="186">
        <v>1950</v>
      </c>
      <c r="DC84" s="194">
        <v>4275.8999999999996</v>
      </c>
    </row>
    <row r="85" spans="1:118">
      <c r="A85" s="174" t="s">
        <v>243</v>
      </c>
      <c r="B85" s="186">
        <v>81569.91</v>
      </c>
      <c r="C85" s="186">
        <v>51249.909999999996</v>
      </c>
      <c r="D85" s="186">
        <v>0</v>
      </c>
      <c r="E85" s="186">
        <v>0</v>
      </c>
      <c r="F85" s="186">
        <v>4520</v>
      </c>
      <c r="G85" s="186">
        <v>0</v>
      </c>
      <c r="H85" s="186">
        <v>0</v>
      </c>
      <c r="I85" s="186">
        <v>0</v>
      </c>
      <c r="J85" s="186">
        <v>0</v>
      </c>
      <c r="K85" s="186">
        <v>0</v>
      </c>
      <c r="L85" s="186">
        <v>0</v>
      </c>
      <c r="M85" s="186">
        <v>0</v>
      </c>
      <c r="N85" s="186">
        <v>0</v>
      </c>
      <c r="O85" s="186">
        <v>25800</v>
      </c>
      <c r="P85" s="186">
        <v>0</v>
      </c>
      <c r="Q85" s="186">
        <v>0</v>
      </c>
      <c r="R85" s="186">
        <v>0</v>
      </c>
      <c r="S85" s="186">
        <v>0</v>
      </c>
      <c r="T85" s="186">
        <v>0</v>
      </c>
      <c r="U85" s="186">
        <v>0</v>
      </c>
      <c r="V85" s="186">
        <v>0</v>
      </c>
      <c r="W85" s="186">
        <v>0</v>
      </c>
      <c r="X85" s="186">
        <v>0</v>
      </c>
      <c r="Y85" s="186">
        <v>0</v>
      </c>
      <c r="Z85" s="186">
        <v>0</v>
      </c>
      <c r="AA85" s="186">
        <v>0</v>
      </c>
      <c r="AB85" s="186">
        <v>0</v>
      </c>
      <c r="AC85" s="186">
        <v>0</v>
      </c>
      <c r="AD85" s="186">
        <v>0</v>
      </c>
      <c r="AE85" s="186">
        <v>0</v>
      </c>
      <c r="AF85" s="186">
        <v>0</v>
      </c>
      <c r="AG85" s="186">
        <v>0</v>
      </c>
      <c r="AH85" s="186">
        <v>0</v>
      </c>
      <c r="AI85" s="186">
        <v>0</v>
      </c>
      <c r="AJ85" s="186">
        <v>0</v>
      </c>
      <c r="AK85" s="186">
        <v>4520</v>
      </c>
      <c r="AL85" s="186">
        <v>0</v>
      </c>
      <c r="AM85" s="186">
        <v>0</v>
      </c>
      <c r="AN85" s="186">
        <v>0</v>
      </c>
      <c r="AO85" s="186">
        <v>0</v>
      </c>
      <c r="AP85" s="186">
        <v>0</v>
      </c>
      <c r="AQ85" s="186">
        <v>0</v>
      </c>
      <c r="AR85" s="186">
        <v>0</v>
      </c>
      <c r="AS85" s="186">
        <v>0</v>
      </c>
      <c r="AT85" s="186">
        <v>0</v>
      </c>
      <c r="AU85" s="186">
        <v>2700</v>
      </c>
      <c r="AV85" s="186">
        <v>0</v>
      </c>
      <c r="AW85" s="186">
        <v>0</v>
      </c>
      <c r="AX85" s="186">
        <v>0</v>
      </c>
      <c r="AY85" s="186">
        <v>0</v>
      </c>
      <c r="AZ85" s="186">
        <v>0</v>
      </c>
      <c r="BA85" s="186">
        <v>0</v>
      </c>
      <c r="BB85" s="186">
        <v>0</v>
      </c>
      <c r="BC85" s="186">
        <v>0</v>
      </c>
      <c r="BD85" s="186">
        <v>3800</v>
      </c>
      <c r="BE85" s="186">
        <v>0</v>
      </c>
      <c r="BF85" s="186">
        <v>1550</v>
      </c>
      <c r="BG85" s="186">
        <v>0</v>
      </c>
      <c r="BH85" s="186">
        <v>0</v>
      </c>
      <c r="BI85" s="186">
        <v>0</v>
      </c>
      <c r="BJ85" s="186">
        <v>0</v>
      </c>
      <c r="BK85" s="186">
        <v>0</v>
      </c>
      <c r="BL85" s="186">
        <v>0</v>
      </c>
      <c r="BM85" s="186">
        <v>0</v>
      </c>
      <c r="BN85" s="186">
        <v>0</v>
      </c>
      <c r="BO85" s="186">
        <v>38834.949999999997</v>
      </c>
      <c r="BP85" s="186">
        <v>0</v>
      </c>
      <c r="BQ85" s="186">
        <v>0</v>
      </c>
      <c r="BR85" s="186">
        <v>0</v>
      </c>
      <c r="BS85" s="186">
        <v>0</v>
      </c>
      <c r="BT85" s="186">
        <v>0</v>
      </c>
      <c r="BU85" s="186">
        <v>0</v>
      </c>
      <c r="BV85" s="186">
        <v>0</v>
      </c>
      <c r="BW85" s="186">
        <v>0</v>
      </c>
      <c r="BX85" s="186">
        <v>0</v>
      </c>
      <c r="BY85" s="186">
        <v>0</v>
      </c>
      <c r="BZ85" s="186">
        <v>0</v>
      </c>
      <c r="CA85" s="186">
        <v>0</v>
      </c>
      <c r="CB85" s="186">
        <v>2800</v>
      </c>
      <c r="CC85" s="186">
        <v>1564.96</v>
      </c>
      <c r="CD85" s="186">
        <v>0</v>
      </c>
      <c r="CE85" s="186">
        <v>0</v>
      </c>
      <c r="CF85" s="186">
        <v>0</v>
      </c>
      <c r="CG85" s="186">
        <v>0</v>
      </c>
      <c r="CH85" s="186">
        <v>0</v>
      </c>
      <c r="CI85" s="186">
        <v>0</v>
      </c>
      <c r="CJ85" s="186">
        <v>0</v>
      </c>
      <c r="CK85" s="186">
        <v>0</v>
      </c>
      <c r="CL85" s="186">
        <v>0</v>
      </c>
      <c r="CM85" s="186">
        <v>0</v>
      </c>
      <c r="CN85" s="186">
        <v>0</v>
      </c>
      <c r="CO85" s="186">
        <v>0</v>
      </c>
      <c r="CP85" s="186">
        <v>0</v>
      </c>
      <c r="CQ85" s="186">
        <v>0</v>
      </c>
      <c r="CR85" s="186">
        <v>0</v>
      </c>
      <c r="CS85" s="186">
        <v>0</v>
      </c>
      <c r="CT85" s="186">
        <v>0</v>
      </c>
      <c r="CU85" s="186">
        <v>0</v>
      </c>
      <c r="CV85" s="186">
        <v>0</v>
      </c>
      <c r="CW85" s="186">
        <v>0</v>
      </c>
      <c r="CX85" s="186">
        <v>0</v>
      </c>
      <c r="CY85" s="186">
        <v>0</v>
      </c>
      <c r="CZ85" s="186">
        <v>0</v>
      </c>
      <c r="DA85" s="186">
        <v>0</v>
      </c>
      <c r="DB85" s="186">
        <v>0</v>
      </c>
      <c r="DC85" s="194">
        <v>0</v>
      </c>
    </row>
    <row r="86" spans="1:118" s="191" customFormat="1">
      <c r="A86" s="175" t="s">
        <v>69</v>
      </c>
      <c r="B86" s="189">
        <v>5276212.2499999981</v>
      </c>
      <c r="C86" s="189">
        <v>2278744.4500000002</v>
      </c>
      <c r="D86" s="189">
        <v>1227130.75</v>
      </c>
      <c r="E86" s="189">
        <v>48145.319999999971</v>
      </c>
      <c r="F86" s="189">
        <v>237473.18</v>
      </c>
      <c r="G86" s="189">
        <v>164608.85999999999</v>
      </c>
      <c r="H86" s="189">
        <v>383058.84</v>
      </c>
      <c r="I86" s="189">
        <v>27103.98</v>
      </c>
      <c r="J86" s="189">
        <v>378855.76000000007</v>
      </c>
      <c r="K86" s="189">
        <v>31891</v>
      </c>
      <c r="L86" s="189">
        <v>42099.66</v>
      </c>
      <c r="M86" s="189">
        <v>25265.599999999999</v>
      </c>
      <c r="N86" s="189">
        <v>18560.02</v>
      </c>
      <c r="O86" s="189">
        <v>99175.42</v>
      </c>
      <c r="P86" s="189">
        <v>5813</v>
      </c>
      <c r="Q86" s="189">
        <v>15194.41</v>
      </c>
      <c r="R86" s="189">
        <v>24125.149999999998</v>
      </c>
      <c r="S86" s="189">
        <v>68620.990000000005</v>
      </c>
      <c r="T86" s="189">
        <v>4326.72</v>
      </c>
      <c r="U86" s="189">
        <v>18545.560000000001</v>
      </c>
      <c r="V86" s="189">
        <v>20000</v>
      </c>
      <c r="W86" s="189">
        <v>0</v>
      </c>
      <c r="X86" s="189">
        <v>32681.32</v>
      </c>
      <c r="Y86" s="189">
        <v>2458.4</v>
      </c>
      <c r="Z86" s="189">
        <v>-152452.34</v>
      </c>
      <c r="AA86" s="189">
        <v>3776.58</v>
      </c>
      <c r="AB86" s="189">
        <v>21744.25</v>
      </c>
      <c r="AC86" s="189">
        <v>45010.530000000006</v>
      </c>
      <c r="AD86" s="189">
        <v>66491.48000000001</v>
      </c>
      <c r="AE86" s="189">
        <v>28435.1</v>
      </c>
      <c r="AF86" s="189">
        <v>51675.11</v>
      </c>
      <c r="AG86" s="189">
        <v>870418.35</v>
      </c>
      <c r="AH86" s="189">
        <v>137773.54999999999</v>
      </c>
      <c r="AI86" s="189">
        <v>167263.74</v>
      </c>
      <c r="AJ86" s="189">
        <v>156696.57999999999</v>
      </c>
      <c r="AK86" s="189">
        <v>146133.99</v>
      </c>
      <c r="AL86" s="189">
        <v>67313.75</v>
      </c>
      <c r="AM86" s="189">
        <v>24025.440000000002</v>
      </c>
      <c r="AN86" s="189">
        <v>777</v>
      </c>
      <c r="AO86" s="189">
        <v>97252.94</v>
      </c>
      <c r="AP86" s="189">
        <v>34527.829999999994</v>
      </c>
      <c r="AQ86" s="189">
        <v>39914.080000000002</v>
      </c>
      <c r="AR86" s="189">
        <v>3782.5</v>
      </c>
      <c r="AS86" s="189">
        <v>44416.979999999996</v>
      </c>
      <c r="AT86" s="189">
        <v>97603.76</v>
      </c>
      <c r="AU86" s="189">
        <v>77357.84</v>
      </c>
      <c r="AV86" s="189">
        <v>77214.06</v>
      </c>
      <c r="AW86" s="189">
        <v>101154.09</v>
      </c>
      <c r="AX86" s="189">
        <v>37930.29</v>
      </c>
      <c r="AY86" s="189">
        <v>129972.44</v>
      </c>
      <c r="AZ86" s="189">
        <v>11673.4</v>
      </c>
      <c r="BA86" s="189">
        <v>98176</v>
      </c>
      <c r="BB86" s="189">
        <v>64873.03</v>
      </c>
      <c r="BC86" s="189">
        <v>30509.620000000003</v>
      </c>
      <c r="BD86" s="189">
        <v>118017.75</v>
      </c>
      <c r="BE86" s="189">
        <v>34559.869999999995</v>
      </c>
      <c r="BF86" s="189">
        <v>48550.899999999994</v>
      </c>
      <c r="BG86" s="189">
        <v>35391.58</v>
      </c>
      <c r="BH86" s="189">
        <v>20696.940000000002</v>
      </c>
      <c r="BI86" s="189">
        <v>34843.85</v>
      </c>
      <c r="BJ86" s="189">
        <v>1460</v>
      </c>
      <c r="BK86" s="189">
        <v>58079.650000000009</v>
      </c>
      <c r="BL86" s="189">
        <v>29293.55</v>
      </c>
      <c r="BM86" s="189">
        <v>766.48</v>
      </c>
      <c r="BN86" s="189">
        <v>65326.869999999995</v>
      </c>
      <c r="BO86" s="189">
        <v>63471.47</v>
      </c>
      <c r="BP86" s="189">
        <v>55948.02</v>
      </c>
      <c r="BQ86" s="189">
        <v>51150.28</v>
      </c>
      <c r="BR86" s="189">
        <v>2333.33</v>
      </c>
      <c r="BS86" s="189">
        <v>400</v>
      </c>
      <c r="BT86" s="189">
        <v>3461</v>
      </c>
      <c r="BU86" s="189">
        <v>17008.7</v>
      </c>
      <c r="BV86" s="189">
        <v>20409.2</v>
      </c>
      <c r="BW86" s="189">
        <v>8488.83</v>
      </c>
      <c r="BX86" s="189">
        <v>15484.86</v>
      </c>
      <c r="BY86" s="189">
        <v>34885.599999999999</v>
      </c>
      <c r="BZ86" s="189">
        <v>160</v>
      </c>
      <c r="CA86" s="189">
        <v>14020</v>
      </c>
      <c r="CB86" s="189">
        <v>30918</v>
      </c>
      <c r="CC86" s="189">
        <v>153170.26999999999</v>
      </c>
      <c r="CD86" s="189">
        <v>32734.52</v>
      </c>
      <c r="CE86" s="189">
        <v>29479.599999999999</v>
      </c>
      <c r="CF86" s="189">
        <v>18002.2</v>
      </c>
      <c r="CG86" s="189">
        <v>13527.98</v>
      </c>
      <c r="CH86" s="189">
        <v>8264.67</v>
      </c>
      <c r="CI86" s="189">
        <v>62354.16</v>
      </c>
      <c r="CJ86" s="189">
        <v>5555.4</v>
      </c>
      <c r="CK86" s="189">
        <v>9086</v>
      </c>
      <c r="CL86" s="189">
        <v>381</v>
      </c>
      <c r="CM86" s="189">
        <v>9917.2000000000007</v>
      </c>
      <c r="CN86" s="189">
        <v>0</v>
      </c>
      <c r="CO86" s="189">
        <v>6061.3</v>
      </c>
      <c r="CP86" s="189">
        <v>18208.240000000002</v>
      </c>
      <c r="CQ86" s="189">
        <v>29194.920000000002</v>
      </c>
      <c r="CR86" s="189">
        <v>13704.4</v>
      </c>
      <c r="CS86" s="189">
        <v>7355.18</v>
      </c>
      <c r="CT86" s="189">
        <v>12715.8</v>
      </c>
      <c r="CU86" s="189">
        <v>11472.55</v>
      </c>
      <c r="CV86" s="189">
        <v>0</v>
      </c>
      <c r="CW86" s="189">
        <v>15583.56</v>
      </c>
      <c r="CX86" s="189">
        <v>26435.52</v>
      </c>
      <c r="CY86" s="189">
        <v>18393.8</v>
      </c>
      <c r="CZ86" s="189">
        <v>22570.739999999998</v>
      </c>
      <c r="DA86" s="189">
        <v>10337.91</v>
      </c>
      <c r="DB86" s="189">
        <v>5326</v>
      </c>
      <c r="DC86" s="189">
        <v>27425.940000000002</v>
      </c>
      <c r="DD86" s="189">
        <f t="shared" ref="DD86:DN86" si="2">SUM(DD73:DD85)</f>
        <v>0</v>
      </c>
      <c r="DE86" s="189">
        <f t="shared" si="2"/>
        <v>0</v>
      </c>
      <c r="DF86" s="189">
        <f t="shared" si="2"/>
        <v>0</v>
      </c>
      <c r="DG86" s="189">
        <f t="shared" si="2"/>
        <v>0</v>
      </c>
      <c r="DH86" s="189">
        <f t="shared" si="2"/>
        <v>0</v>
      </c>
      <c r="DI86" s="189">
        <f t="shared" si="2"/>
        <v>0</v>
      </c>
      <c r="DJ86" s="189">
        <f t="shared" si="2"/>
        <v>0</v>
      </c>
      <c r="DK86" s="189">
        <f t="shared" si="2"/>
        <v>0</v>
      </c>
      <c r="DL86" s="189">
        <f t="shared" si="2"/>
        <v>0</v>
      </c>
      <c r="DM86" s="189">
        <f t="shared" si="2"/>
        <v>0</v>
      </c>
      <c r="DN86" s="189">
        <f t="shared" si="2"/>
        <v>0</v>
      </c>
    </row>
    <row r="87" spans="1:118">
      <c r="A87" s="174" t="s">
        <v>78</v>
      </c>
      <c r="B87" s="186">
        <v>289302.98000000004</v>
      </c>
      <c r="C87" s="186">
        <v>276427.52000000008</v>
      </c>
      <c r="D87" s="186">
        <v>0</v>
      </c>
      <c r="E87" s="186">
        <v>498.74</v>
      </c>
      <c r="F87" s="186">
        <v>12376.72</v>
      </c>
      <c r="G87" s="186">
        <v>0</v>
      </c>
      <c r="H87" s="186">
        <v>0</v>
      </c>
      <c r="I87" s="186">
        <v>0</v>
      </c>
      <c r="J87" s="186">
        <v>0</v>
      </c>
      <c r="K87" s="186">
        <v>0</v>
      </c>
      <c r="L87" s="186">
        <v>0</v>
      </c>
      <c r="M87" s="186">
        <v>0</v>
      </c>
      <c r="N87" s="186">
        <v>0</v>
      </c>
      <c r="O87" s="186">
        <v>0</v>
      </c>
      <c r="P87" s="186">
        <v>0</v>
      </c>
      <c r="Q87" s="186">
        <v>0</v>
      </c>
      <c r="R87" s="186">
        <v>0</v>
      </c>
      <c r="S87" s="186">
        <v>0</v>
      </c>
      <c r="T87" s="186">
        <v>0</v>
      </c>
      <c r="U87" s="186">
        <v>0</v>
      </c>
      <c r="V87" s="186">
        <v>0</v>
      </c>
      <c r="W87" s="186">
        <v>0</v>
      </c>
      <c r="X87" s="186">
        <v>498.74</v>
      </c>
      <c r="Y87" s="186">
        <v>0</v>
      </c>
      <c r="Z87" s="186">
        <v>0</v>
      </c>
      <c r="AA87" s="186">
        <v>0</v>
      </c>
      <c r="AB87" s="186">
        <v>0</v>
      </c>
      <c r="AC87" s="186">
        <v>0</v>
      </c>
      <c r="AD87" s="186">
        <v>0</v>
      </c>
      <c r="AE87" s="186">
        <v>0</v>
      </c>
      <c r="AF87" s="186">
        <v>0</v>
      </c>
      <c r="AG87" s="186">
        <v>0</v>
      </c>
      <c r="AH87" s="186">
        <v>0</v>
      </c>
      <c r="AI87" s="186">
        <v>0</v>
      </c>
      <c r="AJ87" s="186">
        <v>0</v>
      </c>
      <c r="AK87" s="186">
        <v>6188.36</v>
      </c>
      <c r="AL87" s="186">
        <v>6188.36</v>
      </c>
      <c r="AM87" s="186">
        <v>0</v>
      </c>
      <c r="AN87" s="186">
        <v>0</v>
      </c>
      <c r="AO87" s="186">
        <v>0</v>
      </c>
      <c r="AP87" s="186">
        <v>0</v>
      </c>
      <c r="AQ87" s="186">
        <v>0</v>
      </c>
      <c r="AR87" s="186">
        <v>0</v>
      </c>
      <c r="AS87" s="186">
        <v>0</v>
      </c>
      <c r="AT87" s="186">
        <v>20597.919999999998</v>
      </c>
      <c r="AU87" s="186">
        <v>15497.35</v>
      </c>
      <c r="AV87" s="186">
        <v>2886.79</v>
      </c>
      <c r="AW87" s="186">
        <v>10278</v>
      </c>
      <c r="AX87" s="186">
        <v>53032.47</v>
      </c>
      <c r="AY87" s="186">
        <v>14916.41</v>
      </c>
      <c r="AZ87" s="186">
        <v>7190.84</v>
      </c>
      <c r="BA87" s="186">
        <v>457</v>
      </c>
      <c r="BB87" s="186">
        <v>151</v>
      </c>
      <c r="BC87" s="186">
        <v>8672.01</v>
      </c>
      <c r="BD87" s="186">
        <v>-7314.7</v>
      </c>
      <c r="BE87" s="186">
        <v>34560</v>
      </c>
      <c r="BF87" s="186">
        <v>33449.58</v>
      </c>
      <c r="BG87" s="186">
        <v>1637.63</v>
      </c>
      <c r="BH87" s="186">
        <v>8887.4699999999993</v>
      </c>
      <c r="BI87" s="186">
        <v>148</v>
      </c>
      <c r="BJ87" s="186">
        <v>139</v>
      </c>
      <c r="BK87" s="186">
        <v>24931.1</v>
      </c>
      <c r="BL87" s="186">
        <v>137</v>
      </c>
      <c r="BM87" s="186">
        <v>62</v>
      </c>
      <c r="BN87" s="186">
        <v>8658.4599999999991</v>
      </c>
      <c r="BO87" s="186">
        <v>141</v>
      </c>
      <c r="BP87" s="186">
        <v>847.2</v>
      </c>
      <c r="BQ87" s="186">
        <v>1552</v>
      </c>
      <c r="BR87" s="186">
        <v>1670.34</v>
      </c>
      <c r="BS87" s="186">
        <v>72</v>
      </c>
      <c r="BT87" s="186">
        <v>2432</v>
      </c>
      <c r="BU87" s="186">
        <v>1644.49</v>
      </c>
      <c r="BV87" s="186">
        <v>6089</v>
      </c>
      <c r="BW87" s="186">
        <v>39</v>
      </c>
      <c r="BX87" s="186">
        <v>1018</v>
      </c>
      <c r="BY87" s="186">
        <v>11111</v>
      </c>
      <c r="BZ87" s="186">
        <v>14</v>
      </c>
      <c r="CA87" s="186">
        <v>18</v>
      </c>
      <c r="CB87" s="186">
        <v>45</v>
      </c>
      <c r="CC87" s="186">
        <v>4696</v>
      </c>
      <c r="CD87" s="186">
        <v>3173.19</v>
      </c>
      <c r="CE87" s="186">
        <v>16</v>
      </c>
      <c r="CF87" s="186">
        <v>0</v>
      </c>
      <c r="CG87" s="186">
        <v>767.09</v>
      </c>
      <c r="CH87" s="186">
        <v>12</v>
      </c>
      <c r="CI87" s="186">
        <v>0</v>
      </c>
      <c r="CJ87" s="186">
        <v>3</v>
      </c>
      <c r="CK87" s="186">
        <v>1</v>
      </c>
      <c r="CL87" s="186">
        <v>0</v>
      </c>
      <c r="CM87" s="186">
        <v>44</v>
      </c>
      <c r="CN87" s="186">
        <v>1</v>
      </c>
      <c r="CO87" s="186">
        <v>315.83999999999997</v>
      </c>
      <c r="CP87" s="186">
        <v>3</v>
      </c>
      <c r="CQ87" s="186">
        <v>408.3</v>
      </c>
      <c r="CR87" s="186">
        <v>0</v>
      </c>
      <c r="CS87" s="186">
        <v>8</v>
      </c>
      <c r="CT87" s="186">
        <v>0</v>
      </c>
      <c r="CU87" s="186">
        <v>3</v>
      </c>
      <c r="CV87" s="186">
        <v>0</v>
      </c>
      <c r="CW87" s="186">
        <v>500</v>
      </c>
      <c r="CX87" s="186">
        <v>0</v>
      </c>
      <c r="CY87" s="186">
        <v>655.7</v>
      </c>
      <c r="CZ87" s="186">
        <v>0</v>
      </c>
      <c r="DA87" s="186">
        <v>0</v>
      </c>
      <c r="DB87" s="186">
        <v>0.24</v>
      </c>
      <c r="DC87" s="194">
        <v>151.80000000000001</v>
      </c>
    </row>
    <row r="88" spans="1:118">
      <c r="A88" s="174" t="s">
        <v>79</v>
      </c>
      <c r="B88" s="186">
        <v>221911.49</v>
      </c>
      <c r="C88" s="186">
        <v>131471.84999999998</v>
      </c>
      <c r="D88" s="186">
        <v>7124.57</v>
      </c>
      <c r="E88" s="186">
        <v>25550.29</v>
      </c>
      <c r="F88" s="186">
        <v>10404.959999999999</v>
      </c>
      <c r="G88" s="186">
        <v>1420.07</v>
      </c>
      <c r="H88" s="186">
        <v>0</v>
      </c>
      <c r="I88" s="186">
        <v>170.75</v>
      </c>
      <c r="J88" s="186">
        <v>38194.9</v>
      </c>
      <c r="K88" s="186">
        <v>2086.79</v>
      </c>
      <c r="L88" s="186">
        <v>230.19</v>
      </c>
      <c r="M88" s="186">
        <v>658.49</v>
      </c>
      <c r="N88" s="186">
        <v>0</v>
      </c>
      <c r="O88" s="186">
        <v>137.74</v>
      </c>
      <c r="P88" s="186">
        <v>42.45</v>
      </c>
      <c r="Q88" s="186">
        <v>0</v>
      </c>
      <c r="R88" s="186">
        <v>1232.08</v>
      </c>
      <c r="S88" s="186">
        <v>1262.73</v>
      </c>
      <c r="T88" s="186">
        <v>84.91</v>
      </c>
      <c r="U88" s="186">
        <v>1082.1200000000001</v>
      </c>
      <c r="V88" s="186">
        <v>0</v>
      </c>
      <c r="W88" s="186">
        <v>0</v>
      </c>
      <c r="X88" s="186">
        <v>4253.54</v>
      </c>
      <c r="Y88" s="186">
        <v>0</v>
      </c>
      <c r="Z88" s="186">
        <v>7067.1200000000008</v>
      </c>
      <c r="AA88" s="186">
        <v>0</v>
      </c>
      <c r="AB88" s="186">
        <v>3274.48</v>
      </c>
      <c r="AC88" s="186">
        <v>6195.23</v>
      </c>
      <c r="AD88" s="186">
        <v>4739.17</v>
      </c>
      <c r="AE88" s="186">
        <v>20.75</v>
      </c>
      <c r="AF88" s="186">
        <v>694.34</v>
      </c>
      <c r="AG88" s="186">
        <v>2737.9</v>
      </c>
      <c r="AH88" s="186">
        <v>729.25</v>
      </c>
      <c r="AI88" s="186">
        <v>2963.08</v>
      </c>
      <c r="AJ88" s="186">
        <v>756.6</v>
      </c>
      <c r="AK88" s="186">
        <v>3892.77</v>
      </c>
      <c r="AL88" s="186">
        <v>5417.03</v>
      </c>
      <c r="AM88" s="186">
        <v>1095.1600000000001</v>
      </c>
      <c r="AN88" s="186">
        <v>0</v>
      </c>
      <c r="AO88" s="186">
        <v>21.7</v>
      </c>
      <c r="AP88" s="186">
        <v>836.79</v>
      </c>
      <c r="AQ88" s="186">
        <v>3949.5</v>
      </c>
      <c r="AR88" s="186">
        <v>2304.73</v>
      </c>
      <c r="AS88" s="186">
        <v>569.80999999999995</v>
      </c>
      <c r="AT88" s="186">
        <v>4341.3100000000004</v>
      </c>
      <c r="AU88" s="186">
        <v>3879.78</v>
      </c>
      <c r="AV88" s="186">
        <v>0</v>
      </c>
      <c r="AW88" s="186">
        <v>7828.39</v>
      </c>
      <c r="AX88" s="186">
        <v>2001.53</v>
      </c>
      <c r="AY88" s="186">
        <v>3499.22</v>
      </c>
      <c r="AZ88" s="186">
        <v>7312.82</v>
      </c>
      <c r="BA88" s="186">
        <v>4520.3099999999995</v>
      </c>
      <c r="BB88" s="186">
        <v>10232.43</v>
      </c>
      <c r="BC88" s="186">
        <v>6367.7999999999993</v>
      </c>
      <c r="BD88" s="186">
        <v>5402.83</v>
      </c>
      <c r="BE88" s="186">
        <v>3810</v>
      </c>
      <c r="BF88" s="186">
        <v>8085.78</v>
      </c>
      <c r="BG88" s="186">
        <v>4315.28</v>
      </c>
      <c r="BH88" s="186">
        <v>876.74</v>
      </c>
      <c r="BI88" s="186">
        <v>400</v>
      </c>
      <c r="BJ88" s="186">
        <v>2324.83</v>
      </c>
      <c r="BK88" s="186">
        <v>3289.5</v>
      </c>
      <c r="BL88" s="186">
        <v>0</v>
      </c>
      <c r="BM88" s="186">
        <v>0</v>
      </c>
      <c r="BN88" s="186">
        <v>2268.5500000000002</v>
      </c>
      <c r="BO88" s="186">
        <v>991.71</v>
      </c>
      <c r="BP88" s="186">
        <v>68</v>
      </c>
      <c r="BQ88" s="186">
        <v>25</v>
      </c>
      <c r="BR88" s="186">
        <v>0</v>
      </c>
      <c r="BS88" s="186">
        <v>1300</v>
      </c>
      <c r="BT88" s="186">
        <v>0</v>
      </c>
      <c r="BU88" s="186">
        <v>1584.6399999999999</v>
      </c>
      <c r="BV88" s="186">
        <v>53</v>
      </c>
      <c r="BW88" s="186">
        <v>15666.789999999999</v>
      </c>
      <c r="BX88" s="186">
        <v>2700</v>
      </c>
      <c r="BY88" s="186">
        <v>0</v>
      </c>
      <c r="BZ88" s="186">
        <v>0</v>
      </c>
      <c r="CA88" s="186">
        <v>0</v>
      </c>
      <c r="CB88" s="186">
        <v>900</v>
      </c>
      <c r="CC88" s="186">
        <v>5535.0399999999991</v>
      </c>
      <c r="CD88" s="186">
        <v>3888.26</v>
      </c>
      <c r="CE88" s="186">
        <v>228</v>
      </c>
      <c r="CF88" s="186">
        <v>500</v>
      </c>
      <c r="CG88" s="186">
        <v>0</v>
      </c>
      <c r="CH88" s="186">
        <v>120</v>
      </c>
      <c r="CI88" s="186">
        <v>3190</v>
      </c>
      <c r="CJ88" s="186">
        <v>0</v>
      </c>
      <c r="CK88" s="186">
        <v>50</v>
      </c>
      <c r="CL88" s="186">
        <v>0</v>
      </c>
      <c r="CM88" s="186">
        <v>69</v>
      </c>
      <c r="CN88" s="186">
        <v>0</v>
      </c>
      <c r="CO88" s="186">
        <v>0</v>
      </c>
      <c r="CP88" s="186">
        <v>0</v>
      </c>
      <c r="CQ88" s="186">
        <v>114</v>
      </c>
      <c r="CR88" s="186">
        <v>70</v>
      </c>
      <c r="CS88" s="186">
        <v>171</v>
      </c>
      <c r="CT88" s="186">
        <v>0</v>
      </c>
      <c r="CU88" s="186">
        <v>100</v>
      </c>
      <c r="CV88" s="186">
        <v>0</v>
      </c>
      <c r="CW88" s="186">
        <v>0</v>
      </c>
      <c r="CX88" s="186">
        <v>700</v>
      </c>
      <c r="CY88" s="186">
        <v>2790</v>
      </c>
      <c r="CZ88" s="186">
        <v>208</v>
      </c>
      <c r="DA88" s="186">
        <v>0</v>
      </c>
      <c r="DB88" s="186">
        <v>1186.2</v>
      </c>
      <c r="DC88" s="194">
        <v>823.58</v>
      </c>
    </row>
    <row r="89" spans="1:118">
      <c r="A89" s="174" t="s">
        <v>83</v>
      </c>
      <c r="B89" s="186">
        <v>0</v>
      </c>
      <c r="C89" s="186">
        <v>0</v>
      </c>
      <c r="D89" s="186">
        <v>0</v>
      </c>
      <c r="E89" s="186">
        <v>0</v>
      </c>
      <c r="F89" s="186">
        <v>0</v>
      </c>
      <c r="G89" s="186">
        <v>0</v>
      </c>
      <c r="H89" s="186">
        <v>0</v>
      </c>
      <c r="I89" s="186">
        <v>0</v>
      </c>
      <c r="J89" s="186">
        <v>0</v>
      </c>
      <c r="K89" s="186">
        <v>0</v>
      </c>
      <c r="L89" s="186">
        <v>0</v>
      </c>
      <c r="M89" s="186">
        <v>0</v>
      </c>
      <c r="N89" s="186">
        <v>0</v>
      </c>
      <c r="O89" s="186">
        <v>0</v>
      </c>
      <c r="P89" s="186">
        <v>0</v>
      </c>
      <c r="Q89" s="186">
        <v>0</v>
      </c>
      <c r="R89" s="186">
        <v>0</v>
      </c>
      <c r="S89" s="186">
        <v>0</v>
      </c>
      <c r="T89" s="186">
        <v>0</v>
      </c>
      <c r="U89" s="186">
        <v>0</v>
      </c>
      <c r="V89" s="186">
        <v>0</v>
      </c>
      <c r="W89" s="186">
        <v>0</v>
      </c>
      <c r="X89" s="186">
        <v>0</v>
      </c>
      <c r="Y89" s="186">
        <v>0</v>
      </c>
      <c r="Z89" s="186">
        <v>0</v>
      </c>
      <c r="AA89" s="186">
        <v>0</v>
      </c>
      <c r="AB89" s="186">
        <v>0</v>
      </c>
      <c r="AC89" s="186">
        <v>0</v>
      </c>
      <c r="AD89" s="186">
        <v>0</v>
      </c>
      <c r="AE89" s="186">
        <v>0</v>
      </c>
      <c r="AF89" s="186">
        <v>0</v>
      </c>
      <c r="AG89" s="186">
        <v>0</v>
      </c>
      <c r="AH89" s="186">
        <v>0</v>
      </c>
      <c r="AI89" s="186">
        <v>0</v>
      </c>
      <c r="AJ89" s="186">
        <v>0</v>
      </c>
      <c r="AK89" s="186">
        <v>0</v>
      </c>
      <c r="AL89" s="186">
        <v>0</v>
      </c>
      <c r="AM89" s="186">
        <v>0</v>
      </c>
      <c r="AN89" s="186">
        <v>0</v>
      </c>
      <c r="AO89" s="186">
        <v>0</v>
      </c>
      <c r="AP89" s="186">
        <v>0</v>
      </c>
      <c r="AQ89" s="186">
        <v>0</v>
      </c>
      <c r="AR89" s="186">
        <v>0</v>
      </c>
      <c r="AS89" s="186">
        <v>0</v>
      </c>
      <c r="AT89" s="186">
        <v>0</v>
      </c>
      <c r="AU89" s="186">
        <v>0</v>
      </c>
      <c r="AV89" s="186">
        <v>0</v>
      </c>
      <c r="AW89" s="186">
        <v>0</v>
      </c>
      <c r="AX89" s="186">
        <v>0</v>
      </c>
      <c r="AY89" s="186">
        <v>0</v>
      </c>
      <c r="AZ89" s="186">
        <v>0</v>
      </c>
      <c r="BA89" s="186">
        <v>0</v>
      </c>
      <c r="BB89" s="186">
        <v>0</v>
      </c>
      <c r="BC89" s="186">
        <v>0</v>
      </c>
      <c r="BD89" s="186">
        <v>0</v>
      </c>
      <c r="BE89" s="186">
        <v>0</v>
      </c>
      <c r="BF89" s="186">
        <v>0</v>
      </c>
      <c r="BG89" s="186">
        <v>0</v>
      </c>
      <c r="BH89" s="186">
        <v>0</v>
      </c>
      <c r="BI89" s="186">
        <v>0</v>
      </c>
      <c r="BJ89" s="186">
        <v>0</v>
      </c>
      <c r="BK89" s="186">
        <v>0</v>
      </c>
      <c r="BL89" s="186">
        <v>0</v>
      </c>
      <c r="BM89" s="186">
        <v>0</v>
      </c>
      <c r="BN89" s="186">
        <v>0</v>
      </c>
      <c r="BO89" s="186">
        <v>0</v>
      </c>
      <c r="BP89" s="186">
        <v>0</v>
      </c>
      <c r="BQ89" s="186">
        <v>0</v>
      </c>
      <c r="BR89" s="186">
        <v>0</v>
      </c>
      <c r="BS89" s="186">
        <v>0</v>
      </c>
      <c r="BT89" s="186">
        <v>0</v>
      </c>
      <c r="BU89" s="186">
        <v>0</v>
      </c>
      <c r="BV89" s="186">
        <v>0</v>
      </c>
      <c r="BW89" s="186">
        <v>0</v>
      </c>
      <c r="BX89" s="186">
        <v>0</v>
      </c>
      <c r="BY89" s="186">
        <v>0</v>
      </c>
      <c r="BZ89" s="186">
        <v>0</v>
      </c>
      <c r="CA89" s="186">
        <v>0</v>
      </c>
      <c r="CB89" s="186">
        <v>0</v>
      </c>
      <c r="CC89" s="186">
        <v>0</v>
      </c>
      <c r="CD89" s="186">
        <v>0</v>
      </c>
      <c r="CE89" s="186">
        <v>0</v>
      </c>
      <c r="CF89" s="186">
        <v>0</v>
      </c>
      <c r="CG89" s="186">
        <v>0</v>
      </c>
      <c r="CH89" s="186">
        <v>0</v>
      </c>
      <c r="CI89" s="186">
        <v>0</v>
      </c>
      <c r="CJ89" s="186">
        <v>0</v>
      </c>
      <c r="CK89" s="186">
        <v>0</v>
      </c>
      <c r="CL89" s="186">
        <v>0</v>
      </c>
      <c r="CM89" s="186">
        <v>0</v>
      </c>
      <c r="CN89" s="186">
        <v>0</v>
      </c>
      <c r="CO89" s="186">
        <v>0</v>
      </c>
      <c r="CP89" s="186">
        <v>0</v>
      </c>
      <c r="CQ89" s="186">
        <v>0</v>
      </c>
      <c r="CR89" s="186">
        <v>0</v>
      </c>
      <c r="CS89" s="186">
        <v>0</v>
      </c>
      <c r="CT89" s="186">
        <v>0</v>
      </c>
      <c r="CU89" s="186">
        <v>0</v>
      </c>
      <c r="CV89" s="186">
        <v>0</v>
      </c>
      <c r="CW89" s="186">
        <v>0</v>
      </c>
      <c r="CX89" s="186">
        <v>0</v>
      </c>
      <c r="CY89" s="186">
        <v>0</v>
      </c>
      <c r="CZ89" s="186">
        <v>0</v>
      </c>
      <c r="DA89" s="186">
        <v>0</v>
      </c>
      <c r="DB89" s="186">
        <v>0</v>
      </c>
      <c r="DC89" s="194">
        <v>0</v>
      </c>
    </row>
    <row r="90" spans="1:118">
      <c r="A90" s="174" t="s">
        <v>87</v>
      </c>
      <c r="B90" s="186">
        <v>224732.37999999998</v>
      </c>
      <c r="C90" s="186">
        <v>202299.05</v>
      </c>
      <c r="D90" s="186">
        <v>0</v>
      </c>
      <c r="E90" s="186">
        <v>-1825.4000000000005</v>
      </c>
      <c r="F90" s="186">
        <v>0</v>
      </c>
      <c r="G90" s="186">
        <v>0</v>
      </c>
      <c r="H90" s="186">
        <v>0</v>
      </c>
      <c r="I90" s="186">
        <v>0</v>
      </c>
      <c r="J90" s="186">
        <v>22433.33</v>
      </c>
      <c r="K90" s="186">
        <v>0</v>
      </c>
      <c r="L90" s="186">
        <v>0</v>
      </c>
      <c r="M90" s="186">
        <v>0</v>
      </c>
      <c r="N90" s="186">
        <v>0</v>
      </c>
      <c r="O90" s="186">
        <v>0</v>
      </c>
      <c r="P90" s="186">
        <v>0</v>
      </c>
      <c r="Q90" s="186">
        <v>0</v>
      </c>
      <c r="R90" s="186">
        <v>0</v>
      </c>
      <c r="S90" s="186">
        <v>0</v>
      </c>
      <c r="T90" s="186">
        <v>0</v>
      </c>
      <c r="U90" s="186">
        <v>0</v>
      </c>
      <c r="V90" s="186">
        <v>0</v>
      </c>
      <c r="W90" s="186">
        <v>0</v>
      </c>
      <c r="X90" s="186">
        <v>-9127</v>
      </c>
      <c r="Y90" s="186">
        <v>0</v>
      </c>
      <c r="Z90" s="186">
        <v>1825.4</v>
      </c>
      <c r="AA90" s="186">
        <v>0</v>
      </c>
      <c r="AB90" s="186">
        <v>1825.4</v>
      </c>
      <c r="AC90" s="186">
        <v>1825.4</v>
      </c>
      <c r="AD90" s="186">
        <v>1825.4</v>
      </c>
      <c r="AE90" s="186">
        <v>0</v>
      </c>
      <c r="AF90" s="186">
        <v>0</v>
      </c>
      <c r="AG90" s="186">
        <v>0</v>
      </c>
      <c r="AH90" s="186">
        <v>0</v>
      </c>
      <c r="AI90" s="186">
        <v>0</v>
      </c>
      <c r="AJ90" s="186">
        <v>1825.4</v>
      </c>
      <c r="AK90" s="186">
        <v>0</v>
      </c>
      <c r="AL90" s="186">
        <v>0</v>
      </c>
      <c r="AM90" s="186">
        <v>0</v>
      </c>
      <c r="AN90" s="186">
        <v>0</v>
      </c>
      <c r="AO90" s="186">
        <v>0</v>
      </c>
      <c r="AP90" s="186">
        <v>0</v>
      </c>
      <c r="AQ90" s="186">
        <v>0</v>
      </c>
      <c r="AR90" s="186">
        <v>0</v>
      </c>
      <c r="AS90" s="186">
        <v>0</v>
      </c>
      <c r="AT90" s="186">
        <v>9180.65</v>
      </c>
      <c r="AU90" s="186">
        <v>658</v>
      </c>
      <c r="AV90" s="186">
        <v>3468</v>
      </c>
      <c r="AW90" s="186">
        <v>24876.14</v>
      </c>
      <c r="AX90" s="186">
        <v>7848.57</v>
      </c>
      <c r="AY90" s="186">
        <v>10723.39</v>
      </c>
      <c r="AZ90" s="186">
        <v>5238.66</v>
      </c>
      <c r="BA90" s="186">
        <v>1569</v>
      </c>
      <c r="BB90" s="186">
        <v>1182</v>
      </c>
      <c r="BC90" s="186">
        <v>14746</v>
      </c>
      <c r="BD90" s="186">
        <v>17161.91</v>
      </c>
      <c r="BE90" s="186">
        <v>13001.67</v>
      </c>
      <c r="BF90" s="186">
        <v>25290</v>
      </c>
      <c r="BG90" s="186">
        <v>47</v>
      </c>
      <c r="BH90" s="186">
        <v>4234.4799999999996</v>
      </c>
      <c r="BI90" s="186">
        <v>215</v>
      </c>
      <c r="BJ90" s="186">
        <v>386</v>
      </c>
      <c r="BK90" s="186">
        <v>17412</v>
      </c>
      <c r="BL90" s="186">
        <v>1395</v>
      </c>
      <c r="BM90" s="186">
        <v>968</v>
      </c>
      <c r="BN90" s="186">
        <v>574</v>
      </c>
      <c r="BO90" s="186">
        <v>539</v>
      </c>
      <c r="BP90" s="186">
        <v>1115</v>
      </c>
      <c r="BQ90" s="186">
        <v>218</v>
      </c>
      <c r="BR90" s="186">
        <v>385</v>
      </c>
      <c r="BS90" s="186">
        <v>365</v>
      </c>
      <c r="BT90" s="186">
        <v>372</v>
      </c>
      <c r="BU90" s="186">
        <v>1596</v>
      </c>
      <c r="BV90" s="186">
        <v>951</v>
      </c>
      <c r="BW90" s="186">
        <v>3143</v>
      </c>
      <c r="BX90" s="186">
        <v>163</v>
      </c>
      <c r="BY90" s="186">
        <v>7389</v>
      </c>
      <c r="BZ90" s="186">
        <v>162</v>
      </c>
      <c r="CA90" s="186">
        <v>495</v>
      </c>
      <c r="CB90" s="186">
        <v>430</v>
      </c>
      <c r="CC90" s="186">
        <v>4065.58</v>
      </c>
      <c r="CD90" s="186">
        <v>18500</v>
      </c>
      <c r="CE90" s="186">
        <v>542</v>
      </c>
      <c r="CF90" s="186">
        <v>16</v>
      </c>
      <c r="CG90" s="186">
        <v>3</v>
      </c>
      <c r="CH90" s="186">
        <v>103</v>
      </c>
      <c r="CI90" s="186">
        <v>111</v>
      </c>
      <c r="CJ90" s="186">
        <v>116</v>
      </c>
      <c r="CK90" s="186">
        <v>57</v>
      </c>
      <c r="CL90" s="186">
        <v>98</v>
      </c>
      <c r="CM90" s="186">
        <v>30</v>
      </c>
      <c r="CN90" s="186">
        <v>241</v>
      </c>
      <c r="CO90" s="186">
        <v>103</v>
      </c>
      <c r="CP90" s="186">
        <v>331</v>
      </c>
      <c r="CQ90" s="186">
        <v>134</v>
      </c>
      <c r="CR90" s="186">
        <v>25</v>
      </c>
      <c r="CS90" s="186">
        <v>48</v>
      </c>
      <c r="CT90" s="186">
        <v>20</v>
      </c>
      <c r="CU90" s="186">
        <v>34</v>
      </c>
      <c r="CV90" s="186">
        <v>15</v>
      </c>
      <c r="CW90" s="186">
        <v>0</v>
      </c>
      <c r="CX90" s="186">
        <v>74</v>
      </c>
      <c r="CY90" s="186">
        <v>10</v>
      </c>
      <c r="CZ90" s="186">
        <v>8</v>
      </c>
      <c r="DA90" s="186">
        <v>0</v>
      </c>
      <c r="DB90" s="186">
        <v>102</v>
      </c>
      <c r="DC90" s="194">
        <v>14</v>
      </c>
    </row>
    <row r="91" spans="1:118">
      <c r="A91" s="174" t="s">
        <v>91</v>
      </c>
      <c r="B91" s="186">
        <v>0</v>
      </c>
      <c r="C91" s="186">
        <v>0</v>
      </c>
      <c r="D91" s="186">
        <v>0</v>
      </c>
      <c r="E91" s="186">
        <v>0</v>
      </c>
      <c r="F91" s="186">
        <v>0</v>
      </c>
      <c r="G91" s="186">
        <v>0</v>
      </c>
      <c r="H91" s="186">
        <v>0</v>
      </c>
      <c r="I91" s="186">
        <v>0</v>
      </c>
      <c r="J91" s="186">
        <v>0</v>
      </c>
      <c r="K91" s="186">
        <v>0</v>
      </c>
      <c r="L91" s="186">
        <v>0</v>
      </c>
      <c r="M91" s="186">
        <v>0</v>
      </c>
      <c r="N91" s="186">
        <v>0</v>
      </c>
      <c r="O91" s="186">
        <v>0</v>
      </c>
      <c r="P91" s="186">
        <v>0</v>
      </c>
      <c r="Q91" s="186">
        <v>0</v>
      </c>
      <c r="R91" s="186">
        <v>0</v>
      </c>
      <c r="S91" s="186">
        <v>0</v>
      </c>
      <c r="T91" s="186">
        <v>0</v>
      </c>
      <c r="U91" s="186">
        <v>0</v>
      </c>
      <c r="V91" s="186">
        <v>0</v>
      </c>
      <c r="W91" s="186">
        <v>0</v>
      </c>
      <c r="X91" s="186">
        <v>0</v>
      </c>
      <c r="Y91" s="186">
        <v>0</v>
      </c>
      <c r="Z91" s="186">
        <v>0</v>
      </c>
      <c r="AA91" s="186">
        <v>0</v>
      </c>
      <c r="AB91" s="186">
        <v>0</v>
      </c>
      <c r="AC91" s="186">
        <v>0</v>
      </c>
      <c r="AD91" s="186">
        <v>0</v>
      </c>
      <c r="AE91" s="186">
        <v>0</v>
      </c>
      <c r="AF91" s="186">
        <v>0</v>
      </c>
      <c r="AG91" s="186">
        <v>0</v>
      </c>
      <c r="AH91" s="186">
        <v>0</v>
      </c>
      <c r="AI91" s="186">
        <v>0</v>
      </c>
      <c r="AJ91" s="186">
        <v>0</v>
      </c>
      <c r="AK91" s="186">
        <v>0</v>
      </c>
      <c r="AL91" s="186">
        <v>0</v>
      </c>
      <c r="AM91" s="186">
        <v>0</v>
      </c>
      <c r="AN91" s="186">
        <v>0</v>
      </c>
      <c r="AO91" s="186">
        <v>0</v>
      </c>
      <c r="AP91" s="186">
        <v>0</v>
      </c>
      <c r="AQ91" s="186">
        <v>0</v>
      </c>
      <c r="AR91" s="186">
        <v>0</v>
      </c>
      <c r="AS91" s="186">
        <v>0</v>
      </c>
      <c r="AT91" s="186">
        <v>0</v>
      </c>
      <c r="AU91" s="186">
        <v>0</v>
      </c>
      <c r="AV91" s="186">
        <v>0</v>
      </c>
      <c r="AW91" s="186">
        <v>0</v>
      </c>
      <c r="AX91" s="186">
        <v>0</v>
      </c>
      <c r="AY91" s="186">
        <v>0</v>
      </c>
      <c r="AZ91" s="186">
        <v>0</v>
      </c>
      <c r="BA91" s="186">
        <v>0</v>
      </c>
      <c r="BB91" s="186">
        <v>0</v>
      </c>
      <c r="BC91" s="186">
        <v>0</v>
      </c>
      <c r="BD91" s="186">
        <v>0</v>
      </c>
      <c r="BE91" s="186">
        <v>0</v>
      </c>
      <c r="BF91" s="186">
        <v>0</v>
      </c>
      <c r="BG91" s="186">
        <v>0</v>
      </c>
      <c r="BH91" s="186">
        <v>0</v>
      </c>
      <c r="BI91" s="186">
        <v>0</v>
      </c>
      <c r="BJ91" s="186">
        <v>0</v>
      </c>
      <c r="BK91" s="186">
        <v>0</v>
      </c>
      <c r="BL91" s="186">
        <v>0</v>
      </c>
      <c r="BM91" s="186">
        <v>0</v>
      </c>
      <c r="BN91" s="186">
        <v>0</v>
      </c>
      <c r="BO91" s="186">
        <v>0</v>
      </c>
      <c r="BP91" s="186">
        <v>0</v>
      </c>
      <c r="BQ91" s="186">
        <v>0</v>
      </c>
      <c r="BR91" s="186">
        <v>0</v>
      </c>
      <c r="BS91" s="186">
        <v>0</v>
      </c>
      <c r="BT91" s="186">
        <v>0</v>
      </c>
      <c r="BU91" s="186">
        <v>0</v>
      </c>
      <c r="BV91" s="186">
        <v>0</v>
      </c>
      <c r="BW91" s="186">
        <v>0</v>
      </c>
      <c r="BX91" s="186">
        <v>0</v>
      </c>
      <c r="BY91" s="186">
        <v>0</v>
      </c>
      <c r="BZ91" s="186">
        <v>0</v>
      </c>
      <c r="CA91" s="186">
        <v>0</v>
      </c>
      <c r="CB91" s="186">
        <v>0</v>
      </c>
      <c r="CC91" s="186">
        <v>0</v>
      </c>
      <c r="CD91" s="186">
        <v>0</v>
      </c>
      <c r="CE91" s="186">
        <v>0</v>
      </c>
      <c r="CF91" s="186">
        <v>0</v>
      </c>
      <c r="CG91" s="186">
        <v>0</v>
      </c>
      <c r="CH91" s="186">
        <v>0</v>
      </c>
      <c r="CI91" s="186">
        <v>0</v>
      </c>
      <c r="CJ91" s="186">
        <v>0</v>
      </c>
      <c r="CK91" s="186">
        <v>0</v>
      </c>
      <c r="CL91" s="186">
        <v>0</v>
      </c>
      <c r="CM91" s="186">
        <v>0</v>
      </c>
      <c r="CN91" s="186">
        <v>0</v>
      </c>
      <c r="CO91" s="186">
        <v>0</v>
      </c>
      <c r="CP91" s="186">
        <v>0</v>
      </c>
      <c r="CQ91" s="186">
        <v>0</v>
      </c>
      <c r="CR91" s="186">
        <v>0</v>
      </c>
      <c r="CS91" s="186">
        <v>0</v>
      </c>
      <c r="CT91" s="186">
        <v>0</v>
      </c>
      <c r="CU91" s="186">
        <v>0</v>
      </c>
      <c r="CV91" s="186">
        <v>0</v>
      </c>
      <c r="CW91" s="186">
        <v>0</v>
      </c>
      <c r="CX91" s="186">
        <v>0</v>
      </c>
      <c r="CY91" s="186">
        <v>0</v>
      </c>
      <c r="CZ91" s="186">
        <v>0</v>
      </c>
      <c r="DA91" s="186">
        <v>0</v>
      </c>
      <c r="DB91" s="186">
        <v>0</v>
      </c>
      <c r="DC91" s="194">
        <v>0</v>
      </c>
    </row>
    <row r="92" spans="1:118">
      <c r="A92" s="174" t="s">
        <v>92</v>
      </c>
      <c r="B92" s="186">
        <v>68929.820000000007</v>
      </c>
      <c r="C92" s="186">
        <v>64279.82</v>
      </c>
      <c r="D92" s="186">
        <v>2760</v>
      </c>
      <c r="E92" s="186">
        <v>0</v>
      </c>
      <c r="F92" s="186">
        <v>300</v>
      </c>
      <c r="G92" s="186">
        <v>0</v>
      </c>
      <c r="H92" s="186">
        <v>0</v>
      </c>
      <c r="I92" s="186">
        <v>0</v>
      </c>
      <c r="J92" s="186">
        <v>1590</v>
      </c>
      <c r="K92" s="186">
        <v>0</v>
      </c>
      <c r="L92" s="186">
        <v>0</v>
      </c>
      <c r="M92" s="186">
        <v>0</v>
      </c>
      <c r="N92" s="186">
        <v>0</v>
      </c>
      <c r="O92" s="186">
        <v>0</v>
      </c>
      <c r="P92" s="186">
        <v>0</v>
      </c>
      <c r="Q92" s="186">
        <v>0</v>
      </c>
      <c r="R92" s="186">
        <v>0</v>
      </c>
      <c r="S92" s="186">
        <v>0</v>
      </c>
      <c r="T92" s="186">
        <v>0</v>
      </c>
      <c r="U92" s="186">
        <v>0</v>
      </c>
      <c r="V92" s="186">
        <v>0</v>
      </c>
      <c r="W92" s="186">
        <v>0</v>
      </c>
      <c r="X92" s="186">
        <v>0</v>
      </c>
      <c r="Y92" s="186">
        <v>0</v>
      </c>
      <c r="Z92" s="186">
        <v>0</v>
      </c>
      <c r="AA92" s="186">
        <v>0</v>
      </c>
      <c r="AB92" s="186">
        <v>0</v>
      </c>
      <c r="AC92" s="186">
        <v>0</v>
      </c>
      <c r="AD92" s="186">
        <v>0</v>
      </c>
      <c r="AE92" s="186">
        <v>0</v>
      </c>
      <c r="AF92" s="186">
        <v>2760</v>
      </c>
      <c r="AG92" s="186">
        <v>0</v>
      </c>
      <c r="AH92" s="186">
        <v>0</v>
      </c>
      <c r="AI92" s="186">
        <v>0</v>
      </c>
      <c r="AJ92" s="186">
        <v>0</v>
      </c>
      <c r="AK92" s="186">
        <v>0</v>
      </c>
      <c r="AL92" s="186">
        <v>300</v>
      </c>
      <c r="AM92" s="186">
        <v>0</v>
      </c>
      <c r="AN92" s="186">
        <v>0</v>
      </c>
      <c r="AO92" s="186">
        <v>0</v>
      </c>
      <c r="AP92" s="186">
        <v>0</v>
      </c>
      <c r="AQ92" s="186">
        <v>0</v>
      </c>
      <c r="AR92" s="186">
        <v>0</v>
      </c>
      <c r="AS92" s="186">
        <v>0</v>
      </c>
      <c r="AT92" s="186">
        <v>19197.09</v>
      </c>
      <c r="AU92" s="186">
        <v>0</v>
      </c>
      <c r="AV92" s="186">
        <v>0</v>
      </c>
      <c r="AW92" s="186">
        <v>0</v>
      </c>
      <c r="AX92" s="186">
        <v>10513.73</v>
      </c>
      <c r="AY92" s="186">
        <v>0</v>
      </c>
      <c r="AZ92" s="186">
        <v>0</v>
      </c>
      <c r="BA92" s="186">
        <v>630</v>
      </c>
      <c r="BB92" s="186">
        <v>0</v>
      </c>
      <c r="BC92" s="186">
        <v>0</v>
      </c>
      <c r="BD92" s="186">
        <v>16863</v>
      </c>
      <c r="BE92" s="186">
        <v>0</v>
      </c>
      <c r="BF92" s="186">
        <v>0</v>
      </c>
      <c r="BG92" s="186">
        <v>0</v>
      </c>
      <c r="BH92" s="186">
        <v>850</v>
      </c>
      <c r="BI92" s="186">
        <v>0</v>
      </c>
      <c r="BJ92" s="186">
        <v>0</v>
      </c>
      <c r="BK92" s="186">
        <v>0</v>
      </c>
      <c r="BL92" s="186">
        <v>0</v>
      </c>
      <c r="BM92" s="186">
        <v>0</v>
      </c>
      <c r="BN92" s="186">
        <v>0</v>
      </c>
      <c r="BO92" s="186">
        <v>0</v>
      </c>
      <c r="BP92" s="186">
        <v>0</v>
      </c>
      <c r="BQ92" s="186">
        <v>0</v>
      </c>
      <c r="BR92" s="186">
        <v>0</v>
      </c>
      <c r="BS92" s="186">
        <v>0</v>
      </c>
      <c r="BT92" s="186">
        <v>0</v>
      </c>
      <c r="BU92" s="186">
        <v>0</v>
      </c>
      <c r="BV92" s="186">
        <v>0</v>
      </c>
      <c r="BW92" s="186">
        <v>6900</v>
      </c>
      <c r="BX92" s="186">
        <v>0</v>
      </c>
      <c r="BY92" s="186">
        <v>2800</v>
      </c>
      <c r="BZ92" s="186">
        <v>0</v>
      </c>
      <c r="CA92" s="186">
        <v>0</v>
      </c>
      <c r="CB92" s="186">
        <v>0</v>
      </c>
      <c r="CC92" s="186">
        <v>0</v>
      </c>
      <c r="CD92" s="186">
        <v>0</v>
      </c>
      <c r="CE92" s="186">
        <v>0</v>
      </c>
      <c r="CF92" s="186">
        <v>0</v>
      </c>
      <c r="CG92" s="186">
        <v>0</v>
      </c>
      <c r="CH92" s="186">
        <v>0</v>
      </c>
      <c r="CI92" s="186">
        <v>0</v>
      </c>
      <c r="CJ92" s="186">
        <v>0</v>
      </c>
      <c r="CK92" s="186">
        <v>0</v>
      </c>
      <c r="CL92" s="186">
        <v>0</v>
      </c>
      <c r="CM92" s="186">
        <v>0</v>
      </c>
      <c r="CN92" s="186">
        <v>0</v>
      </c>
      <c r="CO92" s="186">
        <v>0</v>
      </c>
      <c r="CP92" s="186">
        <v>0</v>
      </c>
      <c r="CQ92" s="186">
        <v>0</v>
      </c>
      <c r="CR92" s="186">
        <v>0</v>
      </c>
      <c r="CS92" s="186">
        <v>0</v>
      </c>
      <c r="CT92" s="186">
        <v>0</v>
      </c>
      <c r="CU92" s="186">
        <v>0</v>
      </c>
      <c r="CV92" s="186">
        <v>0</v>
      </c>
      <c r="CW92" s="186">
        <v>0</v>
      </c>
      <c r="CX92" s="186">
        <v>0</v>
      </c>
      <c r="CY92" s="186">
        <v>0</v>
      </c>
      <c r="CZ92" s="186">
        <v>6526</v>
      </c>
      <c r="DA92" s="186">
        <v>0</v>
      </c>
      <c r="DB92" s="186">
        <v>0</v>
      </c>
      <c r="DC92" s="194">
        <v>0</v>
      </c>
    </row>
    <row r="93" spans="1:118">
      <c r="A93" s="174" t="s">
        <v>95</v>
      </c>
      <c r="B93" s="186">
        <v>378000</v>
      </c>
      <c r="C93" s="186">
        <v>28000</v>
      </c>
      <c r="D93" s="186">
        <v>0</v>
      </c>
      <c r="E93" s="186">
        <v>0</v>
      </c>
      <c r="F93" s="186">
        <v>0</v>
      </c>
      <c r="G93" s="186">
        <v>0</v>
      </c>
      <c r="H93" s="186">
        <v>973217</v>
      </c>
      <c r="I93" s="186">
        <v>0</v>
      </c>
      <c r="J93" s="186">
        <v>-623217</v>
      </c>
      <c r="K93" s="186">
        <v>0</v>
      </c>
      <c r="L93" s="186">
        <v>0</v>
      </c>
      <c r="M93" s="186">
        <v>0</v>
      </c>
      <c r="N93" s="186">
        <v>0</v>
      </c>
      <c r="O93" s="186">
        <v>0</v>
      </c>
      <c r="P93" s="186">
        <v>0</v>
      </c>
      <c r="Q93" s="186">
        <v>0</v>
      </c>
      <c r="R93" s="186">
        <v>0</v>
      </c>
      <c r="S93" s="186">
        <v>0</v>
      </c>
      <c r="T93" s="186">
        <v>0</v>
      </c>
      <c r="U93" s="186">
        <v>0</v>
      </c>
      <c r="V93" s="186">
        <v>0</v>
      </c>
      <c r="W93" s="186">
        <v>0</v>
      </c>
      <c r="X93" s="186">
        <v>0</v>
      </c>
      <c r="Y93" s="186">
        <v>0</v>
      </c>
      <c r="Z93" s="186">
        <v>0</v>
      </c>
      <c r="AA93" s="186">
        <v>0</v>
      </c>
      <c r="AB93" s="186">
        <v>0</v>
      </c>
      <c r="AC93" s="186">
        <v>0</v>
      </c>
      <c r="AD93" s="186">
        <v>0</v>
      </c>
      <c r="AE93" s="186">
        <v>0</v>
      </c>
      <c r="AF93" s="186">
        <v>0</v>
      </c>
      <c r="AG93" s="186">
        <v>0</v>
      </c>
      <c r="AH93" s="186">
        <v>0</v>
      </c>
      <c r="AI93" s="186">
        <v>0</v>
      </c>
      <c r="AJ93" s="186">
        <v>0</v>
      </c>
      <c r="AK93" s="186">
        <v>0</v>
      </c>
      <c r="AL93" s="186">
        <v>0</v>
      </c>
      <c r="AM93" s="186">
        <v>0</v>
      </c>
      <c r="AN93" s="186">
        <v>0</v>
      </c>
      <c r="AO93" s="186">
        <v>0</v>
      </c>
      <c r="AP93" s="186">
        <v>0</v>
      </c>
      <c r="AQ93" s="186">
        <v>0</v>
      </c>
      <c r="AR93" s="186">
        <v>0</v>
      </c>
      <c r="AS93" s="186">
        <v>0</v>
      </c>
      <c r="AT93" s="186">
        <v>0</v>
      </c>
      <c r="AU93" s="186">
        <v>0</v>
      </c>
      <c r="AV93" s="186">
        <v>0</v>
      </c>
      <c r="AW93" s="186">
        <v>0</v>
      </c>
      <c r="AX93" s="186">
        <v>0</v>
      </c>
      <c r="AY93" s="186">
        <v>0</v>
      </c>
      <c r="AZ93" s="186">
        <v>0</v>
      </c>
      <c r="BA93" s="186">
        <v>0</v>
      </c>
      <c r="BB93" s="186">
        <v>8000</v>
      </c>
      <c r="BC93" s="186">
        <v>0</v>
      </c>
      <c r="BD93" s="186">
        <v>0</v>
      </c>
      <c r="BE93" s="186">
        <v>0</v>
      </c>
      <c r="BF93" s="186">
        <v>0</v>
      </c>
      <c r="BG93" s="186">
        <v>0</v>
      </c>
      <c r="BH93" s="186">
        <v>0</v>
      </c>
      <c r="BI93" s="186">
        <v>0</v>
      </c>
      <c r="BJ93" s="186">
        <v>0</v>
      </c>
      <c r="BK93" s="186">
        <v>0</v>
      </c>
      <c r="BL93" s="186">
        <v>0</v>
      </c>
      <c r="BM93" s="186">
        <v>0</v>
      </c>
      <c r="BN93" s="186">
        <v>0</v>
      </c>
      <c r="BO93" s="186">
        <v>0</v>
      </c>
      <c r="BP93" s="186">
        <v>0</v>
      </c>
      <c r="BQ93" s="186">
        <v>0</v>
      </c>
      <c r="BR93" s="186">
        <v>0</v>
      </c>
      <c r="BS93" s="186">
        <v>0</v>
      </c>
      <c r="BT93" s="186">
        <v>0</v>
      </c>
      <c r="BU93" s="186">
        <v>0</v>
      </c>
      <c r="BV93" s="186">
        <v>0</v>
      </c>
      <c r="BW93" s="186">
        <v>0</v>
      </c>
      <c r="BX93" s="186">
        <v>0</v>
      </c>
      <c r="BY93" s="186">
        <v>0</v>
      </c>
      <c r="BZ93" s="186">
        <v>0</v>
      </c>
      <c r="CA93" s="186">
        <v>0</v>
      </c>
      <c r="CB93" s="186">
        <v>0</v>
      </c>
      <c r="CC93" s="186">
        <v>0</v>
      </c>
      <c r="CD93" s="186">
        <v>0</v>
      </c>
      <c r="CE93" s="186">
        <v>0</v>
      </c>
      <c r="CF93" s="186">
        <v>0</v>
      </c>
      <c r="CG93" s="186">
        <v>0</v>
      </c>
      <c r="CH93" s="186">
        <v>0</v>
      </c>
      <c r="CI93" s="186">
        <v>0</v>
      </c>
      <c r="CJ93" s="186">
        <v>0</v>
      </c>
      <c r="CK93" s="186">
        <v>0</v>
      </c>
      <c r="CL93" s="186">
        <v>0</v>
      </c>
      <c r="CM93" s="186">
        <v>0</v>
      </c>
      <c r="CN93" s="186">
        <v>0</v>
      </c>
      <c r="CO93" s="186">
        <v>0</v>
      </c>
      <c r="CP93" s="186">
        <v>0</v>
      </c>
      <c r="CQ93" s="186">
        <v>0</v>
      </c>
      <c r="CR93" s="186">
        <v>0</v>
      </c>
      <c r="CS93" s="186">
        <v>0</v>
      </c>
      <c r="CT93" s="186">
        <v>0</v>
      </c>
      <c r="CU93" s="186">
        <v>0</v>
      </c>
      <c r="CV93" s="186">
        <v>0</v>
      </c>
      <c r="CW93" s="186">
        <v>0</v>
      </c>
      <c r="CX93" s="186">
        <v>20000</v>
      </c>
      <c r="CY93" s="186">
        <v>0</v>
      </c>
      <c r="CZ93" s="186">
        <v>0</v>
      </c>
      <c r="DA93" s="186">
        <v>0</v>
      </c>
      <c r="DB93" s="186">
        <v>0</v>
      </c>
      <c r="DC93" s="194">
        <v>0</v>
      </c>
    </row>
    <row r="94" spans="1:118">
      <c r="A94" s="174" t="s">
        <v>97</v>
      </c>
      <c r="B94" s="186">
        <v>0</v>
      </c>
      <c r="C94" s="186">
        <v>0</v>
      </c>
      <c r="D94" s="186">
        <v>0</v>
      </c>
      <c r="E94" s="186">
        <v>0</v>
      </c>
      <c r="F94" s="186">
        <v>0</v>
      </c>
      <c r="G94" s="186">
        <v>0</v>
      </c>
      <c r="H94" s="186">
        <v>0</v>
      </c>
      <c r="I94" s="186">
        <v>0</v>
      </c>
      <c r="J94" s="186">
        <v>0</v>
      </c>
      <c r="K94" s="186">
        <v>0</v>
      </c>
      <c r="L94" s="186">
        <v>0</v>
      </c>
      <c r="M94" s="186">
        <v>0</v>
      </c>
      <c r="N94" s="186">
        <v>0</v>
      </c>
      <c r="O94" s="186">
        <v>0</v>
      </c>
      <c r="P94" s="186">
        <v>0</v>
      </c>
      <c r="Q94" s="186">
        <v>0</v>
      </c>
      <c r="R94" s="186">
        <v>0</v>
      </c>
      <c r="S94" s="186">
        <v>0</v>
      </c>
      <c r="T94" s="186">
        <v>0</v>
      </c>
      <c r="U94" s="186">
        <v>0</v>
      </c>
      <c r="V94" s="186">
        <v>0</v>
      </c>
      <c r="W94" s="186">
        <v>0</v>
      </c>
      <c r="X94" s="186">
        <v>0</v>
      </c>
      <c r="Y94" s="186">
        <v>0</v>
      </c>
      <c r="Z94" s="186">
        <v>0</v>
      </c>
      <c r="AA94" s="186">
        <v>0</v>
      </c>
      <c r="AB94" s="186">
        <v>0</v>
      </c>
      <c r="AC94" s="186">
        <v>0</v>
      </c>
      <c r="AD94" s="186">
        <v>0</v>
      </c>
      <c r="AE94" s="186">
        <v>0</v>
      </c>
      <c r="AF94" s="186">
        <v>0</v>
      </c>
      <c r="AG94" s="186">
        <v>0</v>
      </c>
      <c r="AH94" s="186">
        <v>0</v>
      </c>
      <c r="AI94" s="186">
        <v>0</v>
      </c>
      <c r="AJ94" s="186">
        <v>0</v>
      </c>
      <c r="AK94" s="186">
        <v>0</v>
      </c>
      <c r="AL94" s="186">
        <v>0</v>
      </c>
      <c r="AM94" s="186">
        <v>0</v>
      </c>
      <c r="AN94" s="186">
        <v>0</v>
      </c>
      <c r="AO94" s="186">
        <v>0</v>
      </c>
      <c r="AP94" s="186">
        <v>0</v>
      </c>
      <c r="AQ94" s="186">
        <v>0</v>
      </c>
      <c r="AR94" s="186">
        <v>0</v>
      </c>
      <c r="AS94" s="186">
        <v>0</v>
      </c>
      <c r="AT94" s="186">
        <v>0</v>
      </c>
      <c r="AU94" s="186">
        <v>0</v>
      </c>
      <c r="AV94" s="186">
        <v>0</v>
      </c>
      <c r="AW94" s="186">
        <v>0</v>
      </c>
      <c r="AX94" s="186">
        <v>0</v>
      </c>
      <c r="AY94" s="186">
        <v>0</v>
      </c>
      <c r="AZ94" s="186">
        <v>0</v>
      </c>
      <c r="BA94" s="186">
        <v>0</v>
      </c>
      <c r="BB94" s="186">
        <v>0</v>
      </c>
      <c r="BC94" s="186">
        <v>0</v>
      </c>
      <c r="BD94" s="186">
        <v>0</v>
      </c>
      <c r="BE94" s="186">
        <v>0</v>
      </c>
      <c r="BF94" s="186">
        <v>0</v>
      </c>
      <c r="BG94" s="186">
        <v>0</v>
      </c>
      <c r="BH94" s="186">
        <v>0</v>
      </c>
      <c r="BI94" s="186">
        <v>0</v>
      </c>
      <c r="BJ94" s="186">
        <v>0</v>
      </c>
      <c r="BK94" s="186">
        <v>0</v>
      </c>
      <c r="BL94" s="186">
        <v>0</v>
      </c>
      <c r="BM94" s="186">
        <v>0</v>
      </c>
      <c r="BN94" s="186">
        <v>0</v>
      </c>
      <c r="BO94" s="186">
        <v>0</v>
      </c>
      <c r="BP94" s="186">
        <v>0</v>
      </c>
      <c r="BQ94" s="186">
        <v>0</v>
      </c>
      <c r="BR94" s="186">
        <v>0</v>
      </c>
      <c r="BS94" s="186">
        <v>0</v>
      </c>
      <c r="BT94" s="186">
        <v>0</v>
      </c>
      <c r="BU94" s="186">
        <v>0</v>
      </c>
      <c r="BV94" s="186">
        <v>0</v>
      </c>
      <c r="BW94" s="186">
        <v>0</v>
      </c>
      <c r="BX94" s="186">
        <v>0</v>
      </c>
      <c r="BY94" s="186">
        <v>0</v>
      </c>
      <c r="BZ94" s="186">
        <v>0</v>
      </c>
      <c r="CA94" s="186">
        <v>0</v>
      </c>
      <c r="CB94" s="186">
        <v>0</v>
      </c>
      <c r="CC94" s="186">
        <v>0</v>
      </c>
      <c r="CD94" s="186">
        <v>0</v>
      </c>
      <c r="CE94" s="186">
        <v>0</v>
      </c>
      <c r="CF94" s="186">
        <v>0</v>
      </c>
      <c r="CG94" s="186">
        <v>0</v>
      </c>
      <c r="CH94" s="186">
        <v>0</v>
      </c>
      <c r="CI94" s="186">
        <v>0</v>
      </c>
      <c r="CJ94" s="186">
        <v>0</v>
      </c>
      <c r="CK94" s="186">
        <v>0</v>
      </c>
      <c r="CL94" s="186">
        <v>0</v>
      </c>
      <c r="CM94" s="186">
        <v>0</v>
      </c>
      <c r="CN94" s="186">
        <v>0</v>
      </c>
      <c r="CO94" s="186">
        <v>0</v>
      </c>
      <c r="CP94" s="186">
        <v>0</v>
      </c>
      <c r="CQ94" s="186">
        <v>0</v>
      </c>
      <c r="CR94" s="186">
        <v>0</v>
      </c>
      <c r="CS94" s="186">
        <v>0</v>
      </c>
      <c r="CT94" s="186">
        <v>0</v>
      </c>
      <c r="CU94" s="186">
        <v>0</v>
      </c>
      <c r="CV94" s="186">
        <v>0</v>
      </c>
      <c r="CW94" s="186">
        <v>0</v>
      </c>
      <c r="CX94" s="186">
        <v>0</v>
      </c>
      <c r="CY94" s="186">
        <v>0</v>
      </c>
      <c r="CZ94" s="186">
        <v>0</v>
      </c>
      <c r="DA94" s="186">
        <v>0</v>
      </c>
      <c r="DB94" s="186">
        <v>0</v>
      </c>
      <c r="DC94" s="194">
        <v>0</v>
      </c>
    </row>
    <row r="95" spans="1:118">
      <c r="A95" s="174" t="s">
        <v>98</v>
      </c>
      <c r="B95" s="186">
        <v>0</v>
      </c>
      <c r="C95" s="186">
        <v>0</v>
      </c>
      <c r="D95" s="186">
        <v>0</v>
      </c>
      <c r="E95" s="186">
        <v>0</v>
      </c>
      <c r="F95" s="186">
        <v>0</v>
      </c>
      <c r="G95" s="186">
        <v>0</v>
      </c>
      <c r="H95" s="186">
        <v>0</v>
      </c>
      <c r="I95" s="186">
        <v>0</v>
      </c>
      <c r="J95" s="186">
        <v>0</v>
      </c>
      <c r="K95" s="186">
        <v>0</v>
      </c>
      <c r="L95" s="186">
        <v>0</v>
      </c>
      <c r="M95" s="186">
        <v>0</v>
      </c>
      <c r="N95" s="186">
        <v>0</v>
      </c>
      <c r="O95" s="186">
        <v>0</v>
      </c>
      <c r="P95" s="186">
        <v>0</v>
      </c>
      <c r="Q95" s="186">
        <v>0</v>
      </c>
      <c r="R95" s="186">
        <v>0</v>
      </c>
      <c r="S95" s="186">
        <v>0</v>
      </c>
      <c r="T95" s="186">
        <v>0</v>
      </c>
      <c r="U95" s="186">
        <v>0</v>
      </c>
      <c r="V95" s="186">
        <v>0</v>
      </c>
      <c r="W95" s="186">
        <v>0</v>
      </c>
      <c r="X95" s="186">
        <v>0</v>
      </c>
      <c r="Y95" s="186">
        <v>0</v>
      </c>
      <c r="Z95" s="186">
        <v>0</v>
      </c>
      <c r="AA95" s="186">
        <v>0</v>
      </c>
      <c r="AB95" s="186">
        <v>0</v>
      </c>
      <c r="AC95" s="186">
        <v>0</v>
      </c>
      <c r="AD95" s="186">
        <v>0</v>
      </c>
      <c r="AE95" s="186">
        <v>0</v>
      </c>
      <c r="AF95" s="186">
        <v>0</v>
      </c>
      <c r="AG95" s="186">
        <v>0</v>
      </c>
      <c r="AH95" s="186">
        <v>0</v>
      </c>
      <c r="AI95" s="186">
        <v>0</v>
      </c>
      <c r="AJ95" s="186">
        <v>0</v>
      </c>
      <c r="AK95" s="186">
        <v>0</v>
      </c>
      <c r="AL95" s="186">
        <v>0</v>
      </c>
      <c r="AM95" s="186">
        <v>0</v>
      </c>
      <c r="AN95" s="186">
        <v>0</v>
      </c>
      <c r="AO95" s="186">
        <v>0</v>
      </c>
      <c r="AP95" s="186">
        <v>0</v>
      </c>
      <c r="AQ95" s="186">
        <v>0</v>
      </c>
      <c r="AR95" s="186">
        <v>0</v>
      </c>
      <c r="AS95" s="186">
        <v>0</v>
      </c>
      <c r="AT95" s="186">
        <v>0</v>
      </c>
      <c r="AU95" s="186">
        <v>0</v>
      </c>
      <c r="AV95" s="186">
        <v>0</v>
      </c>
      <c r="AW95" s="186">
        <v>0</v>
      </c>
      <c r="AX95" s="186">
        <v>0</v>
      </c>
      <c r="AY95" s="186">
        <v>0</v>
      </c>
      <c r="AZ95" s="186">
        <v>0</v>
      </c>
      <c r="BA95" s="186">
        <v>0</v>
      </c>
      <c r="BB95" s="186">
        <v>0</v>
      </c>
      <c r="BC95" s="186">
        <v>0</v>
      </c>
      <c r="BD95" s="186">
        <v>0</v>
      </c>
      <c r="BE95" s="186">
        <v>0</v>
      </c>
      <c r="BF95" s="186">
        <v>0</v>
      </c>
      <c r="BG95" s="186">
        <v>0</v>
      </c>
      <c r="BH95" s="186">
        <v>0</v>
      </c>
      <c r="BI95" s="186">
        <v>0</v>
      </c>
      <c r="BJ95" s="186">
        <v>0</v>
      </c>
      <c r="BK95" s="186">
        <v>0</v>
      </c>
      <c r="BL95" s="186">
        <v>0</v>
      </c>
      <c r="BM95" s="186">
        <v>0</v>
      </c>
      <c r="BN95" s="186">
        <v>0</v>
      </c>
      <c r="BO95" s="186">
        <v>0</v>
      </c>
      <c r="BP95" s="186">
        <v>0</v>
      </c>
      <c r="BQ95" s="186">
        <v>0</v>
      </c>
      <c r="BR95" s="186">
        <v>0</v>
      </c>
      <c r="BS95" s="186">
        <v>0</v>
      </c>
      <c r="BT95" s="186">
        <v>0</v>
      </c>
      <c r="BU95" s="186">
        <v>0</v>
      </c>
      <c r="BV95" s="186">
        <v>0</v>
      </c>
      <c r="BW95" s="186">
        <v>0</v>
      </c>
      <c r="BX95" s="186">
        <v>0</v>
      </c>
      <c r="BY95" s="186">
        <v>0</v>
      </c>
      <c r="BZ95" s="186">
        <v>0</v>
      </c>
      <c r="CA95" s="186">
        <v>0</v>
      </c>
      <c r="CB95" s="186">
        <v>0</v>
      </c>
      <c r="CC95" s="186">
        <v>0</v>
      </c>
      <c r="CD95" s="186">
        <v>0</v>
      </c>
      <c r="CE95" s="186">
        <v>0</v>
      </c>
      <c r="CF95" s="186">
        <v>0</v>
      </c>
      <c r="CG95" s="186">
        <v>0</v>
      </c>
      <c r="CH95" s="186">
        <v>0</v>
      </c>
      <c r="CI95" s="186">
        <v>0</v>
      </c>
      <c r="CJ95" s="186">
        <v>0</v>
      </c>
      <c r="CK95" s="186">
        <v>0</v>
      </c>
      <c r="CL95" s="186">
        <v>0</v>
      </c>
      <c r="CM95" s="186">
        <v>0</v>
      </c>
      <c r="CN95" s="186">
        <v>0</v>
      </c>
      <c r="CO95" s="186">
        <v>0</v>
      </c>
      <c r="CP95" s="186">
        <v>0</v>
      </c>
      <c r="CQ95" s="186">
        <v>0</v>
      </c>
      <c r="CR95" s="186">
        <v>0</v>
      </c>
      <c r="CS95" s="186">
        <v>0</v>
      </c>
      <c r="CT95" s="186">
        <v>0</v>
      </c>
      <c r="CU95" s="186">
        <v>0</v>
      </c>
      <c r="CV95" s="186">
        <v>0</v>
      </c>
      <c r="CW95" s="186">
        <v>0</v>
      </c>
      <c r="CX95" s="186">
        <v>0</v>
      </c>
      <c r="CY95" s="186">
        <v>0</v>
      </c>
      <c r="CZ95" s="186">
        <v>0</v>
      </c>
      <c r="DA95" s="186">
        <v>0</v>
      </c>
      <c r="DB95" s="186">
        <v>0</v>
      </c>
      <c r="DC95" s="194">
        <v>0</v>
      </c>
    </row>
    <row r="96" spans="1:118">
      <c r="A96" s="174" t="s">
        <v>101</v>
      </c>
      <c r="B96" s="186">
        <v>584906</v>
      </c>
      <c r="C96" s="186">
        <v>180996.99000000002</v>
      </c>
      <c r="D96" s="186">
        <v>0</v>
      </c>
      <c r="E96" s="186">
        <v>0</v>
      </c>
      <c r="F96" s="186">
        <v>-257.66000000000003</v>
      </c>
      <c r="G96" s="186">
        <v>0</v>
      </c>
      <c r="H96" s="186">
        <v>0</v>
      </c>
      <c r="I96" s="186">
        <v>0</v>
      </c>
      <c r="J96" s="186">
        <v>0</v>
      </c>
      <c r="K96" s="186">
        <v>0</v>
      </c>
      <c r="L96" s="186">
        <v>0</v>
      </c>
      <c r="M96" s="186">
        <v>0</v>
      </c>
      <c r="N96" s="186">
        <v>0</v>
      </c>
      <c r="O96" s="186">
        <v>0</v>
      </c>
      <c r="P96" s="186">
        <v>0</v>
      </c>
      <c r="Q96" s="186">
        <v>0</v>
      </c>
      <c r="R96" s="186">
        <v>0</v>
      </c>
      <c r="S96" s="186">
        <v>0</v>
      </c>
      <c r="T96" s="186">
        <v>0</v>
      </c>
      <c r="U96" s="186">
        <v>404166.67</v>
      </c>
      <c r="V96" s="186">
        <v>0</v>
      </c>
      <c r="W96" s="186">
        <v>0</v>
      </c>
      <c r="X96" s="186">
        <v>0</v>
      </c>
      <c r="Y96" s="186">
        <v>0</v>
      </c>
      <c r="Z96" s="186">
        <v>0</v>
      </c>
      <c r="AA96" s="186">
        <v>0</v>
      </c>
      <c r="AB96" s="186">
        <v>0</v>
      </c>
      <c r="AC96" s="186">
        <v>0</v>
      </c>
      <c r="AD96" s="186">
        <v>0</v>
      </c>
      <c r="AE96" s="186">
        <v>0</v>
      </c>
      <c r="AF96" s="186">
        <v>0</v>
      </c>
      <c r="AG96" s="186">
        <v>0</v>
      </c>
      <c r="AH96" s="186">
        <v>0</v>
      </c>
      <c r="AI96" s="186">
        <v>0</v>
      </c>
      <c r="AJ96" s="186">
        <v>0</v>
      </c>
      <c r="AK96" s="186">
        <v>-257.66000000000003</v>
      </c>
      <c r="AL96" s="186">
        <v>0</v>
      </c>
      <c r="AM96" s="186">
        <v>0</v>
      </c>
      <c r="AN96" s="186">
        <v>0</v>
      </c>
      <c r="AO96" s="186">
        <v>0</v>
      </c>
      <c r="AP96" s="186">
        <v>0</v>
      </c>
      <c r="AQ96" s="186">
        <v>0</v>
      </c>
      <c r="AR96" s="186">
        <v>0</v>
      </c>
      <c r="AS96" s="186">
        <v>0</v>
      </c>
      <c r="AT96" s="186">
        <v>6755</v>
      </c>
      <c r="AU96" s="186">
        <v>11530</v>
      </c>
      <c r="AV96" s="186">
        <v>9733</v>
      </c>
      <c r="AW96" s="186">
        <v>5847</v>
      </c>
      <c r="AX96" s="186">
        <v>8358</v>
      </c>
      <c r="AY96" s="186">
        <v>7980</v>
      </c>
      <c r="AZ96" s="186">
        <v>3215</v>
      </c>
      <c r="BA96" s="186">
        <v>13494</v>
      </c>
      <c r="BB96" s="186">
        <v>5183</v>
      </c>
      <c r="BC96" s="186">
        <v>2630</v>
      </c>
      <c r="BD96" s="186">
        <v>10980</v>
      </c>
      <c r="BE96" s="186">
        <v>6280</v>
      </c>
      <c r="BF96" s="186">
        <v>6473</v>
      </c>
      <c r="BG96" s="186">
        <v>9893.02</v>
      </c>
      <c r="BH96" s="186">
        <v>10650</v>
      </c>
      <c r="BI96" s="186">
        <v>3122</v>
      </c>
      <c r="BJ96" s="186">
        <v>6030</v>
      </c>
      <c r="BK96" s="186">
        <v>3308</v>
      </c>
      <c r="BL96" s="186">
        <v>2888</v>
      </c>
      <c r="BM96" s="186">
        <v>1311</v>
      </c>
      <c r="BN96" s="186">
        <v>2251</v>
      </c>
      <c r="BO96" s="186">
        <v>2960</v>
      </c>
      <c r="BP96" s="186">
        <v>644</v>
      </c>
      <c r="BQ96" s="186">
        <v>1098</v>
      </c>
      <c r="BR96" s="186">
        <v>612</v>
      </c>
      <c r="BS96" s="186">
        <v>4520</v>
      </c>
      <c r="BT96" s="186">
        <v>672</v>
      </c>
      <c r="BU96" s="186">
        <v>1306</v>
      </c>
      <c r="BV96" s="186">
        <v>1127</v>
      </c>
      <c r="BW96" s="186">
        <v>825</v>
      </c>
      <c r="BX96" s="186">
        <v>388</v>
      </c>
      <c r="BY96" s="186">
        <v>974</v>
      </c>
      <c r="BZ96" s="186">
        <v>287</v>
      </c>
      <c r="CA96" s="186">
        <v>378</v>
      </c>
      <c r="CB96" s="186">
        <v>956</v>
      </c>
      <c r="CC96" s="186">
        <v>552</v>
      </c>
      <c r="CD96" s="186">
        <v>1664</v>
      </c>
      <c r="CE96" s="186">
        <v>338</v>
      </c>
      <c r="CF96" s="186">
        <v>0</v>
      </c>
      <c r="CG96" s="186">
        <v>91</v>
      </c>
      <c r="CH96" s="186">
        <v>246</v>
      </c>
      <c r="CI96" s="186">
        <v>0</v>
      </c>
      <c r="CJ96" s="186">
        <v>62</v>
      </c>
      <c r="CK96" s="186">
        <v>27.790000000000003</v>
      </c>
      <c r="CL96" s="186">
        <v>0</v>
      </c>
      <c r="CM96" s="186">
        <v>111</v>
      </c>
      <c r="CN96" s="186">
        <v>12</v>
      </c>
      <c r="CO96" s="186">
        <v>0</v>
      </c>
      <c r="CP96" s="186">
        <v>68</v>
      </c>
      <c r="CQ96" s="186">
        <v>42</v>
      </c>
      <c r="CR96" s="186">
        <v>0</v>
      </c>
      <c r="CS96" s="186">
        <v>168</v>
      </c>
      <c r="CT96" s="186">
        <v>0</v>
      </c>
      <c r="CU96" s="186">
        <v>53</v>
      </c>
      <c r="CV96" s="186">
        <v>0</v>
      </c>
      <c r="CW96" s="186">
        <v>0</v>
      </c>
      <c r="CX96" s="186">
        <v>0</v>
      </c>
      <c r="CY96" s="186">
        <v>0</v>
      </c>
      <c r="CZ96" s="186">
        <v>0</v>
      </c>
      <c r="DA96" s="186">
        <v>0</v>
      </c>
      <c r="DB96" s="186">
        <v>1904.18</v>
      </c>
      <c r="DC96" s="194">
        <v>21000</v>
      </c>
    </row>
    <row r="97" spans="1:107">
      <c r="A97" s="174" t="s">
        <v>102</v>
      </c>
      <c r="B97" s="186">
        <v>6758.8700000000008</v>
      </c>
      <c r="C97" s="186">
        <v>6232.34</v>
      </c>
      <c r="D97" s="186">
        <v>0</v>
      </c>
      <c r="E97" s="186">
        <v>0</v>
      </c>
      <c r="F97" s="186">
        <v>385.02</v>
      </c>
      <c r="G97" s="186">
        <v>0</v>
      </c>
      <c r="H97" s="186">
        <v>0</v>
      </c>
      <c r="I97" s="186">
        <v>0</v>
      </c>
      <c r="J97" s="186">
        <v>0</v>
      </c>
      <c r="K97" s="186">
        <v>141.51</v>
      </c>
      <c r="L97" s="186">
        <v>0</v>
      </c>
      <c r="M97" s="186">
        <v>0</v>
      </c>
      <c r="N97" s="186">
        <v>0</v>
      </c>
      <c r="O97" s="186">
        <v>0</v>
      </c>
      <c r="P97" s="186">
        <v>0</v>
      </c>
      <c r="Q97" s="186">
        <v>0</v>
      </c>
      <c r="R97" s="186">
        <v>0</v>
      </c>
      <c r="S97" s="186">
        <v>0</v>
      </c>
      <c r="T97" s="186">
        <v>0</v>
      </c>
      <c r="U97" s="186">
        <v>0</v>
      </c>
      <c r="V97" s="186">
        <v>0</v>
      </c>
      <c r="W97" s="186">
        <v>0</v>
      </c>
      <c r="X97" s="186">
        <v>0</v>
      </c>
      <c r="Y97" s="186">
        <v>0</v>
      </c>
      <c r="Z97" s="186">
        <v>0</v>
      </c>
      <c r="AA97" s="186">
        <v>0</v>
      </c>
      <c r="AB97" s="186">
        <v>0</v>
      </c>
      <c r="AC97" s="186">
        <v>0</v>
      </c>
      <c r="AD97" s="186">
        <v>0</v>
      </c>
      <c r="AE97" s="186">
        <v>0</v>
      </c>
      <c r="AF97" s="186">
        <v>0</v>
      </c>
      <c r="AG97" s="186">
        <v>0</v>
      </c>
      <c r="AH97" s="186">
        <v>0</v>
      </c>
      <c r="AI97" s="186">
        <v>0</v>
      </c>
      <c r="AJ97" s="186">
        <v>0</v>
      </c>
      <c r="AK97" s="186">
        <v>385.02</v>
      </c>
      <c r="AL97" s="186">
        <v>0</v>
      </c>
      <c r="AM97" s="186">
        <v>0</v>
      </c>
      <c r="AN97" s="186">
        <v>0</v>
      </c>
      <c r="AO97" s="186">
        <v>0</v>
      </c>
      <c r="AP97" s="186">
        <v>0</v>
      </c>
      <c r="AQ97" s="186">
        <v>0</v>
      </c>
      <c r="AR97" s="186">
        <v>0</v>
      </c>
      <c r="AS97" s="186">
        <v>0</v>
      </c>
      <c r="AT97" s="186">
        <v>0</v>
      </c>
      <c r="AU97" s="186">
        <v>0</v>
      </c>
      <c r="AV97" s="186">
        <v>0</v>
      </c>
      <c r="AW97" s="186">
        <v>0</v>
      </c>
      <c r="AX97" s="186">
        <v>0</v>
      </c>
      <c r="AY97" s="186">
        <v>0</v>
      </c>
      <c r="AZ97" s="186">
        <v>0</v>
      </c>
      <c r="BA97" s="186">
        <v>0</v>
      </c>
      <c r="BB97" s="186">
        <v>798</v>
      </c>
      <c r="BC97" s="186">
        <v>3944.34</v>
      </c>
      <c r="BD97" s="186">
        <v>0</v>
      </c>
      <c r="BE97" s="186">
        <v>0</v>
      </c>
      <c r="BF97" s="186">
        <v>60</v>
      </c>
      <c r="BG97" s="186">
        <v>100</v>
      </c>
      <c r="BH97" s="186">
        <v>0</v>
      </c>
      <c r="BI97" s="186">
        <v>260</v>
      </c>
      <c r="BJ97" s="186">
        <v>0</v>
      </c>
      <c r="BK97" s="186">
        <v>0</v>
      </c>
      <c r="BL97" s="186">
        <v>0</v>
      </c>
      <c r="BM97" s="186">
        <v>0</v>
      </c>
      <c r="BN97" s="186">
        <v>0</v>
      </c>
      <c r="BO97" s="186">
        <v>260</v>
      </c>
      <c r="BP97" s="186">
        <v>0</v>
      </c>
      <c r="BQ97" s="186">
        <v>0</v>
      </c>
      <c r="BR97" s="186">
        <v>0</v>
      </c>
      <c r="BS97" s="186">
        <v>150</v>
      </c>
      <c r="BT97" s="186">
        <v>0</v>
      </c>
      <c r="BU97" s="186">
        <v>0</v>
      </c>
      <c r="BV97" s="186">
        <v>0</v>
      </c>
      <c r="BW97" s="186">
        <v>0</v>
      </c>
      <c r="BX97" s="186">
        <v>0</v>
      </c>
      <c r="BY97" s="186">
        <v>260</v>
      </c>
      <c r="BZ97" s="186">
        <v>0</v>
      </c>
      <c r="CA97" s="186">
        <v>0</v>
      </c>
      <c r="CB97" s="186">
        <v>0</v>
      </c>
      <c r="CC97" s="186">
        <v>0</v>
      </c>
      <c r="CD97" s="186">
        <v>0</v>
      </c>
      <c r="CE97" s="186">
        <v>0</v>
      </c>
      <c r="CF97" s="186">
        <v>0</v>
      </c>
      <c r="CG97" s="186">
        <v>0</v>
      </c>
      <c r="CH97" s="186">
        <v>0</v>
      </c>
      <c r="CI97" s="186">
        <v>0</v>
      </c>
      <c r="CJ97" s="186">
        <v>0</v>
      </c>
      <c r="CK97" s="186">
        <v>0</v>
      </c>
      <c r="CL97" s="186">
        <v>0</v>
      </c>
      <c r="CM97" s="186">
        <v>0</v>
      </c>
      <c r="CN97" s="186">
        <v>0</v>
      </c>
      <c r="CO97" s="186">
        <v>0</v>
      </c>
      <c r="CP97" s="186">
        <v>0</v>
      </c>
      <c r="CQ97" s="186">
        <v>0</v>
      </c>
      <c r="CR97" s="186">
        <v>0</v>
      </c>
      <c r="CS97" s="186">
        <v>0</v>
      </c>
      <c r="CT97" s="186">
        <v>0</v>
      </c>
      <c r="CU97" s="186">
        <v>0</v>
      </c>
      <c r="CV97" s="186">
        <v>0</v>
      </c>
      <c r="CW97" s="186">
        <v>0</v>
      </c>
      <c r="CX97" s="186">
        <v>0</v>
      </c>
      <c r="CY97" s="186">
        <v>0</v>
      </c>
      <c r="CZ97" s="186">
        <v>0</v>
      </c>
      <c r="DA97" s="186">
        <v>0</v>
      </c>
      <c r="DB97" s="186">
        <v>0</v>
      </c>
      <c r="DC97" s="194">
        <v>400</v>
      </c>
    </row>
    <row r="98" spans="1:107">
      <c r="A98" s="174" t="s">
        <v>103</v>
      </c>
      <c r="B98" s="186">
        <v>2089346.2700000003</v>
      </c>
      <c r="C98" s="186">
        <v>1948970.4400000002</v>
      </c>
      <c r="D98" s="186">
        <v>1950</v>
      </c>
      <c r="E98" s="186">
        <v>36818.229999999996</v>
      </c>
      <c r="F98" s="186">
        <v>87857.600000000006</v>
      </c>
      <c r="G98" s="186">
        <v>0</v>
      </c>
      <c r="H98" s="186">
        <v>0</v>
      </c>
      <c r="I98" s="186">
        <v>0</v>
      </c>
      <c r="J98" s="186">
        <v>13750</v>
      </c>
      <c r="K98" s="186">
        <v>0</v>
      </c>
      <c r="L98" s="186">
        <v>0</v>
      </c>
      <c r="M98" s="186">
        <v>0</v>
      </c>
      <c r="N98" s="186">
        <v>0</v>
      </c>
      <c r="O98" s="186">
        <v>0</v>
      </c>
      <c r="P98" s="186">
        <v>0</v>
      </c>
      <c r="Q98" s="186">
        <v>0</v>
      </c>
      <c r="R98" s="186">
        <v>0</v>
      </c>
      <c r="S98" s="186">
        <v>0</v>
      </c>
      <c r="T98" s="186">
        <v>0</v>
      </c>
      <c r="U98" s="186">
        <v>0</v>
      </c>
      <c r="V98" s="186">
        <v>0</v>
      </c>
      <c r="W98" s="186">
        <v>0</v>
      </c>
      <c r="X98" s="186">
        <v>35264.83</v>
      </c>
      <c r="Y98" s="186">
        <v>0</v>
      </c>
      <c r="Z98" s="186">
        <v>776.7</v>
      </c>
      <c r="AA98" s="186">
        <v>0</v>
      </c>
      <c r="AB98" s="186">
        <v>776.7</v>
      </c>
      <c r="AC98" s="186">
        <v>0</v>
      </c>
      <c r="AD98" s="186">
        <v>0</v>
      </c>
      <c r="AE98" s="186">
        <v>0</v>
      </c>
      <c r="AF98" s="186">
        <v>1950</v>
      </c>
      <c r="AG98" s="186">
        <v>0</v>
      </c>
      <c r="AH98" s="186">
        <v>0</v>
      </c>
      <c r="AI98" s="186">
        <v>0</v>
      </c>
      <c r="AJ98" s="186">
        <v>0</v>
      </c>
      <c r="AK98" s="186">
        <v>41016.18</v>
      </c>
      <c r="AL98" s="186">
        <v>46841.42</v>
      </c>
      <c r="AM98" s="186">
        <v>0</v>
      </c>
      <c r="AN98" s="186">
        <v>0</v>
      </c>
      <c r="AO98" s="186">
        <v>0</v>
      </c>
      <c r="AP98" s="186">
        <v>0</v>
      </c>
      <c r="AQ98" s="186">
        <v>0</v>
      </c>
      <c r="AR98" s="186">
        <v>0</v>
      </c>
      <c r="AS98" s="186">
        <v>0</v>
      </c>
      <c r="AT98" s="186">
        <v>45992</v>
      </c>
      <c r="AU98" s="186">
        <v>73333.33</v>
      </c>
      <c r="AV98" s="186">
        <v>72981.67</v>
      </c>
      <c r="AW98" s="186">
        <v>55000</v>
      </c>
      <c r="AX98" s="186">
        <v>99718.060000000012</v>
      </c>
      <c r="AY98" s="186">
        <v>24139.33</v>
      </c>
      <c r="AZ98" s="186">
        <v>17381.47</v>
      </c>
      <c r="BA98" s="186">
        <v>5000</v>
      </c>
      <c r="BB98" s="186">
        <v>93250</v>
      </c>
      <c r="BC98" s="186">
        <v>102274.87000000001</v>
      </c>
      <c r="BD98" s="186">
        <v>143333.32999999999</v>
      </c>
      <c r="BE98" s="186">
        <v>76378.05</v>
      </c>
      <c r="BF98" s="186">
        <v>136388.29999999999</v>
      </c>
      <c r="BG98" s="186">
        <v>14953.16</v>
      </c>
      <c r="BH98" s="186">
        <v>56146.28</v>
      </c>
      <c r="BI98" s="186">
        <v>11025</v>
      </c>
      <c r="BJ98" s="186">
        <v>15392</v>
      </c>
      <c r="BK98" s="186">
        <v>20676.059999999998</v>
      </c>
      <c r="BL98" s="186">
        <v>18154.330000000002</v>
      </c>
      <c r="BM98" s="186">
        <v>19360</v>
      </c>
      <c r="BN98" s="186">
        <v>20858.330000000002</v>
      </c>
      <c r="BO98" s="186">
        <v>0</v>
      </c>
      <c r="BP98" s="186">
        <v>28310.57</v>
      </c>
      <c r="BQ98" s="186">
        <v>4624.25</v>
      </c>
      <c r="BR98" s="186">
        <v>10017</v>
      </c>
      <c r="BS98" s="186">
        <v>3988.1</v>
      </c>
      <c r="BT98" s="186">
        <v>9166.67</v>
      </c>
      <c r="BU98" s="186">
        <v>15268.5</v>
      </c>
      <c r="BV98" s="186">
        <v>10852.78</v>
      </c>
      <c r="BW98" s="186">
        <v>42008</v>
      </c>
      <c r="BX98" s="186">
        <v>7017.92</v>
      </c>
      <c r="BY98" s="186">
        <v>23525.77</v>
      </c>
      <c r="BZ98" s="186">
        <v>3177.29</v>
      </c>
      <c r="CA98" s="186">
        <v>2916.67</v>
      </c>
      <c r="CB98" s="186">
        <v>11812.18</v>
      </c>
      <c r="CC98" s="186">
        <v>94466.55</v>
      </c>
      <c r="CD98" s="186">
        <v>20508.09</v>
      </c>
      <c r="CE98" s="186">
        <v>12600</v>
      </c>
      <c r="CF98" s="186">
        <v>34116.089999999997</v>
      </c>
      <c r="CG98" s="186">
        <v>69090.149999999994</v>
      </c>
      <c r="CH98" s="186">
        <v>10185</v>
      </c>
      <c r="CI98" s="186">
        <v>8648.58</v>
      </c>
      <c r="CJ98" s="186">
        <v>16485.599999999999</v>
      </c>
      <c r="CK98" s="186">
        <v>10000</v>
      </c>
      <c r="CL98" s="186">
        <v>8899.02</v>
      </c>
      <c r="CM98" s="186">
        <v>9276.93</v>
      </c>
      <c r="CN98" s="186">
        <v>14282.22</v>
      </c>
      <c r="CO98" s="186">
        <v>12932.25</v>
      </c>
      <c r="CP98" s="186">
        <v>11402.47</v>
      </c>
      <c r="CQ98" s="186">
        <v>10447.629999999999</v>
      </c>
      <c r="CR98" s="186">
        <v>8260.92</v>
      </c>
      <c r="CS98" s="186">
        <v>10000</v>
      </c>
      <c r="CT98" s="186">
        <v>7594.96</v>
      </c>
      <c r="CU98" s="186">
        <v>7791.3</v>
      </c>
      <c r="CV98" s="186">
        <v>12544</v>
      </c>
      <c r="CW98" s="186">
        <v>14566.28</v>
      </c>
      <c r="CX98" s="186">
        <v>5250</v>
      </c>
      <c r="CY98" s="186">
        <v>11736.51</v>
      </c>
      <c r="CZ98" s="186">
        <v>9008.2999999999993</v>
      </c>
      <c r="DA98" s="186">
        <v>37301.589999999997</v>
      </c>
      <c r="DB98" s="186">
        <v>173713.06</v>
      </c>
      <c r="DC98" s="194">
        <v>13441.67</v>
      </c>
    </row>
    <row r="99" spans="1:107">
      <c r="A99" s="174" t="s">
        <v>104</v>
      </c>
      <c r="B99" s="186">
        <v>1394231.35</v>
      </c>
      <c r="C99" s="186">
        <v>231640.54999999996</v>
      </c>
      <c r="D99" s="186">
        <v>0</v>
      </c>
      <c r="E99" s="186">
        <v>66964.47</v>
      </c>
      <c r="F99" s="186">
        <v>23668.81</v>
      </c>
      <c r="G99" s="186">
        <v>0</v>
      </c>
      <c r="H99" s="186">
        <v>1071957.52</v>
      </c>
      <c r="I99" s="186">
        <v>0</v>
      </c>
      <c r="J99" s="186">
        <v>0</v>
      </c>
      <c r="K99" s="186">
        <v>0</v>
      </c>
      <c r="L99" s="186">
        <v>0</v>
      </c>
      <c r="M99" s="186">
        <v>0</v>
      </c>
      <c r="N99" s="186">
        <v>0</v>
      </c>
      <c r="O99" s="186">
        <v>0</v>
      </c>
      <c r="P99" s="186">
        <v>0</v>
      </c>
      <c r="Q99" s="186">
        <v>0</v>
      </c>
      <c r="R99" s="186">
        <v>0</v>
      </c>
      <c r="S99" s="186">
        <v>0</v>
      </c>
      <c r="T99" s="186">
        <v>0</v>
      </c>
      <c r="U99" s="186">
        <v>0</v>
      </c>
      <c r="V99" s="186">
        <v>0</v>
      </c>
      <c r="W99" s="186">
        <v>0</v>
      </c>
      <c r="X99" s="186">
        <v>66964.47</v>
      </c>
      <c r="Y99" s="186">
        <v>0</v>
      </c>
      <c r="Z99" s="186">
        <v>0</v>
      </c>
      <c r="AA99" s="186">
        <v>0</v>
      </c>
      <c r="AB99" s="186">
        <v>0</v>
      </c>
      <c r="AC99" s="186">
        <v>0</v>
      </c>
      <c r="AD99" s="186">
        <v>0</v>
      </c>
      <c r="AE99" s="186">
        <v>0</v>
      </c>
      <c r="AF99" s="186">
        <v>0</v>
      </c>
      <c r="AG99" s="186">
        <v>0</v>
      </c>
      <c r="AH99" s="186">
        <v>0</v>
      </c>
      <c r="AI99" s="186">
        <v>0</v>
      </c>
      <c r="AJ99" s="186">
        <v>0</v>
      </c>
      <c r="AK99" s="186">
        <v>10974.65</v>
      </c>
      <c r="AL99" s="186">
        <v>12217.58</v>
      </c>
      <c r="AM99" s="186">
        <v>476.58</v>
      </c>
      <c r="AN99" s="186">
        <v>0</v>
      </c>
      <c r="AO99" s="186">
        <v>0</v>
      </c>
      <c r="AP99" s="186">
        <v>0</v>
      </c>
      <c r="AQ99" s="186">
        <v>0</v>
      </c>
      <c r="AR99" s="186">
        <v>0</v>
      </c>
      <c r="AS99" s="186">
        <v>0</v>
      </c>
      <c r="AT99" s="186">
        <v>12322.42</v>
      </c>
      <c r="AU99" s="186">
        <v>8291.25</v>
      </c>
      <c r="AV99" s="186">
        <v>8865.02</v>
      </c>
      <c r="AW99" s="186">
        <v>8364.35</v>
      </c>
      <c r="AX99" s="186">
        <v>6677.75</v>
      </c>
      <c r="AY99" s="186">
        <v>26370.16</v>
      </c>
      <c r="AZ99" s="186">
        <v>4916.5</v>
      </c>
      <c r="BA99" s="186">
        <v>6633.95</v>
      </c>
      <c r="BB99" s="186">
        <v>5763.27</v>
      </c>
      <c r="BC99" s="186">
        <v>4540.83</v>
      </c>
      <c r="BD99" s="186">
        <v>7520.24</v>
      </c>
      <c r="BE99" s="186">
        <v>4644.5200000000004</v>
      </c>
      <c r="BF99" s="186">
        <v>5512.72</v>
      </c>
      <c r="BG99" s="186">
        <v>10137.61</v>
      </c>
      <c r="BH99" s="186">
        <v>4102.1499999999996</v>
      </c>
      <c r="BI99" s="186">
        <v>4764.01</v>
      </c>
      <c r="BJ99" s="186">
        <v>3576.71</v>
      </c>
      <c r="BK99" s="186">
        <v>2593.89</v>
      </c>
      <c r="BL99" s="186">
        <v>5584.5</v>
      </c>
      <c r="BM99" s="186">
        <v>3873.08</v>
      </c>
      <c r="BN99" s="186">
        <v>4463.88</v>
      </c>
      <c r="BO99" s="186">
        <v>2412.06</v>
      </c>
      <c r="BP99" s="186">
        <v>2785.34</v>
      </c>
      <c r="BQ99" s="186">
        <v>1702.59</v>
      </c>
      <c r="BR99" s="186">
        <v>3546.91</v>
      </c>
      <c r="BS99" s="186">
        <v>1403.18</v>
      </c>
      <c r="BT99" s="186">
        <v>2703.9</v>
      </c>
      <c r="BU99" s="186">
        <v>7514.98</v>
      </c>
      <c r="BV99" s="186">
        <v>2021.75</v>
      </c>
      <c r="BW99" s="186">
        <v>2836.24</v>
      </c>
      <c r="BX99" s="186">
        <v>615.03</v>
      </c>
      <c r="BY99" s="186">
        <v>4089.63</v>
      </c>
      <c r="BZ99" s="186">
        <v>426.7</v>
      </c>
      <c r="CA99" s="186">
        <v>719.35</v>
      </c>
      <c r="CB99" s="186">
        <v>2513.4499999999998</v>
      </c>
      <c r="CC99" s="186">
        <v>13339.53</v>
      </c>
      <c r="CD99" s="186">
        <v>9727.52</v>
      </c>
      <c r="CE99" s="186">
        <v>469.67</v>
      </c>
      <c r="CF99" s="186">
        <v>0</v>
      </c>
      <c r="CG99" s="186">
        <v>291.33</v>
      </c>
      <c r="CH99" s="186">
        <v>1058.18</v>
      </c>
      <c r="CI99" s="186">
        <v>183.66</v>
      </c>
      <c r="CJ99" s="186">
        <v>695.92</v>
      </c>
      <c r="CK99" s="186">
        <v>1143.24</v>
      </c>
      <c r="CL99" s="186">
        <v>1072.83</v>
      </c>
      <c r="CM99" s="186">
        <v>1352.7</v>
      </c>
      <c r="CN99" s="186">
        <v>2800.28</v>
      </c>
      <c r="CO99" s="186">
        <v>801.44</v>
      </c>
      <c r="CP99" s="186">
        <v>1610.32</v>
      </c>
      <c r="CQ99" s="186">
        <v>1040.83</v>
      </c>
      <c r="CR99" s="186">
        <v>695.25</v>
      </c>
      <c r="CS99" s="186">
        <v>1054.3599999999999</v>
      </c>
      <c r="CT99" s="186">
        <v>808.53</v>
      </c>
      <c r="CU99" s="186">
        <v>1397.12</v>
      </c>
      <c r="CV99" s="186">
        <v>493.53</v>
      </c>
      <c r="CW99" s="186">
        <v>283.06</v>
      </c>
      <c r="CX99" s="186">
        <v>1418.96</v>
      </c>
      <c r="CY99" s="186">
        <v>463.81</v>
      </c>
      <c r="CZ99" s="186">
        <v>68.09</v>
      </c>
      <c r="DA99" s="186">
        <v>634.78</v>
      </c>
      <c r="DB99" s="186">
        <v>3925.69</v>
      </c>
      <c r="DC99" s="194">
        <v>0</v>
      </c>
    </row>
    <row r="100" spans="1:107">
      <c r="A100" s="174" t="s">
        <v>105</v>
      </c>
      <c r="B100" s="186">
        <v>52635.56</v>
      </c>
      <c r="C100" s="186">
        <v>8055.56</v>
      </c>
      <c r="D100" s="186">
        <v>0</v>
      </c>
      <c r="E100" s="186">
        <v>0</v>
      </c>
      <c r="F100" s="186">
        <v>44580</v>
      </c>
      <c r="G100" s="186">
        <v>0</v>
      </c>
      <c r="H100" s="186">
        <v>0</v>
      </c>
      <c r="I100" s="186">
        <v>0</v>
      </c>
      <c r="J100" s="186">
        <v>0</v>
      </c>
      <c r="K100" s="186">
        <v>0</v>
      </c>
      <c r="L100" s="186">
        <v>0</v>
      </c>
      <c r="M100" s="186">
        <v>0</v>
      </c>
      <c r="N100" s="186">
        <v>0</v>
      </c>
      <c r="O100" s="186">
        <v>0</v>
      </c>
      <c r="P100" s="186">
        <v>0</v>
      </c>
      <c r="Q100" s="186">
        <v>0</v>
      </c>
      <c r="R100" s="186">
        <v>0</v>
      </c>
      <c r="S100" s="186">
        <v>0</v>
      </c>
      <c r="T100" s="186">
        <v>0</v>
      </c>
      <c r="U100" s="186">
        <v>0</v>
      </c>
      <c r="V100" s="186">
        <v>0</v>
      </c>
      <c r="W100" s="186">
        <v>0</v>
      </c>
      <c r="X100" s="186">
        <v>0</v>
      </c>
      <c r="Y100" s="186">
        <v>0</v>
      </c>
      <c r="Z100" s="186">
        <v>0</v>
      </c>
      <c r="AA100" s="186">
        <v>0</v>
      </c>
      <c r="AB100" s="186">
        <v>0</v>
      </c>
      <c r="AC100" s="186">
        <v>0</v>
      </c>
      <c r="AD100" s="186">
        <v>0</v>
      </c>
      <c r="AE100" s="186">
        <v>0</v>
      </c>
      <c r="AF100" s="186">
        <v>0</v>
      </c>
      <c r="AG100" s="186">
        <v>0</v>
      </c>
      <c r="AH100" s="186">
        <v>0</v>
      </c>
      <c r="AI100" s="186">
        <v>0</v>
      </c>
      <c r="AJ100" s="186">
        <v>0</v>
      </c>
      <c r="AK100" s="186">
        <v>44580</v>
      </c>
      <c r="AL100" s="186">
        <v>0</v>
      </c>
      <c r="AM100" s="186">
        <v>0</v>
      </c>
      <c r="AN100" s="186">
        <v>0</v>
      </c>
      <c r="AO100" s="186">
        <v>0</v>
      </c>
      <c r="AP100" s="186">
        <v>1666.67</v>
      </c>
      <c r="AQ100" s="186">
        <v>0</v>
      </c>
      <c r="AR100" s="186">
        <v>0</v>
      </c>
      <c r="AS100" s="186">
        <v>0</v>
      </c>
      <c r="AT100" s="186">
        <v>0</v>
      </c>
      <c r="AU100" s="186">
        <v>0</v>
      </c>
      <c r="AV100" s="186">
        <v>0</v>
      </c>
      <c r="AW100" s="186">
        <v>0</v>
      </c>
      <c r="AX100" s="186">
        <v>0</v>
      </c>
      <c r="AY100" s="186">
        <v>0</v>
      </c>
      <c r="AZ100" s="186">
        <v>0</v>
      </c>
      <c r="BA100" s="186">
        <v>0</v>
      </c>
      <c r="BB100" s="186">
        <v>0</v>
      </c>
      <c r="BC100" s="186">
        <v>0</v>
      </c>
      <c r="BD100" s="186">
        <v>0</v>
      </c>
      <c r="BE100" s="186">
        <v>0</v>
      </c>
      <c r="BF100" s="186">
        <v>0</v>
      </c>
      <c r="BG100" s="186">
        <v>1388.89</v>
      </c>
      <c r="BH100" s="186">
        <v>0</v>
      </c>
      <c r="BI100" s="186">
        <v>0</v>
      </c>
      <c r="BJ100" s="186">
        <v>0</v>
      </c>
      <c r="BK100" s="186">
        <v>0</v>
      </c>
      <c r="BL100" s="186">
        <v>0</v>
      </c>
      <c r="BM100" s="186">
        <v>0</v>
      </c>
      <c r="BN100" s="186">
        <v>0</v>
      </c>
      <c r="BO100" s="186">
        <v>0</v>
      </c>
      <c r="BP100" s="186">
        <v>0</v>
      </c>
      <c r="BQ100" s="186">
        <v>0</v>
      </c>
      <c r="BR100" s="186">
        <v>0</v>
      </c>
      <c r="BS100" s="186">
        <v>0</v>
      </c>
      <c r="BT100" s="186">
        <v>0</v>
      </c>
      <c r="BU100" s="186">
        <v>0</v>
      </c>
      <c r="BV100" s="186">
        <v>0</v>
      </c>
      <c r="BW100" s="186">
        <v>5000</v>
      </c>
      <c r="BX100" s="186">
        <v>0</v>
      </c>
      <c r="BY100" s="186">
        <v>0</v>
      </c>
      <c r="BZ100" s="186">
        <v>0</v>
      </c>
      <c r="CA100" s="186">
        <v>0</v>
      </c>
      <c r="CB100" s="186">
        <v>0</v>
      </c>
      <c r="CC100" s="186">
        <v>0</v>
      </c>
      <c r="CD100" s="186">
        <v>0</v>
      </c>
      <c r="CE100" s="186">
        <v>0</v>
      </c>
      <c r="CF100" s="186">
        <v>0</v>
      </c>
      <c r="CG100" s="186">
        <v>0</v>
      </c>
      <c r="CH100" s="186">
        <v>0</v>
      </c>
      <c r="CI100" s="186">
        <v>0</v>
      </c>
      <c r="CJ100" s="186">
        <v>0</v>
      </c>
      <c r="CK100" s="186">
        <v>0</v>
      </c>
      <c r="CL100" s="186">
        <v>0</v>
      </c>
      <c r="CM100" s="186">
        <v>0</v>
      </c>
      <c r="CN100" s="186">
        <v>0</v>
      </c>
      <c r="CO100" s="186">
        <v>0</v>
      </c>
      <c r="CP100" s="186">
        <v>0</v>
      </c>
      <c r="CQ100" s="186">
        <v>0</v>
      </c>
      <c r="CR100" s="186">
        <v>0</v>
      </c>
      <c r="CS100" s="186">
        <v>0</v>
      </c>
      <c r="CT100" s="186">
        <v>0</v>
      </c>
      <c r="CU100" s="186">
        <v>0</v>
      </c>
      <c r="CV100" s="186">
        <v>0</v>
      </c>
      <c r="CW100" s="186">
        <v>0</v>
      </c>
      <c r="CX100" s="186">
        <v>0</v>
      </c>
      <c r="CY100" s="186">
        <v>0</v>
      </c>
      <c r="CZ100" s="186">
        <v>0</v>
      </c>
      <c r="DA100" s="186">
        <v>0</v>
      </c>
      <c r="DB100" s="186">
        <v>0</v>
      </c>
      <c r="DC100" s="194">
        <v>0</v>
      </c>
    </row>
    <row r="101" spans="1:107">
      <c r="A101" s="174" t="s">
        <v>106</v>
      </c>
      <c r="B101" s="186">
        <v>1031982.9500000002</v>
      </c>
      <c r="C101" s="186">
        <v>386027.18000000005</v>
      </c>
      <c r="D101" s="186">
        <v>34372.199999999997</v>
      </c>
      <c r="E101" s="186">
        <v>16790.62</v>
      </c>
      <c r="F101" s="186">
        <v>17497.14</v>
      </c>
      <c r="G101" s="186">
        <v>0</v>
      </c>
      <c r="H101" s="186">
        <v>573216.75</v>
      </c>
      <c r="I101" s="186">
        <v>0</v>
      </c>
      <c r="J101" s="186">
        <v>0</v>
      </c>
      <c r="K101" s="186">
        <v>0</v>
      </c>
      <c r="L101" s="186">
        <v>0</v>
      </c>
      <c r="M101" s="186">
        <v>0</v>
      </c>
      <c r="N101" s="186">
        <v>0</v>
      </c>
      <c r="O101" s="186">
        <v>0</v>
      </c>
      <c r="P101" s="186">
        <v>0</v>
      </c>
      <c r="Q101" s="186">
        <v>0</v>
      </c>
      <c r="R101" s="186">
        <v>0</v>
      </c>
      <c r="S101" s="186">
        <v>0</v>
      </c>
      <c r="T101" s="186">
        <v>0</v>
      </c>
      <c r="U101" s="186">
        <v>0</v>
      </c>
      <c r="V101" s="186">
        <v>0</v>
      </c>
      <c r="W101" s="186">
        <v>0</v>
      </c>
      <c r="X101" s="186">
        <v>3183.1</v>
      </c>
      <c r="Y101" s="186">
        <v>0</v>
      </c>
      <c r="Z101" s="186">
        <v>3710.38</v>
      </c>
      <c r="AA101" s="186">
        <v>0</v>
      </c>
      <c r="AB101" s="186">
        <v>3349.71</v>
      </c>
      <c r="AC101" s="186">
        <v>3283.04</v>
      </c>
      <c r="AD101" s="186">
        <v>3264.39</v>
      </c>
      <c r="AE101" s="186">
        <v>0</v>
      </c>
      <c r="AF101" s="186">
        <v>10934.67</v>
      </c>
      <c r="AG101" s="186">
        <v>11091.35</v>
      </c>
      <c r="AH101" s="186">
        <v>12346.18</v>
      </c>
      <c r="AI101" s="186">
        <v>0</v>
      </c>
      <c r="AJ101" s="186">
        <v>4079.06</v>
      </c>
      <c r="AK101" s="186">
        <v>9138.01</v>
      </c>
      <c r="AL101" s="186">
        <v>8359.1299999999992</v>
      </c>
      <c r="AM101" s="186">
        <v>0</v>
      </c>
      <c r="AN101" s="186">
        <v>0</v>
      </c>
      <c r="AO101" s="186">
        <v>708.42</v>
      </c>
      <c r="AP101" s="186">
        <v>0</v>
      </c>
      <c r="AQ101" s="186">
        <v>0</v>
      </c>
      <c r="AR101" s="186">
        <v>0</v>
      </c>
      <c r="AS101" s="186">
        <v>0</v>
      </c>
      <c r="AT101" s="186">
        <v>3334.78</v>
      </c>
      <c r="AU101" s="186">
        <v>11280.17</v>
      </c>
      <c r="AV101" s="186">
        <v>36177.17</v>
      </c>
      <c r="AW101" s="186">
        <v>3195.92</v>
      </c>
      <c r="AX101" s="186">
        <v>19548.23</v>
      </c>
      <c r="AY101" s="186">
        <v>35986.050000000003</v>
      </c>
      <c r="AZ101" s="186">
        <v>13697.39</v>
      </c>
      <c r="BA101" s="186">
        <v>0</v>
      </c>
      <c r="BB101" s="186">
        <v>12684.77</v>
      </c>
      <c r="BC101" s="186">
        <v>13187.73</v>
      </c>
      <c r="BD101" s="186">
        <v>0</v>
      </c>
      <c r="BE101" s="186">
        <v>0</v>
      </c>
      <c r="BF101" s="186">
        <v>0</v>
      </c>
      <c r="BG101" s="186">
        <v>8173.75</v>
      </c>
      <c r="BH101" s="186">
        <v>0</v>
      </c>
      <c r="BI101" s="186">
        <v>74659.81</v>
      </c>
      <c r="BJ101" s="186">
        <v>0</v>
      </c>
      <c r="BK101" s="186">
        <v>1538.35</v>
      </c>
      <c r="BL101" s="186">
        <v>6433.42</v>
      </c>
      <c r="BM101" s="186">
        <v>4938.5600000000004</v>
      </c>
      <c r="BN101" s="186">
        <v>9575.14</v>
      </c>
      <c r="BO101" s="186">
        <v>8950.39</v>
      </c>
      <c r="BP101" s="186">
        <v>8758.0400000000009</v>
      </c>
      <c r="BQ101" s="186">
        <v>3092.32</v>
      </c>
      <c r="BR101" s="186">
        <v>8037.03</v>
      </c>
      <c r="BS101" s="186">
        <v>0</v>
      </c>
      <c r="BT101" s="186">
        <v>5048.2700000000004</v>
      </c>
      <c r="BU101" s="186">
        <v>7224.22</v>
      </c>
      <c r="BV101" s="186">
        <v>7427.37</v>
      </c>
      <c r="BW101" s="186">
        <v>13688.87</v>
      </c>
      <c r="BX101" s="186">
        <v>3191.18</v>
      </c>
      <c r="BY101" s="186">
        <v>802.78</v>
      </c>
      <c r="BZ101" s="186">
        <v>2677.5</v>
      </c>
      <c r="CA101" s="186">
        <v>1247.4100000000001</v>
      </c>
      <c r="CB101" s="186">
        <v>3969.25</v>
      </c>
      <c r="CC101" s="186">
        <v>23692.53</v>
      </c>
      <c r="CD101" s="186">
        <v>4179.57</v>
      </c>
      <c r="CE101" s="186">
        <v>0</v>
      </c>
      <c r="CF101" s="186">
        <v>2380.71</v>
      </c>
      <c r="CG101" s="186">
        <v>0</v>
      </c>
      <c r="CH101" s="186">
        <v>866.67</v>
      </c>
      <c r="CI101" s="186">
        <v>1180.3499999999999</v>
      </c>
      <c r="CJ101" s="186">
        <v>1436.11</v>
      </c>
      <c r="CK101" s="186">
        <v>0</v>
      </c>
      <c r="CL101" s="186">
        <v>3542.69</v>
      </c>
      <c r="CM101" s="186">
        <v>1356.39</v>
      </c>
      <c r="CN101" s="186">
        <v>1130.43</v>
      </c>
      <c r="CO101" s="186">
        <v>1025.97</v>
      </c>
      <c r="CP101" s="186">
        <v>1581.51</v>
      </c>
      <c r="CQ101" s="186">
        <v>0</v>
      </c>
      <c r="CR101" s="186">
        <v>2426.2600000000002</v>
      </c>
      <c r="CS101" s="186">
        <v>3076.21</v>
      </c>
      <c r="CT101" s="186">
        <v>1840.4</v>
      </c>
      <c r="CU101" s="186">
        <v>874.48</v>
      </c>
      <c r="CV101" s="186">
        <v>0</v>
      </c>
      <c r="CW101" s="186">
        <v>0</v>
      </c>
      <c r="CX101" s="186">
        <v>4658.17</v>
      </c>
      <c r="CY101" s="186">
        <v>0</v>
      </c>
      <c r="CZ101" s="186">
        <v>0</v>
      </c>
      <c r="DA101" s="186">
        <v>0</v>
      </c>
      <c r="DB101" s="186">
        <v>1544.44</v>
      </c>
      <c r="DC101" s="194">
        <v>0</v>
      </c>
    </row>
    <row r="102" spans="1:107">
      <c r="A102" s="174" t="s">
        <v>244</v>
      </c>
      <c r="B102" s="186">
        <v>37668.089999999997</v>
      </c>
      <c r="C102" s="186">
        <v>3253</v>
      </c>
      <c r="D102" s="186">
        <v>0</v>
      </c>
      <c r="E102" s="186">
        <v>0</v>
      </c>
      <c r="F102" s="186">
        <v>0</v>
      </c>
      <c r="G102" s="186">
        <v>0</v>
      </c>
      <c r="H102" s="186">
        <v>0</v>
      </c>
      <c r="I102" s="186">
        <v>0</v>
      </c>
      <c r="J102" s="186">
        <v>0</v>
      </c>
      <c r="K102" s="186">
        <v>0</v>
      </c>
      <c r="L102" s="186">
        <v>0</v>
      </c>
      <c r="M102" s="186">
        <v>0</v>
      </c>
      <c r="N102" s="186">
        <v>0</v>
      </c>
      <c r="O102" s="186">
        <v>0</v>
      </c>
      <c r="P102" s="186">
        <v>0</v>
      </c>
      <c r="Q102" s="186">
        <v>0</v>
      </c>
      <c r="R102" s="186">
        <v>0</v>
      </c>
      <c r="S102" s="186">
        <v>0</v>
      </c>
      <c r="T102" s="186">
        <v>0</v>
      </c>
      <c r="U102" s="186">
        <v>33215.089999999997</v>
      </c>
      <c r="V102" s="186">
        <v>0</v>
      </c>
      <c r="W102" s="186">
        <v>0</v>
      </c>
      <c r="X102" s="186">
        <v>0</v>
      </c>
      <c r="Y102" s="186">
        <v>0</v>
      </c>
      <c r="Z102" s="186">
        <v>0</v>
      </c>
      <c r="AA102" s="186">
        <v>0</v>
      </c>
      <c r="AB102" s="186">
        <v>0</v>
      </c>
      <c r="AC102" s="186">
        <v>0</v>
      </c>
      <c r="AD102" s="186">
        <v>0</v>
      </c>
      <c r="AE102" s="186">
        <v>0</v>
      </c>
      <c r="AF102" s="186">
        <v>0</v>
      </c>
      <c r="AG102" s="186">
        <v>0</v>
      </c>
      <c r="AH102" s="186">
        <v>0</v>
      </c>
      <c r="AI102" s="186">
        <v>0</v>
      </c>
      <c r="AJ102" s="186">
        <v>1200</v>
      </c>
      <c r="AK102" s="186">
        <v>0</v>
      </c>
      <c r="AL102" s="186">
        <v>0</v>
      </c>
      <c r="AM102" s="186">
        <v>0</v>
      </c>
      <c r="AN102" s="186">
        <v>0</v>
      </c>
      <c r="AO102" s="186">
        <v>0</v>
      </c>
      <c r="AP102" s="186">
        <v>0</v>
      </c>
      <c r="AQ102" s="186">
        <v>0</v>
      </c>
      <c r="AR102" s="186">
        <v>0</v>
      </c>
      <c r="AS102" s="186">
        <v>0</v>
      </c>
      <c r="AT102" s="186">
        <v>0</v>
      </c>
      <c r="AU102" s="186">
        <v>0</v>
      </c>
      <c r="AV102" s="186">
        <v>0</v>
      </c>
      <c r="AW102" s="186">
        <v>0</v>
      </c>
      <c r="AX102" s="186">
        <v>0</v>
      </c>
      <c r="AY102" s="186">
        <v>0</v>
      </c>
      <c r="AZ102" s="186">
        <v>0</v>
      </c>
      <c r="BA102" s="186">
        <v>0</v>
      </c>
      <c r="BB102" s="186">
        <v>0</v>
      </c>
      <c r="BC102" s="186">
        <v>0</v>
      </c>
      <c r="BD102" s="186">
        <v>0</v>
      </c>
      <c r="BE102" s="186">
        <v>0</v>
      </c>
      <c r="BF102" s="186">
        <v>0</v>
      </c>
      <c r="BG102" s="186">
        <v>3253</v>
      </c>
      <c r="BH102" s="186">
        <v>0</v>
      </c>
      <c r="BI102" s="186">
        <v>0</v>
      </c>
      <c r="BJ102" s="186">
        <v>0</v>
      </c>
      <c r="BK102" s="186">
        <v>0</v>
      </c>
      <c r="BL102" s="186">
        <v>0</v>
      </c>
      <c r="BM102" s="186">
        <v>0</v>
      </c>
      <c r="BN102" s="186">
        <v>0</v>
      </c>
      <c r="BO102" s="186">
        <v>0</v>
      </c>
      <c r="BP102" s="186">
        <v>0</v>
      </c>
      <c r="BQ102" s="186">
        <v>0</v>
      </c>
      <c r="BR102" s="186">
        <v>0</v>
      </c>
      <c r="BS102" s="186">
        <v>0</v>
      </c>
      <c r="BT102" s="186">
        <v>0</v>
      </c>
      <c r="BU102" s="186">
        <v>0</v>
      </c>
      <c r="BV102" s="186">
        <v>0</v>
      </c>
      <c r="BW102" s="186">
        <v>0</v>
      </c>
      <c r="BX102" s="186">
        <v>0</v>
      </c>
      <c r="BY102" s="186">
        <v>0</v>
      </c>
      <c r="BZ102" s="186">
        <v>0</v>
      </c>
      <c r="CA102" s="186">
        <v>0</v>
      </c>
      <c r="CB102" s="186">
        <v>0</v>
      </c>
      <c r="CC102" s="186">
        <v>0</v>
      </c>
      <c r="CD102" s="186">
        <v>0</v>
      </c>
      <c r="CE102" s="186">
        <v>0</v>
      </c>
      <c r="CF102" s="186">
        <v>0</v>
      </c>
      <c r="CG102" s="186">
        <v>0</v>
      </c>
      <c r="CH102" s="186">
        <v>0</v>
      </c>
      <c r="CI102" s="186">
        <v>0</v>
      </c>
      <c r="CJ102" s="186">
        <v>0</v>
      </c>
      <c r="CK102" s="186">
        <v>0</v>
      </c>
      <c r="CL102" s="186">
        <v>0</v>
      </c>
      <c r="CM102" s="186">
        <v>0</v>
      </c>
      <c r="CN102" s="186">
        <v>0</v>
      </c>
      <c r="CO102" s="186">
        <v>0</v>
      </c>
      <c r="CP102" s="186">
        <v>0</v>
      </c>
      <c r="CQ102" s="186">
        <v>0</v>
      </c>
      <c r="CR102" s="186">
        <v>0</v>
      </c>
      <c r="CS102" s="186">
        <v>0</v>
      </c>
      <c r="CT102" s="186">
        <v>0</v>
      </c>
      <c r="CU102" s="186">
        <v>0</v>
      </c>
      <c r="CV102" s="186">
        <v>0</v>
      </c>
      <c r="CW102" s="186">
        <v>0</v>
      </c>
      <c r="CX102" s="186">
        <v>0</v>
      </c>
      <c r="CY102" s="186">
        <v>0</v>
      </c>
      <c r="CZ102" s="186">
        <v>0</v>
      </c>
      <c r="DA102" s="186">
        <v>0</v>
      </c>
      <c r="DB102" s="186">
        <v>0</v>
      </c>
      <c r="DC102" s="194">
        <v>0</v>
      </c>
    </row>
    <row r="103" spans="1:107" s="191" customFormat="1">
      <c r="A103" s="175" t="s">
        <v>69</v>
      </c>
      <c r="B103" s="189">
        <v>6380405.7599999998</v>
      </c>
      <c r="C103" s="189">
        <v>3467654.3000000003</v>
      </c>
      <c r="D103" s="189">
        <v>46206.77</v>
      </c>
      <c r="E103" s="189">
        <v>144796.95000000001</v>
      </c>
      <c r="F103" s="189">
        <v>196812.59000000003</v>
      </c>
      <c r="G103" s="189">
        <v>1420.07</v>
      </c>
      <c r="H103" s="189">
        <v>2618391.27</v>
      </c>
      <c r="I103" s="189">
        <v>170.75</v>
      </c>
      <c r="J103" s="189">
        <v>-547248.77</v>
      </c>
      <c r="K103" s="189">
        <v>2228.3000000000002</v>
      </c>
      <c r="L103" s="189">
        <v>230.19</v>
      </c>
      <c r="M103" s="189">
        <v>658.49</v>
      </c>
      <c r="N103" s="189">
        <v>0</v>
      </c>
      <c r="O103" s="189">
        <v>137.74</v>
      </c>
      <c r="P103" s="189">
        <v>42.45</v>
      </c>
      <c r="Q103" s="189">
        <v>0</v>
      </c>
      <c r="R103" s="189">
        <v>1232.08</v>
      </c>
      <c r="S103" s="189">
        <v>1262.73</v>
      </c>
      <c r="T103" s="189">
        <v>84.91</v>
      </c>
      <c r="U103" s="189">
        <v>438463.88</v>
      </c>
      <c r="V103" s="189">
        <v>0</v>
      </c>
      <c r="W103" s="189">
        <v>0</v>
      </c>
      <c r="X103" s="189">
        <v>101037.68000000001</v>
      </c>
      <c r="Y103" s="189">
        <v>0</v>
      </c>
      <c r="Z103" s="189">
        <v>13379.600000000002</v>
      </c>
      <c r="AA103" s="189">
        <v>0</v>
      </c>
      <c r="AB103" s="189">
        <v>9226.2900000000009</v>
      </c>
      <c r="AC103" s="189">
        <v>11303.669999999998</v>
      </c>
      <c r="AD103" s="189">
        <v>9828.9599999999991</v>
      </c>
      <c r="AE103" s="189">
        <v>20.75</v>
      </c>
      <c r="AF103" s="189">
        <v>16339.01</v>
      </c>
      <c r="AG103" s="189">
        <v>13829.25</v>
      </c>
      <c r="AH103" s="189">
        <v>13075.43</v>
      </c>
      <c r="AI103" s="189">
        <v>2963.08</v>
      </c>
      <c r="AJ103" s="189">
        <v>7861.0599999999995</v>
      </c>
      <c r="AK103" s="189">
        <v>115917.33</v>
      </c>
      <c r="AL103" s="189">
        <v>79323.520000000004</v>
      </c>
      <c r="AM103" s="189">
        <v>1571.74</v>
      </c>
      <c r="AN103" s="189">
        <v>0</v>
      </c>
      <c r="AO103" s="189">
        <v>730.12</v>
      </c>
      <c r="AP103" s="189">
        <v>2503.46</v>
      </c>
      <c r="AQ103" s="189">
        <v>3949.5</v>
      </c>
      <c r="AR103" s="189">
        <v>2304.73</v>
      </c>
      <c r="AS103" s="189">
        <v>569.80999999999995</v>
      </c>
      <c r="AT103" s="189">
        <v>121721.17</v>
      </c>
      <c r="AU103" s="189">
        <v>124469.88</v>
      </c>
      <c r="AV103" s="189">
        <v>134111.65</v>
      </c>
      <c r="AW103" s="189">
        <v>115389.8</v>
      </c>
      <c r="AX103" s="189">
        <v>207698.34000000003</v>
      </c>
      <c r="AY103" s="189">
        <v>123614.56000000001</v>
      </c>
      <c r="AZ103" s="189">
        <v>58952.68</v>
      </c>
      <c r="BA103" s="189">
        <v>32304.26</v>
      </c>
      <c r="BB103" s="189">
        <v>137244.47</v>
      </c>
      <c r="BC103" s="189">
        <v>156363.58000000002</v>
      </c>
      <c r="BD103" s="189">
        <v>193946.61</v>
      </c>
      <c r="BE103" s="189">
        <v>138674.23999999999</v>
      </c>
      <c r="BF103" s="189">
        <v>215259.37999999998</v>
      </c>
      <c r="BG103" s="189">
        <v>53899.34</v>
      </c>
      <c r="BH103" s="189">
        <v>85747.12</v>
      </c>
      <c r="BI103" s="189">
        <v>94593.82</v>
      </c>
      <c r="BJ103" s="189">
        <v>27848.54</v>
      </c>
      <c r="BK103" s="189">
        <v>73748.900000000009</v>
      </c>
      <c r="BL103" s="189">
        <v>34592.25</v>
      </c>
      <c r="BM103" s="189">
        <v>30512.640000000003</v>
      </c>
      <c r="BN103" s="189">
        <v>48649.359999999993</v>
      </c>
      <c r="BO103" s="189">
        <v>16254.16</v>
      </c>
      <c r="BP103" s="189">
        <v>42528.15</v>
      </c>
      <c r="BQ103" s="189">
        <v>12312.16</v>
      </c>
      <c r="BR103" s="189">
        <v>24268.28</v>
      </c>
      <c r="BS103" s="189">
        <v>11798.28</v>
      </c>
      <c r="BT103" s="189">
        <v>20394.84</v>
      </c>
      <c r="BU103" s="189">
        <v>36138.83</v>
      </c>
      <c r="BV103" s="189">
        <v>28521.899999999998</v>
      </c>
      <c r="BW103" s="189">
        <v>90106.900000000009</v>
      </c>
      <c r="BX103" s="189">
        <v>15093.130000000001</v>
      </c>
      <c r="BY103" s="189">
        <v>50952.18</v>
      </c>
      <c r="BZ103" s="189">
        <v>6744.49</v>
      </c>
      <c r="CA103" s="189">
        <v>5774.43</v>
      </c>
      <c r="CB103" s="189">
        <v>20625.88</v>
      </c>
      <c r="CC103" s="189">
        <v>146347.22999999998</v>
      </c>
      <c r="CD103" s="189">
        <v>61640.63</v>
      </c>
      <c r="CE103" s="189">
        <v>14193.67</v>
      </c>
      <c r="CF103" s="189">
        <v>37012.799999999996</v>
      </c>
      <c r="CG103" s="189">
        <v>70242.569999999992</v>
      </c>
      <c r="CH103" s="189">
        <v>12590.85</v>
      </c>
      <c r="CI103" s="189">
        <v>13313.59</v>
      </c>
      <c r="CJ103" s="189">
        <v>18798.629999999997</v>
      </c>
      <c r="CK103" s="189">
        <v>11279.03</v>
      </c>
      <c r="CL103" s="189">
        <v>13612.54</v>
      </c>
      <c r="CM103" s="189">
        <v>12240.02</v>
      </c>
      <c r="CN103" s="189">
        <v>18466.93</v>
      </c>
      <c r="CO103" s="189">
        <v>15178.5</v>
      </c>
      <c r="CP103" s="189">
        <v>14996.3</v>
      </c>
      <c r="CQ103" s="189">
        <v>12186.759999999998</v>
      </c>
      <c r="CR103" s="189">
        <v>11477.43</v>
      </c>
      <c r="CS103" s="189">
        <v>14525.57</v>
      </c>
      <c r="CT103" s="189">
        <v>10263.89</v>
      </c>
      <c r="CU103" s="189">
        <v>10252.9</v>
      </c>
      <c r="CV103" s="189">
        <v>13052.53</v>
      </c>
      <c r="CW103" s="189">
        <v>15349.34</v>
      </c>
      <c r="CX103" s="189">
        <v>32101.129999999997</v>
      </c>
      <c r="CY103" s="189">
        <v>15656.019999999999</v>
      </c>
      <c r="CZ103" s="189">
        <v>15818.39</v>
      </c>
      <c r="DA103" s="189">
        <v>37936.369999999995</v>
      </c>
      <c r="DB103" s="189">
        <v>182375.81</v>
      </c>
      <c r="DC103" s="190">
        <v>35831.050000000003</v>
      </c>
    </row>
    <row r="104" spans="1:107" s="191" customFormat="1" ht="12.75" thickBot="1">
      <c r="A104" s="176" t="s">
        <v>248</v>
      </c>
      <c r="B104" s="192">
        <v>58675776.130000003</v>
      </c>
      <c r="C104" s="192">
        <v>28111363.539999999</v>
      </c>
      <c r="D104" s="192">
        <v>10450396.039999999</v>
      </c>
      <c r="E104" s="192">
        <v>1538465.5299999998</v>
      </c>
      <c r="F104" s="192">
        <v>1400772.61</v>
      </c>
      <c r="G104" s="192">
        <v>1027218.5299999999</v>
      </c>
      <c r="H104" s="192">
        <v>11947219.609999999</v>
      </c>
      <c r="I104" s="192">
        <v>170461.64</v>
      </c>
      <c r="J104" s="192">
        <v>166706.3600000001</v>
      </c>
      <c r="K104" s="192">
        <v>406779.36999999994</v>
      </c>
      <c r="L104" s="192">
        <v>166290.29000000004</v>
      </c>
      <c r="M104" s="192">
        <v>262678.26</v>
      </c>
      <c r="N104" s="192">
        <v>31376.080000000002</v>
      </c>
      <c r="O104" s="192">
        <v>122663.53</v>
      </c>
      <c r="P104" s="192">
        <v>202060.61000000002</v>
      </c>
      <c r="Q104" s="192">
        <v>191166.55999999997</v>
      </c>
      <c r="R104" s="192">
        <v>224345.00999999998</v>
      </c>
      <c r="S104" s="192">
        <v>502695.06999999995</v>
      </c>
      <c r="T104" s="192">
        <v>377891.13999999996</v>
      </c>
      <c r="U104" s="192">
        <v>1112001.3800000001</v>
      </c>
      <c r="V104" s="192">
        <v>64404.22</v>
      </c>
      <c r="W104" s="192">
        <v>6323.45</v>
      </c>
      <c r="X104" s="192">
        <v>255553.47000000003</v>
      </c>
      <c r="Y104" s="192">
        <v>40534.32</v>
      </c>
      <c r="Z104" s="192">
        <v>773428.69000000006</v>
      </c>
      <c r="AA104" s="192">
        <v>3776.58</v>
      </c>
      <c r="AB104" s="192">
        <v>-354285.23000000004</v>
      </c>
      <c r="AC104" s="192">
        <v>255219.83000000002</v>
      </c>
      <c r="AD104" s="192">
        <v>415059.85000000003</v>
      </c>
      <c r="AE104" s="192">
        <v>149178.01999999999</v>
      </c>
      <c r="AF104" s="192">
        <v>298755.5</v>
      </c>
      <c r="AG104" s="192">
        <v>6490691.3799999999</v>
      </c>
      <c r="AH104" s="192">
        <v>1174097.3399999999</v>
      </c>
      <c r="AI104" s="192">
        <v>2486851.8200000003</v>
      </c>
      <c r="AJ104" s="192">
        <v>182223.34</v>
      </c>
      <c r="AK104" s="192">
        <v>948611.21000000008</v>
      </c>
      <c r="AL104" s="192">
        <v>349907.17000000004</v>
      </c>
      <c r="AM104" s="192">
        <v>102254.23000000001</v>
      </c>
      <c r="AN104" s="192">
        <v>10273.959999999999</v>
      </c>
      <c r="AO104" s="192">
        <v>6097894.2600000007</v>
      </c>
      <c r="AP104" s="192">
        <v>347641.77</v>
      </c>
      <c r="AQ104" s="192">
        <v>223239.21000000002</v>
      </c>
      <c r="AR104" s="192">
        <v>1329841.3800000001</v>
      </c>
      <c r="AS104" s="192">
        <v>284295.46000000002</v>
      </c>
      <c r="AT104" s="192">
        <v>889027.05</v>
      </c>
      <c r="AU104" s="192">
        <v>1068677.33</v>
      </c>
      <c r="AV104" s="192">
        <v>1159660.43</v>
      </c>
      <c r="AW104" s="192">
        <v>820165.20000000007</v>
      </c>
      <c r="AX104" s="192">
        <v>1016115.3400000001</v>
      </c>
      <c r="AY104" s="192">
        <v>898233.7</v>
      </c>
      <c r="AZ104" s="192">
        <v>346109.79</v>
      </c>
      <c r="BA104" s="192">
        <v>944693.34000000008</v>
      </c>
      <c r="BB104" s="192">
        <v>452687.89999999991</v>
      </c>
      <c r="BC104" s="192">
        <v>393315.56</v>
      </c>
      <c r="BD104" s="192">
        <v>1048661.6000000001</v>
      </c>
      <c r="BE104" s="192">
        <v>1099362.4500000002</v>
      </c>
      <c r="BF104" s="192">
        <v>758864.17999999993</v>
      </c>
      <c r="BG104" s="192">
        <v>492263.67000000004</v>
      </c>
      <c r="BH104" s="192">
        <v>374278.67</v>
      </c>
      <c r="BI104" s="192">
        <v>400968.76</v>
      </c>
      <c r="BJ104" s="192">
        <v>404605.87</v>
      </c>
      <c r="BK104" s="192">
        <v>421336.62000000005</v>
      </c>
      <c r="BL104" s="192">
        <v>272208.21999999997</v>
      </c>
      <c r="BM104" s="192">
        <v>236772.41000000003</v>
      </c>
      <c r="BN104" s="192">
        <v>408554.29000000004</v>
      </c>
      <c r="BO104" s="192">
        <v>411668.35999999993</v>
      </c>
      <c r="BP104" s="192">
        <v>186368.58</v>
      </c>
      <c r="BQ104" s="192">
        <v>169147.95</v>
      </c>
      <c r="BR104" s="192">
        <v>90684.24</v>
      </c>
      <c r="BS104" s="192">
        <v>154935.05000000002</v>
      </c>
      <c r="BT104" s="192">
        <v>152088.03999999998</v>
      </c>
      <c r="BU104" s="192">
        <v>278791.43000000005</v>
      </c>
      <c r="BV104" s="192">
        <v>187328.91</v>
      </c>
      <c r="BW104" s="192">
        <v>1070665.8899999999</v>
      </c>
      <c r="BX104" s="192">
        <v>64655.570000000007</v>
      </c>
      <c r="BY104" s="192">
        <v>209518.97</v>
      </c>
      <c r="BZ104" s="192">
        <v>72363.000000000015</v>
      </c>
      <c r="CA104" s="192">
        <v>80230.31</v>
      </c>
      <c r="CB104" s="192">
        <v>122183.90000000001</v>
      </c>
      <c r="CC104" s="192">
        <v>457376.80999999994</v>
      </c>
      <c r="CD104" s="192">
        <v>583074.56999999995</v>
      </c>
      <c r="CE104" s="192">
        <v>79002.39</v>
      </c>
      <c r="CF104" s="192">
        <v>65963.92</v>
      </c>
      <c r="CG104" s="192">
        <v>118130.91999999998</v>
      </c>
      <c r="CH104" s="192">
        <v>37960.449999999997</v>
      </c>
      <c r="CI104" s="192">
        <v>84719.41</v>
      </c>
      <c r="CJ104" s="192">
        <v>61166.15</v>
      </c>
      <c r="CK104" s="192">
        <v>47488.36</v>
      </c>
      <c r="CL104" s="192">
        <v>36579.11</v>
      </c>
      <c r="CM104" s="192">
        <v>58671.930000000008</v>
      </c>
      <c r="CN104" s="192">
        <v>32365.35</v>
      </c>
      <c r="CO104" s="192">
        <v>30147.14</v>
      </c>
      <c r="CP104" s="192">
        <v>51965.100000000006</v>
      </c>
      <c r="CQ104" s="192">
        <v>65384.84</v>
      </c>
      <c r="CR104" s="192">
        <v>37965.760000000002</v>
      </c>
      <c r="CS104" s="192">
        <v>47348.959999999999</v>
      </c>
      <c r="CT104" s="192">
        <v>37666.44</v>
      </c>
      <c r="CU104" s="192">
        <v>40138.86</v>
      </c>
      <c r="CV104" s="192">
        <v>33097.81</v>
      </c>
      <c r="CW104" s="192">
        <v>49525.619999999995</v>
      </c>
      <c r="CX104" s="192">
        <v>83169.850000000006</v>
      </c>
      <c r="CY104" s="192">
        <v>67581.010000000009</v>
      </c>
      <c r="CZ104" s="192">
        <v>48773.929999999993</v>
      </c>
      <c r="DA104" s="192">
        <v>69030.31</v>
      </c>
      <c r="DB104" s="192">
        <v>205698.72</v>
      </c>
      <c r="DC104" s="193">
        <v>141265.16</v>
      </c>
    </row>
  </sheetData>
  <phoneticPr fontId="2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A81"/>
  <sheetViews>
    <sheetView topLeftCell="R1" workbookViewId="0">
      <selection activeCell="S7" sqref="S7"/>
    </sheetView>
  </sheetViews>
  <sheetFormatPr defaultRowHeight="13.5"/>
  <cols>
    <col min="1" max="1" width="18.5" customWidth="1"/>
    <col min="2" max="2" width="12.125" customWidth="1"/>
    <col min="3" max="3" width="11.625" customWidth="1"/>
    <col min="4" max="5" width="9" customWidth="1"/>
    <col min="6" max="6" width="9.5" customWidth="1"/>
    <col min="7" max="7" width="11.625" customWidth="1"/>
    <col min="8" max="9" width="10.25" customWidth="1"/>
    <col min="10" max="10" width="16.125" customWidth="1"/>
    <col min="11" max="13" width="10.25" customWidth="1"/>
    <col min="14" max="14" width="14.125" customWidth="1"/>
    <col min="15" max="17" width="12.25" customWidth="1"/>
    <col min="18" max="18" width="10.25" bestFit="1" customWidth="1"/>
    <col min="19" max="19" width="12.25" bestFit="1" customWidth="1"/>
    <col min="20" max="20" width="14.125" bestFit="1" customWidth="1"/>
    <col min="21" max="21" width="8.5" bestFit="1" customWidth="1"/>
    <col min="22" max="23" width="10.25" bestFit="1" customWidth="1"/>
    <col min="24" max="24" width="10.875" customWidth="1"/>
    <col min="25" max="25" width="9.5" customWidth="1"/>
  </cols>
  <sheetData>
    <row r="1" spans="1:27" ht="14.25" thickBot="1">
      <c r="A1" s="102" t="s">
        <v>182</v>
      </c>
    </row>
    <row r="2" spans="1:27" s="47" customFormat="1" ht="14.25" customHeight="1">
      <c r="A2" s="34" t="s">
        <v>3</v>
      </c>
      <c r="B2" s="34" t="s">
        <v>4</v>
      </c>
      <c r="C2" s="34" t="s">
        <v>5</v>
      </c>
      <c r="D2" s="34" t="s">
        <v>6</v>
      </c>
      <c r="E2" s="34" t="s">
        <v>7</v>
      </c>
      <c r="F2" s="34" t="s">
        <v>8</v>
      </c>
      <c r="G2" s="34" t="s">
        <v>9</v>
      </c>
      <c r="H2" s="40" t="s">
        <v>10</v>
      </c>
      <c r="I2" s="40" t="s">
        <v>273</v>
      </c>
      <c r="J2" s="40" t="s">
        <v>11</v>
      </c>
      <c r="K2" s="40" t="s">
        <v>275</v>
      </c>
      <c r="L2" s="40" t="s">
        <v>12</v>
      </c>
      <c r="M2" s="40" t="s">
        <v>13</v>
      </c>
      <c r="N2" s="40" t="s">
        <v>14</v>
      </c>
      <c r="O2" s="40" t="s">
        <v>15</v>
      </c>
      <c r="P2" s="34" t="s">
        <v>16</v>
      </c>
      <c r="Q2" s="34" t="s">
        <v>17</v>
      </c>
      <c r="R2" s="40" t="s">
        <v>18</v>
      </c>
      <c r="S2" s="40" t="s">
        <v>19</v>
      </c>
      <c r="T2" s="40" t="s">
        <v>20</v>
      </c>
      <c r="U2" s="40" t="s">
        <v>120</v>
      </c>
      <c r="V2" s="34" t="s">
        <v>21</v>
      </c>
      <c r="W2" s="40" t="s">
        <v>22</v>
      </c>
      <c r="X2" s="40" t="s">
        <v>23</v>
      </c>
      <c r="Y2" s="34" t="s">
        <v>24</v>
      </c>
      <c r="Z2" s="34" t="s">
        <v>278</v>
      </c>
    </row>
    <row r="3" spans="1:27">
      <c r="A3" s="63" t="s">
        <v>25</v>
      </c>
      <c r="B3" s="63">
        <f>累计利润调整表!B64/10000</f>
        <v>114421.79113733336</v>
      </c>
      <c r="C3" s="63">
        <f>累计利润调整表!C64/10000</f>
        <v>-4794.0272750000004</v>
      </c>
      <c r="D3" s="63">
        <f>累计利润调整表!D64/10000</f>
        <v>-23322.408539788259</v>
      </c>
      <c r="E3" s="63">
        <f>累计利润调整表!E64/10000</f>
        <v>112106.06319133332</v>
      </c>
      <c r="F3" s="63">
        <f>累计利润调整表!F64/10000</f>
        <v>-15454.320444999999</v>
      </c>
      <c r="G3" s="63">
        <f>累计利润调整表!G64/10000</f>
        <v>7.3555676926642652</v>
      </c>
      <c r="H3" s="63">
        <f>累计利润调整表!H64/10000</f>
        <v>15895.133414020967</v>
      </c>
      <c r="I3" s="63">
        <f>累计利润调整表!I64/10000</f>
        <v>0</v>
      </c>
      <c r="J3" s="63">
        <f>累计利润调整表!J64/10000</f>
        <v>-14892.255616667926</v>
      </c>
      <c r="K3" s="63">
        <f>累计利润调整表!K64/10000</f>
        <v>0</v>
      </c>
      <c r="L3" s="63">
        <f>累计利润调整表!L64/10000</f>
        <v>576.58884899999998</v>
      </c>
      <c r="M3" s="63">
        <f>累计利润调整表!M64/10000</f>
        <v>0</v>
      </c>
      <c r="N3" s="63">
        <f>累计利润调整表!N64/10000</f>
        <v>0.56308799999999992</v>
      </c>
      <c r="O3" s="63">
        <f>累计利润调整表!O64/10000</f>
        <v>-1572.6741666603775</v>
      </c>
      <c r="P3" s="63">
        <f>累计利润调整表!P64/10000</f>
        <v>3629.6846203471696</v>
      </c>
      <c r="Q3" s="63">
        <f>累计利润调整表!Q64/10000</f>
        <v>42093.544566748431</v>
      </c>
      <c r="R3" s="63">
        <f>累计利润调整表!R64/10000</f>
        <v>0</v>
      </c>
      <c r="S3" s="63">
        <f>累计利润调整表!S64/10000</f>
        <v>34766.882243</v>
      </c>
      <c r="T3" s="63">
        <f>累计利润调整表!T64/10000</f>
        <v>6828.3310874150948</v>
      </c>
      <c r="U3" s="63">
        <f>累计利润调整表!U64/10000</f>
        <v>498.33123633333332</v>
      </c>
      <c r="V3" s="63">
        <f>累计利润调整表!V64/10000</f>
        <v>155.918542</v>
      </c>
      <c r="W3" s="63">
        <f>累计利润调整表!W64/10000</f>
        <v>0.169485</v>
      </c>
      <c r="X3" s="63">
        <f>累计利润调整表!X64/10000</f>
        <v>155.74905699999999</v>
      </c>
      <c r="Y3" s="63">
        <f>累计利润调整表!Y64/10000</f>
        <v>-1.9984000000000002E-2</v>
      </c>
      <c r="Z3" s="63">
        <f>累计利润调整表!Z64/10000</f>
        <v>8.9300000000000002E-4</v>
      </c>
      <c r="AA3" s="63" t="e">
        <f>累计利润调整表!#REF!/10000</f>
        <v>#REF!</v>
      </c>
    </row>
    <row r="4" spans="1:27">
      <c r="A4" s="64" t="s">
        <v>26</v>
      </c>
      <c r="B4" s="67">
        <f>累计利润调整表!B65/10000</f>
        <v>109192.19924300001</v>
      </c>
      <c r="C4" s="67">
        <f>累计利润调整表!C65/10000</f>
        <v>5.8500870000000109</v>
      </c>
      <c r="D4" s="67">
        <f>累计利润调整表!D65/10000</f>
        <v>-78.538367999989134</v>
      </c>
      <c r="E4" s="67">
        <f>累计利润调整表!E65/10000</f>
        <v>57118.833931999994</v>
      </c>
      <c r="F4" s="67">
        <f>累计利润调整表!F65/10000</f>
        <v>6209.6182980000003</v>
      </c>
      <c r="G4" s="67">
        <f>累计利润调整表!G65/10000</f>
        <v>643.91603300000008</v>
      </c>
      <c r="H4" s="67">
        <f>累计利润调整表!H65/10000</f>
        <v>554.29699200000005</v>
      </c>
      <c r="I4" s="67">
        <f>累计利润调整表!I65/10000</f>
        <v>0</v>
      </c>
      <c r="J4" s="67">
        <f>累计利润调整表!J65/10000</f>
        <v>60</v>
      </c>
      <c r="K4" s="67">
        <f>累计利润调整表!K65/10000</f>
        <v>0</v>
      </c>
      <c r="L4" s="67">
        <f>累计利润调整表!L65/10000</f>
        <v>3.5530800000000005</v>
      </c>
      <c r="M4" s="67">
        <f>累计利润调整表!M65/10000</f>
        <v>0</v>
      </c>
      <c r="N4" s="67">
        <f>累计利润调整表!N65/10000</f>
        <v>-0.38200000000000001</v>
      </c>
      <c r="O4" s="67">
        <f>累计利润调整表!O65/10000</f>
        <v>26.447960999999999</v>
      </c>
      <c r="P4" s="67">
        <f>累计利润调整表!P65/10000</f>
        <v>3583.3032929999999</v>
      </c>
      <c r="Q4" s="67">
        <f>累计利润调整表!Q65/10000</f>
        <v>41593.504895000005</v>
      </c>
      <c r="R4" s="67">
        <f>累计利润调整表!R65/10000</f>
        <v>0</v>
      </c>
      <c r="S4" s="67">
        <f>累计利润调整表!S65/10000</f>
        <v>34766.882243</v>
      </c>
      <c r="T4" s="67">
        <f>累计利润调整表!T65/10000</f>
        <v>6630.735861000001</v>
      </c>
      <c r="U4" s="67">
        <f>累计利润调整表!U65/10000</f>
        <v>195.88679100000002</v>
      </c>
      <c r="V4" s="67">
        <f>累计利润调整表!V65/10000</f>
        <v>115.73105700000001</v>
      </c>
      <c r="W4" s="67">
        <f>累计利润调整表!W65/10000</f>
        <v>-1.7999999999999999E-2</v>
      </c>
      <c r="X4" s="67">
        <f>累计利润调整表!X65/10000</f>
        <v>115.74905700000001</v>
      </c>
      <c r="Y4" s="67">
        <f>累计利润调整表!Y65/10000</f>
        <v>-1.9984000000000002E-2</v>
      </c>
      <c r="Z4" s="67">
        <f>累计利润调整表!Z65/10000</f>
        <v>0</v>
      </c>
      <c r="AA4" s="67" t="e">
        <f>累计利润调整表!#REF!/10000</f>
        <v>#REF!</v>
      </c>
    </row>
    <row r="5" spans="1:27">
      <c r="A5" s="65" t="s">
        <v>27</v>
      </c>
      <c r="B5" s="65">
        <f>累计利润调整表!B66/10000</f>
        <v>56155.894146000006</v>
      </c>
      <c r="C5" s="65">
        <f>累计利润调整表!C66/10000</f>
        <v>-82.435051000000001</v>
      </c>
      <c r="D5" s="65">
        <f>累计利润调整表!D66/10000</f>
        <v>-35.321825999999838</v>
      </c>
      <c r="E5" s="65">
        <f>累计利润调整表!E66/10000</f>
        <v>56232.613347999999</v>
      </c>
      <c r="F5" s="65">
        <f>累计利润调整表!F66/10000</f>
        <v>11.036633999999999</v>
      </c>
      <c r="G5" s="65">
        <f>累计利润调整表!G66/10000</f>
        <v>30.001041000000004</v>
      </c>
      <c r="H5" s="65">
        <f>累计利润调整表!H66/10000</f>
        <v>0</v>
      </c>
      <c r="I5" s="65">
        <f>累计利润调整表!I66/10000</f>
        <v>0</v>
      </c>
      <c r="J5" s="65">
        <f>累计利润调整表!J66/10000</f>
        <v>0</v>
      </c>
      <c r="K5" s="65">
        <f>累计利润调整表!K66/10000</f>
        <v>0</v>
      </c>
      <c r="L5" s="65">
        <f>累计利润调整表!L66/10000</f>
        <v>3.5530800000000005</v>
      </c>
      <c r="M5" s="65">
        <f>累计利润调整表!M66/10000</f>
        <v>0</v>
      </c>
      <c r="N5" s="65">
        <f>累计利润调整表!N66/10000</f>
        <v>0</v>
      </c>
      <c r="O5" s="65">
        <f>累计利润调整表!O66/10000</f>
        <v>26.447960999999999</v>
      </c>
      <c r="P5" s="65">
        <f>累计利润调整表!P66/10000</f>
        <v>0</v>
      </c>
      <c r="Q5" s="65">
        <f>累计利润调整表!Q66/10000</f>
        <v>0</v>
      </c>
      <c r="R5" s="65">
        <f>累计利润调整表!R66/10000</f>
        <v>0</v>
      </c>
      <c r="S5" s="65">
        <f>累计利润调整表!S66/10000</f>
        <v>0</v>
      </c>
      <c r="T5" s="65">
        <f>累计利润调整表!T66/10000</f>
        <v>0</v>
      </c>
      <c r="U5" s="65">
        <f>累计利润调整表!U66/10000</f>
        <v>0</v>
      </c>
      <c r="V5" s="65">
        <f>累计利润调整表!V66/10000</f>
        <v>0</v>
      </c>
      <c r="W5" s="65">
        <f>累计利润调整表!W66/10000</f>
        <v>0</v>
      </c>
      <c r="X5" s="65">
        <f>累计利润调整表!X66/10000</f>
        <v>0</v>
      </c>
      <c r="Y5" s="65">
        <f>累计利润调整表!Y66/10000</f>
        <v>0</v>
      </c>
      <c r="Z5" s="65">
        <f>累计利润调整表!Z66/10000</f>
        <v>0</v>
      </c>
      <c r="AA5" s="65" t="e">
        <f>累计利润调整表!#REF!/10000</f>
        <v>#REF!</v>
      </c>
    </row>
    <row r="6" spans="1:27">
      <c r="A6" s="65" t="s">
        <v>28</v>
      </c>
      <c r="B6" s="65">
        <f>累计利润调整表!B67/10000</f>
        <v>45343.198271000001</v>
      </c>
      <c r="C6" s="65">
        <f>累计利润调整表!C67/10000</f>
        <v>-507.30150900000001</v>
      </c>
      <c r="D6" s="65">
        <f>累计利润调整表!D67/10000</f>
        <v>-7.2759576141834259E-12</v>
      </c>
      <c r="E6" s="65">
        <f>累计利润调整表!E67/10000</f>
        <v>521.69253499999991</v>
      </c>
      <c r="F6" s="65">
        <f>累计利润调整表!F67/10000</f>
        <v>0</v>
      </c>
      <c r="G6" s="65">
        <f>累计利润调整表!G67/10000</f>
        <v>60</v>
      </c>
      <c r="H6" s="65">
        <f>累计利润调整表!H67/10000</f>
        <v>0</v>
      </c>
      <c r="I6" s="65">
        <f>累计利润调整表!I67/10000</f>
        <v>0</v>
      </c>
      <c r="J6" s="65">
        <f>累计利润调整表!J67/10000</f>
        <v>60</v>
      </c>
      <c r="K6" s="65">
        <f>累计利润调整表!K67/10000</f>
        <v>0</v>
      </c>
      <c r="L6" s="65">
        <f>累计利润调整表!L67/10000</f>
        <v>0</v>
      </c>
      <c r="M6" s="65">
        <f>累计利润调整表!M67/10000</f>
        <v>0</v>
      </c>
      <c r="N6" s="65">
        <f>累计利润调整表!N67/10000</f>
        <v>0</v>
      </c>
      <c r="O6" s="65">
        <f>累计利润调整表!O67/10000</f>
        <v>0</v>
      </c>
      <c r="P6" s="65">
        <f>累计利润调整表!P67/10000</f>
        <v>3583.3032929999999</v>
      </c>
      <c r="Q6" s="65">
        <f>累计利润调整表!Q67/10000</f>
        <v>41569.754895000005</v>
      </c>
      <c r="R6" s="65">
        <f>累计利润调整表!R67/10000</f>
        <v>0</v>
      </c>
      <c r="S6" s="65">
        <f>累计利润调整表!S67/10000</f>
        <v>34743.132243</v>
      </c>
      <c r="T6" s="65">
        <f>累计利润调整表!T67/10000</f>
        <v>6630.735861000001</v>
      </c>
      <c r="U6" s="65">
        <f>累计利润调整表!U67/10000</f>
        <v>195.88679100000002</v>
      </c>
      <c r="V6" s="65">
        <f>累计利润调整表!V67/10000</f>
        <v>115.74905700000001</v>
      </c>
      <c r="W6" s="65">
        <f>累计利润调整表!W67/10000</f>
        <v>0</v>
      </c>
      <c r="X6" s="65">
        <f>累计利润调整表!X67/10000</f>
        <v>115.74905700000001</v>
      </c>
      <c r="Y6" s="65">
        <f>累计利润调整表!Y67/10000</f>
        <v>0</v>
      </c>
      <c r="Z6" s="65">
        <f>累计利润调整表!Z67/10000</f>
        <v>0</v>
      </c>
      <c r="AA6" s="65" t="e">
        <f>累计利润调整表!#REF!/10000</f>
        <v>#REF!</v>
      </c>
    </row>
    <row r="7" spans="1:27">
      <c r="A7" s="65" t="s">
        <v>29</v>
      </c>
      <c r="B7" s="65">
        <f>累计利润调整表!B68/10000</f>
        <v>6824.4349840000004</v>
      </c>
      <c r="C7" s="65">
        <f>累计利润调整表!C68/10000</f>
        <v>595.58664699999997</v>
      </c>
      <c r="D7" s="65">
        <f>累计利润调整表!D68/10000</f>
        <v>0</v>
      </c>
      <c r="E7" s="65">
        <f>累计利润调整表!E68/10000</f>
        <v>30.200073</v>
      </c>
      <c r="F7" s="65">
        <f>累计利润调整表!F68/10000</f>
        <v>6198.6482640000004</v>
      </c>
      <c r="G7" s="65">
        <f>累计利润调整表!G68/10000</f>
        <v>0</v>
      </c>
      <c r="H7" s="65">
        <f>累计利润调整表!H68/10000</f>
        <v>0</v>
      </c>
      <c r="I7" s="65">
        <f>累计利润调整表!I68/10000</f>
        <v>0</v>
      </c>
      <c r="J7" s="65">
        <f>累计利润调整表!J68/10000</f>
        <v>0</v>
      </c>
      <c r="K7" s="65">
        <f>累计利润调整表!K68/10000</f>
        <v>0</v>
      </c>
      <c r="L7" s="65">
        <f>累计利润调整表!L68/10000</f>
        <v>0</v>
      </c>
      <c r="M7" s="65">
        <f>累计利润调整表!M68/10000</f>
        <v>0</v>
      </c>
      <c r="N7" s="65">
        <f>累计利润调整表!N68/10000</f>
        <v>0</v>
      </c>
      <c r="O7" s="65">
        <f>累计利润调整表!O68/10000</f>
        <v>0</v>
      </c>
      <c r="P7" s="65">
        <f>累计利润调整表!P68/10000</f>
        <v>0</v>
      </c>
      <c r="Q7" s="65">
        <f>累计利润调整表!Q68/10000</f>
        <v>0</v>
      </c>
      <c r="R7" s="65">
        <f>累计利润调整表!R68/10000</f>
        <v>0</v>
      </c>
      <c r="S7" s="65">
        <f>累计利润调整表!S68/10000</f>
        <v>0</v>
      </c>
      <c r="T7" s="65">
        <f>累计利润调整表!T68/10000</f>
        <v>0</v>
      </c>
      <c r="U7" s="65">
        <f>累计利润调整表!U68/10000</f>
        <v>0</v>
      </c>
      <c r="V7" s="65">
        <f>累计利润调整表!V68/10000</f>
        <v>0</v>
      </c>
      <c r="W7" s="65">
        <f>累计利润调整表!W68/10000</f>
        <v>0</v>
      </c>
      <c r="X7" s="65">
        <f>累计利润调整表!X68/10000</f>
        <v>0</v>
      </c>
      <c r="Y7" s="65">
        <f>累计利润调整表!Y68/10000</f>
        <v>0</v>
      </c>
      <c r="Z7" s="65">
        <f>累计利润调整表!Z68/10000</f>
        <v>0</v>
      </c>
      <c r="AA7" s="65" t="e">
        <f>累计利润调整表!#REF!/10000</f>
        <v>#REF!</v>
      </c>
    </row>
    <row r="8" spans="1:27">
      <c r="A8" s="64" t="s">
        <v>178</v>
      </c>
      <c r="B8" s="64">
        <f>累计利润调整表!B69/10000</f>
        <v>28726.419919</v>
      </c>
      <c r="C8" s="64">
        <f>累计利润调整表!C69/10000</f>
        <v>-807.0713770000001</v>
      </c>
      <c r="D8" s="64">
        <f>累计利润调整表!D69/10000</f>
        <v>-24795.671749333342</v>
      </c>
      <c r="E8" s="64">
        <f>累计利润调整表!E69/10000</f>
        <v>54178.447368000008</v>
      </c>
      <c r="F8" s="64">
        <f>累计利润调整表!F69/10000</f>
        <v>23.712152</v>
      </c>
      <c r="G8" s="64">
        <f>累计利润调整表!G69/10000</f>
        <v>-175.62929799999989</v>
      </c>
      <c r="H8" s="64">
        <f>累计利润调整表!H69/10000</f>
        <v>-637.63186400000006</v>
      </c>
      <c r="I8" s="64">
        <f>累计利润调整表!I69/10000</f>
        <v>0</v>
      </c>
      <c r="J8" s="64">
        <f>累计利润调整表!J69/10000</f>
        <v>425.68080500000008</v>
      </c>
      <c r="K8" s="64">
        <f>累计利润调整表!K69/10000</f>
        <v>0</v>
      </c>
      <c r="L8" s="64">
        <f>累计利润调整表!L69/10000</f>
        <v>-28.239339000000001</v>
      </c>
      <c r="M8" s="64">
        <f>累计利润调整表!M69/10000</f>
        <v>0</v>
      </c>
      <c r="N8" s="64">
        <f>累计利润调整表!N69/10000</f>
        <v>0.94508799999999993</v>
      </c>
      <c r="O8" s="64">
        <f>累计利润调整表!O69/10000</f>
        <v>63.616011999999998</v>
      </c>
      <c r="P8" s="64">
        <f>累计利润调整表!P69/10000</f>
        <v>0</v>
      </c>
      <c r="Q8" s="64">
        <f>累计利润调整表!Q69/10000</f>
        <v>302.44444533333336</v>
      </c>
      <c r="R8" s="64">
        <f>累计利润调整表!R69/10000</f>
        <v>0</v>
      </c>
      <c r="S8" s="64">
        <f>累计利润调整表!S69/10000</f>
        <v>0</v>
      </c>
      <c r="T8" s="64">
        <f>累计利润调整表!T69/10000</f>
        <v>0</v>
      </c>
      <c r="U8" s="64">
        <f>累计利润调整表!U69/10000</f>
        <v>302.44444533333336</v>
      </c>
      <c r="V8" s="64">
        <f>累计利润调整表!V69/10000</f>
        <v>0.18748499999999998</v>
      </c>
      <c r="W8" s="64">
        <f>累计利润调整表!W69/10000</f>
        <v>0.18748499999999998</v>
      </c>
      <c r="X8" s="64">
        <f>累计利润调整表!X69/10000</f>
        <v>0</v>
      </c>
      <c r="Y8" s="64">
        <f>累计利润调整表!Y69/10000</f>
        <v>0</v>
      </c>
      <c r="Z8" s="64">
        <f>累计利润调整表!Z69/10000</f>
        <v>8.9300000000000002E-4</v>
      </c>
      <c r="AA8" s="64" t="e">
        <f>累计利润调整表!#REF!/10000</f>
        <v>#REF!</v>
      </c>
    </row>
    <row r="9" spans="1:27">
      <c r="A9" s="64" t="s">
        <v>31</v>
      </c>
      <c r="B9" s="64">
        <f>累计利润调整表!B70/10000</f>
        <v>-4015.9995250000006</v>
      </c>
      <c r="C9" s="64">
        <f>累计利润调整表!C70/10000</f>
        <v>-678.79321800000002</v>
      </c>
      <c r="D9" s="64">
        <f>累计利润调整表!D70/10000</f>
        <v>1568.6833405450714</v>
      </c>
      <c r="E9" s="64">
        <f>累计利润调整表!E70/10000</f>
        <v>66.778483999999992</v>
      </c>
      <c r="F9" s="64">
        <f>累计利润调整表!F70/10000</f>
        <v>-14469.636103999999</v>
      </c>
      <c r="G9" s="64">
        <f>累计利润调整表!G70/10000</f>
        <v>9304.4639184926637</v>
      </c>
      <c r="H9" s="64">
        <f>累计利润调整表!H70/10000</f>
        <v>23127.106306020967</v>
      </c>
      <c r="I9" s="64">
        <f>累计利润调整表!I70/10000</f>
        <v>0</v>
      </c>
      <c r="J9" s="64">
        <f>累计利润调整表!J70/10000</f>
        <v>-12262.046183867926</v>
      </c>
      <c r="K9" s="64">
        <f>累计利润调整表!K70/10000</f>
        <v>0</v>
      </c>
      <c r="L9" s="64">
        <f>累计利润调整表!L70/10000</f>
        <v>471.03040099999998</v>
      </c>
      <c r="M9" s="64">
        <f>累计利润调整表!M70/10000</f>
        <v>0</v>
      </c>
      <c r="N9" s="64">
        <f>累计利润调整表!N70/10000</f>
        <v>0</v>
      </c>
      <c r="O9" s="64">
        <f>累计利润调整表!O70/10000</f>
        <v>-2031.6266046603776</v>
      </c>
      <c r="P9" s="64">
        <f>累计利润调整表!P70/10000</f>
        <v>-5.0911724528301896</v>
      </c>
      <c r="Q9" s="64">
        <f>累计利润调整表!Q70/10000</f>
        <v>197.595226415094</v>
      </c>
      <c r="R9" s="64">
        <f>累计利润调整表!R70/10000</f>
        <v>0</v>
      </c>
      <c r="S9" s="64">
        <f>累计利润调整表!S70/10000</f>
        <v>0</v>
      </c>
      <c r="T9" s="64">
        <f>累计利润调整表!T70/10000</f>
        <v>197.595226415094</v>
      </c>
      <c r="U9" s="64">
        <f>累计利润调整表!U70/10000</f>
        <v>0</v>
      </c>
      <c r="V9" s="64">
        <f>累计利润调整表!V70/10000</f>
        <v>0</v>
      </c>
      <c r="W9" s="64">
        <f>累计利润调整表!W70/10000</f>
        <v>0</v>
      </c>
      <c r="X9" s="64">
        <f>累计利润调整表!X70/10000</f>
        <v>0</v>
      </c>
      <c r="Y9" s="64">
        <f>累计利润调整表!Y70/10000</f>
        <v>0</v>
      </c>
      <c r="Z9" s="64">
        <f>累计利润调整表!Z70/10000</f>
        <v>0</v>
      </c>
      <c r="AA9" s="64" t="e">
        <f>累计利润调整表!#REF!/10000</f>
        <v>#REF!</v>
      </c>
    </row>
    <row r="10" spans="1:27">
      <c r="A10" s="64" t="s">
        <v>179</v>
      </c>
      <c r="B10" s="64">
        <f>累计利润调整表!B71/10000</f>
        <v>0</v>
      </c>
      <c r="C10" s="64">
        <f>累计利润调整表!C71/10000</f>
        <v>0</v>
      </c>
      <c r="D10" s="64">
        <f>累计利润调整表!D71/10000</f>
        <v>0</v>
      </c>
      <c r="E10" s="64">
        <f>累计利润调整表!E71/10000</f>
        <v>0</v>
      </c>
      <c r="F10" s="64">
        <f>累计利润调整表!F71/10000</f>
        <v>0</v>
      </c>
      <c r="G10" s="64">
        <f>累计利润调整表!G71/10000</f>
        <v>0</v>
      </c>
      <c r="H10" s="64">
        <f>累计利润调整表!H71/10000</f>
        <v>0</v>
      </c>
      <c r="I10" s="64">
        <f>累计利润调整表!I71/10000</f>
        <v>0</v>
      </c>
      <c r="J10" s="64">
        <f>累计利润调整表!J71/10000</f>
        <v>0</v>
      </c>
      <c r="K10" s="64">
        <f>累计利润调整表!K71/10000</f>
        <v>0</v>
      </c>
      <c r="L10" s="64">
        <f>累计利润调整表!L71/10000</f>
        <v>0</v>
      </c>
      <c r="M10" s="64">
        <f>累计利润调整表!M71/10000</f>
        <v>0</v>
      </c>
      <c r="N10" s="64">
        <f>累计利润调整表!N71/10000</f>
        <v>0</v>
      </c>
      <c r="O10" s="64">
        <f>累计利润调整表!O71/10000</f>
        <v>0</v>
      </c>
      <c r="P10" s="64">
        <f>累计利润调整表!P71/10000</f>
        <v>0</v>
      </c>
      <c r="Q10" s="64">
        <f>累计利润调整表!Q71/10000</f>
        <v>0</v>
      </c>
      <c r="R10" s="64">
        <f>累计利润调整表!R71/10000</f>
        <v>0</v>
      </c>
      <c r="S10" s="64">
        <f>累计利润调整表!S71/10000</f>
        <v>0</v>
      </c>
      <c r="T10" s="64">
        <f>累计利润调整表!T71/10000</f>
        <v>0</v>
      </c>
      <c r="U10" s="64">
        <f>累计利润调整表!U71/10000</f>
        <v>0</v>
      </c>
      <c r="V10" s="64">
        <f>累计利润调整表!V71/10000</f>
        <v>0</v>
      </c>
      <c r="W10" s="64">
        <f>累计利润调整表!W71/10000</f>
        <v>0</v>
      </c>
      <c r="X10" s="64">
        <f>累计利润调整表!X71/10000</f>
        <v>0</v>
      </c>
      <c r="Y10" s="64">
        <f>累计利润调整表!Y71/10000</f>
        <v>0</v>
      </c>
      <c r="Z10" s="64">
        <f>累计利润调整表!Z71/10000</f>
        <v>0</v>
      </c>
      <c r="AA10" s="64" t="e">
        <f>累计利润调整表!#REF!/10000</f>
        <v>#REF!</v>
      </c>
    </row>
    <row r="11" spans="1:27">
      <c r="A11" s="64" t="s">
        <v>33</v>
      </c>
      <c r="B11" s="64">
        <f>累计利润调整表!B72/10000</f>
        <v>-20158.092154666669</v>
      </c>
      <c r="C11" s="64">
        <f>累计利润调整表!C72/10000</f>
        <v>-3154.3190830000003</v>
      </c>
      <c r="D11" s="64">
        <f>累计利润调整表!D72/10000</f>
        <v>-7.2181720000007772</v>
      </c>
      <c r="E11" s="64">
        <f>累计利润调整表!E72/10000</f>
        <v>-64.617522666666673</v>
      </c>
      <c r="F11" s="64">
        <f>累计利润调整表!F72/10000</f>
        <v>-7218.0147909999996</v>
      </c>
      <c r="G11" s="64">
        <f>累计利润调整表!G72/10000</f>
        <v>-9765.3950857999989</v>
      </c>
      <c r="H11" s="64">
        <f>累计利润调整表!H72/10000</f>
        <v>-7148.6380199999985</v>
      </c>
      <c r="I11" s="64">
        <f>累计利润调整表!I72/10000</f>
        <v>0</v>
      </c>
      <c r="J11" s="64">
        <f>累计利润调整表!J72/10000</f>
        <v>-3115.8902378000012</v>
      </c>
      <c r="K11" s="64">
        <f>累计利润调整表!K72/10000</f>
        <v>0</v>
      </c>
      <c r="L11" s="64">
        <f>累计利润调整表!L72/10000</f>
        <v>130.24470699999998</v>
      </c>
      <c r="M11" s="64">
        <f>累计利润调整表!M72/10000</f>
        <v>0</v>
      </c>
      <c r="N11" s="64">
        <f>累计利润调整表!N72/10000</f>
        <v>0</v>
      </c>
      <c r="O11" s="64">
        <f>累计利润调整表!O72/10000</f>
        <v>368.88846500000011</v>
      </c>
      <c r="P11" s="64">
        <f>累计利润调整表!P72/10000</f>
        <v>51.472499800000001</v>
      </c>
      <c r="Q11" s="64">
        <f>累计利润调整表!Q72/10000</f>
        <v>0</v>
      </c>
      <c r="R11" s="64">
        <f>累计利润调整表!R72/10000</f>
        <v>0</v>
      </c>
      <c r="S11" s="64">
        <f>累计利润调整表!S72/10000</f>
        <v>0</v>
      </c>
      <c r="T11" s="64">
        <f>累计利润调整表!T72/10000</f>
        <v>0</v>
      </c>
      <c r="U11" s="64">
        <f>累计利润调整表!U72/10000</f>
        <v>0</v>
      </c>
      <c r="V11" s="64">
        <f>累计利润调整表!V72/10000</f>
        <v>0</v>
      </c>
      <c r="W11" s="64">
        <f>累计利润调整表!W72/10000</f>
        <v>0</v>
      </c>
      <c r="X11" s="64">
        <f>累计利润调整表!X72/10000</f>
        <v>0</v>
      </c>
      <c r="Y11" s="64">
        <f>累计利润调整表!Y72/10000</f>
        <v>0</v>
      </c>
      <c r="Z11" s="64">
        <f>累计利润调整表!Z72/10000</f>
        <v>0</v>
      </c>
      <c r="AA11" s="64" t="e">
        <f>累计利润调整表!#REF!/10000</f>
        <v>#REF!</v>
      </c>
    </row>
    <row r="12" spans="1:27">
      <c r="A12" s="64" t="s">
        <v>180</v>
      </c>
      <c r="B12" s="64">
        <f>累计利润调整表!B73/10000</f>
        <v>90.925133000000002</v>
      </c>
      <c r="C12" s="64">
        <f>累计利润调整表!C73/10000</f>
        <v>0</v>
      </c>
      <c r="D12" s="64">
        <f>累计利润调整表!D73/10000</f>
        <v>-10.116421000000003</v>
      </c>
      <c r="E12" s="64">
        <f>累计利润调整表!E73/10000</f>
        <v>101.041554</v>
      </c>
      <c r="F12" s="64">
        <f>累计利润调整表!F73/10000</f>
        <v>0</v>
      </c>
      <c r="G12" s="64">
        <f>累计利润调整表!G73/10000</f>
        <v>0</v>
      </c>
      <c r="H12" s="64">
        <f>累计利润调整表!H73/10000</f>
        <v>0</v>
      </c>
      <c r="I12" s="64">
        <f>累计利润调整表!I73/10000</f>
        <v>0</v>
      </c>
      <c r="J12" s="64">
        <f>累计利润调整表!J73/10000</f>
        <v>0</v>
      </c>
      <c r="K12" s="64">
        <f>累计利润调整表!K73/10000</f>
        <v>0</v>
      </c>
      <c r="L12" s="64">
        <f>累计利润调整表!L73/10000</f>
        <v>0</v>
      </c>
      <c r="M12" s="64">
        <f>累计利润调整表!M73/10000</f>
        <v>0</v>
      </c>
      <c r="N12" s="64">
        <f>累计利润调整表!N73/10000</f>
        <v>0</v>
      </c>
      <c r="O12" s="64">
        <f>累计利润调整表!O73/10000</f>
        <v>0</v>
      </c>
      <c r="P12" s="64">
        <f>累计利润调整表!P73/10000</f>
        <v>0</v>
      </c>
      <c r="Q12" s="64">
        <f>累计利润调整表!Q73/10000</f>
        <v>0</v>
      </c>
      <c r="R12" s="64">
        <f>累计利润调整表!R73/10000</f>
        <v>0</v>
      </c>
      <c r="S12" s="64">
        <f>累计利润调整表!S73/10000</f>
        <v>0</v>
      </c>
      <c r="T12" s="64">
        <f>累计利润调整表!T73/10000</f>
        <v>0</v>
      </c>
      <c r="U12" s="64">
        <f>累计利润调整表!U73/10000</f>
        <v>0</v>
      </c>
      <c r="V12" s="64">
        <f>累计利润调整表!V73/10000</f>
        <v>0</v>
      </c>
      <c r="W12" s="64">
        <f>累计利润调整表!W73/10000</f>
        <v>0</v>
      </c>
      <c r="X12" s="64">
        <f>累计利润调整表!X73/10000</f>
        <v>0</v>
      </c>
      <c r="Y12" s="64">
        <f>累计利润调整表!Y73/10000</f>
        <v>0</v>
      </c>
      <c r="Z12" s="64">
        <f>累计利润调整表!Z73/10000</f>
        <v>0</v>
      </c>
      <c r="AA12" s="64" t="e">
        <f>累计利润调整表!#REF!/10000</f>
        <v>#REF!</v>
      </c>
    </row>
    <row r="13" spans="1:27">
      <c r="A13" s="64" t="s">
        <v>181</v>
      </c>
      <c r="B13" s="64">
        <f>累计利润调整表!B74/10000</f>
        <v>586.33852200000001</v>
      </c>
      <c r="C13" s="64">
        <f>累计利润调整表!C74/10000</f>
        <v>-159.69368400000002</v>
      </c>
      <c r="D13" s="64">
        <f>累计利润调整表!D74/10000</f>
        <v>0.45283000000006268</v>
      </c>
      <c r="E13" s="64">
        <f>累计利润调整表!E74/10000</f>
        <v>705.57937600000002</v>
      </c>
      <c r="F13" s="64">
        <f>累计利润调整表!F74/10000</f>
        <v>0</v>
      </c>
      <c r="G13" s="64">
        <f>累计利润调整表!G74/10000</f>
        <v>0</v>
      </c>
      <c r="H13" s="64">
        <f>累计利润调整表!H74/10000</f>
        <v>0</v>
      </c>
      <c r="I13" s="64">
        <f>累计利润调整表!I74/10000</f>
        <v>0</v>
      </c>
      <c r="J13" s="64">
        <f>累计利润调整表!J74/10000</f>
        <v>0</v>
      </c>
      <c r="K13" s="64">
        <f>累计利润调整表!K74/10000</f>
        <v>0</v>
      </c>
      <c r="L13" s="64">
        <f>累计利润调整表!L74/10000</f>
        <v>0</v>
      </c>
      <c r="M13" s="64">
        <f>累计利润调整表!M74/10000</f>
        <v>0</v>
      </c>
      <c r="N13" s="64">
        <f>累计利润调整表!N74/10000</f>
        <v>0</v>
      </c>
      <c r="O13" s="64">
        <f>累计利润调整表!O74/10000</f>
        <v>0</v>
      </c>
      <c r="P13" s="64">
        <f>累计利润调整表!P74/10000</f>
        <v>0</v>
      </c>
      <c r="Q13" s="64">
        <f>累计利润调整表!Q74/10000</f>
        <v>0</v>
      </c>
      <c r="R13" s="64">
        <f>累计利润调整表!R74/10000</f>
        <v>0</v>
      </c>
      <c r="S13" s="64">
        <f>累计利润调整表!S74/10000</f>
        <v>0</v>
      </c>
      <c r="T13" s="64">
        <f>累计利润调整表!T74/10000</f>
        <v>0</v>
      </c>
      <c r="U13" s="64">
        <f>累计利润调整表!U74/10000</f>
        <v>0</v>
      </c>
      <c r="V13" s="64">
        <f>累计利润调整表!V74/10000</f>
        <v>40</v>
      </c>
      <c r="W13" s="64">
        <f>累计利润调整表!W74/10000</f>
        <v>0</v>
      </c>
      <c r="X13" s="64">
        <f>累计利润调整表!X74/10000</f>
        <v>40</v>
      </c>
      <c r="Y13" s="64">
        <f>累计利润调整表!Y74/10000</f>
        <v>0</v>
      </c>
      <c r="Z13" s="64">
        <f>累计利润调整表!Z74/10000</f>
        <v>0</v>
      </c>
      <c r="AA13" s="64" t="e">
        <f>累计利润调整表!#REF!/10000</f>
        <v>#REF!</v>
      </c>
    </row>
    <row r="14" spans="1:27">
      <c r="A14" s="66" t="s">
        <v>36</v>
      </c>
      <c r="B14" s="93">
        <f>累计利润调整表!B75/10000</f>
        <v>80272.446481999999</v>
      </c>
      <c r="C14" s="93">
        <f>累计利润调整表!C75/10000</f>
        <v>-4472.2075109999996</v>
      </c>
      <c r="D14" s="93">
        <f>累计利润调整表!D75/10000</f>
        <v>24583.110033579196</v>
      </c>
      <c r="E14" s="93">
        <f>累计利润调整表!E75/10000</f>
        <v>36807.724123656801</v>
      </c>
      <c r="F14" s="93">
        <f>累计利润调整表!F75/10000</f>
        <v>1158.143742</v>
      </c>
      <c r="G14" s="93">
        <f>累计利润调整表!G75/10000</f>
        <v>3604.4059937639995</v>
      </c>
      <c r="H14" s="93">
        <f>累计利润调整表!H75/10000</f>
        <v>1585.7248780000002</v>
      </c>
      <c r="I14" s="93">
        <f>累计利润调整表!I75/10000</f>
        <v>0</v>
      </c>
      <c r="J14" s="93">
        <f>累计利润调整表!J75/10000</f>
        <v>393.89582899999994</v>
      </c>
      <c r="K14" s="93">
        <f>累计利润调整表!K75/10000</f>
        <v>129.86697699999999</v>
      </c>
      <c r="L14" s="93">
        <f>累计利润调整表!L75/10000</f>
        <v>482.45226700000001</v>
      </c>
      <c r="M14" s="93">
        <f>累计利润调整表!M75/10000</f>
        <v>0</v>
      </c>
      <c r="N14" s="93">
        <f>累计利润调整表!N75/10000</f>
        <v>419.53978699999999</v>
      </c>
      <c r="O14" s="93">
        <f>累计利润调整表!O75/10000</f>
        <v>592.92625576400008</v>
      </c>
      <c r="P14" s="93">
        <f>累计利润调整表!P75/10000</f>
        <v>1541.3153539999998</v>
      </c>
      <c r="Q14" s="93">
        <f>累计利润调整表!Q75/10000</f>
        <v>15461.917171000001</v>
      </c>
      <c r="R14" s="93">
        <f>累计利润调整表!R75/10000</f>
        <v>0</v>
      </c>
      <c r="S14" s="93">
        <f>累计利润调整表!S75/10000</f>
        <v>11902.679711000001</v>
      </c>
      <c r="T14" s="93">
        <f>累计利润调整表!T75/10000</f>
        <v>3162.8939630000004</v>
      </c>
      <c r="U14" s="93">
        <f>累计利润调整表!U75/10000</f>
        <v>396.34349699999996</v>
      </c>
      <c r="V14" s="93">
        <f>累计利润调整表!V75/10000</f>
        <v>519.66962000000012</v>
      </c>
      <c r="W14" s="93">
        <f>累计利润调整表!W75/10000</f>
        <v>398.86261300000001</v>
      </c>
      <c r="X14" s="93">
        <f>累计利润调整表!X75/10000</f>
        <v>120.80700700000001</v>
      </c>
      <c r="Y14" s="93">
        <f>累计利润调整表!Y75/10000</f>
        <v>1038.974737</v>
      </c>
      <c r="Z14" s="93">
        <f>累计利润调整表!Z75/10000</f>
        <v>29.393218000000005</v>
      </c>
      <c r="AA14" s="93" t="e">
        <f>累计利润调整表!#REF!/10000</f>
        <v>#REF!</v>
      </c>
    </row>
    <row r="15" spans="1:27">
      <c r="A15" s="67" t="s">
        <v>37</v>
      </c>
      <c r="B15" s="67">
        <f>累计利润调整表!B76/10000</f>
        <v>4557.3317489999999</v>
      </c>
      <c r="C15" s="67">
        <f>累计利润调整表!C76/10000</f>
        <v>-81.636831999999998</v>
      </c>
      <c r="D15" s="67">
        <f>累计利润调整表!D76/10000</f>
        <v>45.299588579200396</v>
      </c>
      <c r="E15" s="67">
        <f>累计利润调整表!E76/10000</f>
        <v>2484.2574936567999</v>
      </c>
      <c r="F15" s="67">
        <f>累计利润调整表!F76/10000</f>
        <v>102.19044299999999</v>
      </c>
      <c r="G15" s="67">
        <f>累计利润调整表!G76/10000</f>
        <v>441.67122376399999</v>
      </c>
      <c r="H15" s="67">
        <f>累计利润调整表!H76/10000</f>
        <v>475.44606799999997</v>
      </c>
      <c r="I15" s="67">
        <f>累计利润调整表!I76/10000</f>
        <v>0</v>
      </c>
      <c r="J15" s="67">
        <f>累计利润调整表!J76/10000</f>
        <v>-30.565448000000004</v>
      </c>
      <c r="K15" s="67">
        <f>累计利润调整表!K76/10000</f>
        <v>-9.4830000000000001E-3</v>
      </c>
      <c r="L15" s="67">
        <f>累计利润调整表!L76/10000</f>
        <v>14.656485</v>
      </c>
      <c r="M15" s="67">
        <f>累计利润调整表!M76/10000</f>
        <v>0</v>
      </c>
      <c r="N15" s="67">
        <f>累计利润调整表!N76/10000</f>
        <v>-3.3000000000000003E-5</v>
      </c>
      <c r="O15" s="67">
        <f>累计利润调整表!O76/10000</f>
        <v>-17.856365236000002</v>
      </c>
      <c r="P15" s="67">
        <f>累计利润调整表!P76/10000</f>
        <v>55.647399999999998</v>
      </c>
      <c r="Q15" s="67">
        <f>累计利润调整表!Q76/10000</f>
        <v>1508.8098950000001</v>
      </c>
      <c r="R15" s="67">
        <f>累计利润调整表!R76/10000</f>
        <v>0</v>
      </c>
      <c r="S15" s="67">
        <f>累计利润调整表!S76/10000</f>
        <v>1277.9929669999999</v>
      </c>
      <c r="T15" s="67">
        <f>累计利润调整表!T76/10000</f>
        <v>218.32084</v>
      </c>
      <c r="U15" s="67">
        <f>累计利润调整表!U76/10000</f>
        <v>12.496088</v>
      </c>
      <c r="V15" s="67">
        <f>累计利润调整表!V76/10000</f>
        <v>1.5837939999999999</v>
      </c>
      <c r="W15" s="67">
        <f>累计利润调整表!W76/10000</f>
        <v>0.12692100000000001</v>
      </c>
      <c r="X15" s="67">
        <f>累计利润调整表!X76/10000</f>
        <v>1.4568729999999999</v>
      </c>
      <c r="Y15" s="67">
        <f>累计利润调整表!Y76/10000</f>
        <v>-0.49125699999999994</v>
      </c>
      <c r="Z15" s="67">
        <f>累计利润调整表!Z76/10000</f>
        <v>0</v>
      </c>
      <c r="AA15" s="67" t="e">
        <f>累计利润调整表!#REF!/10000</f>
        <v>#REF!</v>
      </c>
    </row>
    <row r="16" spans="1:27">
      <c r="A16" s="67" t="s">
        <v>38</v>
      </c>
      <c r="B16" s="67">
        <f>累计利润调整表!B77/10000</f>
        <v>75241.051722999997</v>
      </c>
      <c r="C16" s="67">
        <f>累计利润调整表!C77/10000</f>
        <v>-4390.5706789999995</v>
      </c>
      <c r="D16" s="67">
        <f>累计利润调整表!D77/10000</f>
        <v>24624.246161999999</v>
      </c>
      <c r="E16" s="67">
        <f>累计利润调整表!E77/10000</f>
        <v>33762.967903000004</v>
      </c>
      <c r="F16" s="67">
        <f>累计利润调整表!F77/10000</f>
        <v>1055.9532989999998</v>
      </c>
      <c r="G16" s="67">
        <f>累计利润调整表!G77/10000</f>
        <v>3162.73477</v>
      </c>
      <c r="H16" s="67">
        <f>累计利润调整表!H77/10000</f>
        <v>1110.2788100000002</v>
      </c>
      <c r="I16" s="67">
        <f>累计利润调整表!I77/10000</f>
        <v>0</v>
      </c>
      <c r="J16" s="67">
        <f>累计利润调整表!J77/10000</f>
        <v>424.46127699999994</v>
      </c>
      <c r="K16" s="67">
        <f>累计利润调整表!K77/10000</f>
        <v>129.87646000000001</v>
      </c>
      <c r="L16" s="67">
        <f>累计利润调整表!L77/10000</f>
        <v>467.79578200000003</v>
      </c>
      <c r="M16" s="67">
        <f>累计利润调整表!M77/10000</f>
        <v>0</v>
      </c>
      <c r="N16" s="67">
        <f>累计利润调整表!N77/10000</f>
        <v>419.53982000000002</v>
      </c>
      <c r="O16" s="67">
        <f>累计利润调整表!O77/10000</f>
        <v>610.78262099999995</v>
      </c>
      <c r="P16" s="67">
        <f>累计利润调整表!P77/10000</f>
        <v>1485.667954</v>
      </c>
      <c r="Q16" s="67">
        <f>累计利润调整表!Q77/10000</f>
        <v>13953.107276000002</v>
      </c>
      <c r="R16" s="67">
        <f>累计利润调整表!R77/10000</f>
        <v>0</v>
      </c>
      <c r="S16" s="67">
        <f>累计利润调整表!S77/10000</f>
        <v>10624.686744000001</v>
      </c>
      <c r="T16" s="67">
        <f>累计利润调整表!T77/10000</f>
        <v>2944.5731230000001</v>
      </c>
      <c r="U16" s="67">
        <f>累计利润调整表!U77/10000</f>
        <v>383.84740899999997</v>
      </c>
      <c r="V16" s="67">
        <f>累计利润调整表!V77/10000</f>
        <v>518.08582600000011</v>
      </c>
      <c r="W16" s="67">
        <f>累计利润调整表!W77/10000</f>
        <v>398.73569199999997</v>
      </c>
      <c r="X16" s="67">
        <f>累计利润调整表!X77/10000</f>
        <v>119.35013399999998</v>
      </c>
      <c r="Y16" s="67">
        <f>累计利润调整表!Y77/10000</f>
        <v>1039.4659939999999</v>
      </c>
      <c r="Z16" s="67">
        <f>累计利润调整表!Z77/10000</f>
        <v>29.393218000000005</v>
      </c>
      <c r="AA16" s="67" t="e">
        <f>累计利润调整表!#REF!/10000</f>
        <v>#REF!</v>
      </c>
    </row>
    <row r="17" spans="1:27">
      <c r="A17" s="67" t="s">
        <v>39</v>
      </c>
      <c r="B17" s="67">
        <f>累计利润调整表!B78/10000</f>
        <v>-86.435717000000011</v>
      </c>
      <c r="C17" s="67">
        <f>累计利润调整表!C78/10000</f>
        <v>0</v>
      </c>
      <c r="D17" s="67">
        <f>累计利润调整表!D78/10000</f>
        <v>-86.435717000000011</v>
      </c>
      <c r="E17" s="67">
        <f>累计利润调整表!E78/10000</f>
        <v>0</v>
      </c>
      <c r="F17" s="67">
        <f>累计利润调整表!F78/10000</f>
        <v>0</v>
      </c>
      <c r="G17" s="67">
        <f>累计利润调整表!G78/10000</f>
        <v>0</v>
      </c>
      <c r="H17" s="67">
        <f>累计利润调整表!H78/10000</f>
        <v>0</v>
      </c>
      <c r="I17" s="67">
        <f>累计利润调整表!I78/10000</f>
        <v>0</v>
      </c>
      <c r="J17" s="67">
        <f>累计利润调整表!J78/10000</f>
        <v>0</v>
      </c>
      <c r="K17" s="67">
        <f>累计利润调整表!K78/10000</f>
        <v>0</v>
      </c>
      <c r="L17" s="67">
        <f>累计利润调整表!L78/10000</f>
        <v>0</v>
      </c>
      <c r="M17" s="67">
        <f>累计利润调整表!M78/10000</f>
        <v>0</v>
      </c>
      <c r="N17" s="67">
        <f>累计利润调整表!N78/10000</f>
        <v>0</v>
      </c>
      <c r="O17" s="67">
        <f>累计利润调整表!O78/10000</f>
        <v>0</v>
      </c>
      <c r="P17" s="67">
        <f>累计利润调整表!P78/10000</f>
        <v>0</v>
      </c>
      <c r="Q17" s="67">
        <f>累计利润调整表!Q78/10000</f>
        <v>0</v>
      </c>
      <c r="R17" s="67">
        <f>累计利润调整表!R78/10000</f>
        <v>0</v>
      </c>
      <c r="S17" s="67">
        <f>累计利润调整表!S78/10000</f>
        <v>0</v>
      </c>
      <c r="T17" s="67">
        <f>累计利润调整表!T78/10000</f>
        <v>0</v>
      </c>
      <c r="U17" s="67">
        <f>累计利润调整表!U78/10000</f>
        <v>0</v>
      </c>
      <c r="V17" s="67">
        <f>累计利润调整表!V78/10000</f>
        <v>0</v>
      </c>
      <c r="W17" s="67">
        <f>累计利润调整表!W78/10000</f>
        <v>0</v>
      </c>
      <c r="X17" s="67">
        <f>累计利润调整表!X78/10000</f>
        <v>0</v>
      </c>
      <c r="Y17" s="67">
        <f>累计利润调整表!Y78/10000</f>
        <v>0</v>
      </c>
      <c r="Z17" s="67">
        <f>累计利润调整表!Z78/10000</f>
        <v>0</v>
      </c>
      <c r="AA17" s="67" t="e">
        <f>累计利润调整表!#REF!/10000</f>
        <v>#REF!</v>
      </c>
    </row>
    <row r="18" spans="1:27">
      <c r="A18" s="67" t="s">
        <v>40</v>
      </c>
      <c r="B18" s="67">
        <f>累计利润调整表!B79/10000</f>
        <v>560.49872699999992</v>
      </c>
      <c r="C18" s="67">
        <f>累计利润调整表!C79/10000</f>
        <v>0</v>
      </c>
      <c r="D18" s="67">
        <f>累计利润调整表!D79/10000</f>
        <v>0</v>
      </c>
      <c r="E18" s="67">
        <f>累计利润调整表!E79/10000</f>
        <v>560.49872699999992</v>
      </c>
      <c r="F18" s="67">
        <f>累计利润调整表!F79/10000</f>
        <v>0</v>
      </c>
      <c r="G18" s="67">
        <f>累计利润调整表!G79/10000</f>
        <v>0</v>
      </c>
      <c r="H18" s="67">
        <f>累计利润调整表!H79/10000</f>
        <v>0</v>
      </c>
      <c r="I18" s="67">
        <f>累计利润调整表!I79/10000</f>
        <v>0</v>
      </c>
      <c r="J18" s="67">
        <f>累计利润调整表!J79/10000</f>
        <v>0</v>
      </c>
      <c r="K18" s="67">
        <f>累计利润调整表!K79/10000</f>
        <v>0</v>
      </c>
      <c r="L18" s="67">
        <f>累计利润调整表!L79/10000</f>
        <v>0</v>
      </c>
      <c r="M18" s="67">
        <f>累计利润调整表!M79/10000</f>
        <v>0</v>
      </c>
      <c r="N18" s="67">
        <f>累计利润调整表!N79/10000</f>
        <v>0</v>
      </c>
      <c r="O18" s="67">
        <f>累计利润调整表!O79/10000</f>
        <v>0</v>
      </c>
      <c r="P18" s="67">
        <f>累计利润调整表!P79/10000</f>
        <v>0</v>
      </c>
      <c r="Q18" s="67">
        <f>累计利润调整表!Q79/10000</f>
        <v>0</v>
      </c>
      <c r="R18" s="67">
        <f>累计利润调整表!R79/10000</f>
        <v>0</v>
      </c>
      <c r="S18" s="67">
        <f>累计利润调整表!S79/10000</f>
        <v>0</v>
      </c>
      <c r="T18" s="67">
        <f>累计利润调整表!T79/10000</f>
        <v>0</v>
      </c>
      <c r="U18" s="67">
        <f>累计利润调整表!U79/10000</f>
        <v>0</v>
      </c>
      <c r="V18" s="67">
        <f>累计利润调整表!V79/10000</f>
        <v>0</v>
      </c>
      <c r="W18" s="67">
        <f>累计利润调整表!W79/10000</f>
        <v>0</v>
      </c>
      <c r="X18" s="67">
        <f>累计利润调整表!X79/10000</f>
        <v>0</v>
      </c>
      <c r="Y18" s="67">
        <f>累计利润调整表!Y79/10000</f>
        <v>0</v>
      </c>
      <c r="Z18" s="67">
        <f>累计利润调整表!Z79/10000</f>
        <v>0</v>
      </c>
      <c r="AA18" s="67" t="e">
        <f>累计利润调整表!#REF!/10000</f>
        <v>#REF!</v>
      </c>
    </row>
    <row r="19" spans="1:27">
      <c r="A19" s="66" t="s">
        <v>41</v>
      </c>
      <c r="B19" s="93">
        <f>累计利润调整表!B80/10000</f>
        <v>34149.344655333363</v>
      </c>
      <c r="C19" s="93">
        <f>累计利润调整表!C80/10000</f>
        <v>-321.81976400000076</v>
      </c>
      <c r="D19" s="93">
        <f>累计利润调整表!D80/10000</f>
        <v>-47905.518573367452</v>
      </c>
      <c r="E19" s="93">
        <f>累计利润调整表!E80/10000</f>
        <v>75298.339067676527</v>
      </c>
      <c r="F19" s="93">
        <f>累计利润调整表!F80/10000</f>
        <v>-16612.464187000001</v>
      </c>
      <c r="G19" s="93">
        <f>累计利润调整表!G80/10000</f>
        <v>-3597.0504260713356</v>
      </c>
      <c r="H19" s="93">
        <f>累计利润调整表!H80/10000</f>
        <v>14309.408536020966</v>
      </c>
      <c r="I19" s="93">
        <f>累计利润调整表!I80/10000</f>
        <v>0</v>
      </c>
      <c r="J19" s="93">
        <f>累计利润调整表!J80/10000</f>
        <v>-15286.151445667925</v>
      </c>
      <c r="K19" s="93">
        <f>累计利润调整表!K80/10000</f>
        <v>-129.86697699999999</v>
      </c>
      <c r="L19" s="93">
        <f>累计利润调整表!L80/10000</f>
        <v>94.136582000000004</v>
      </c>
      <c r="M19" s="93">
        <f>累计利润调整表!M80/10000</f>
        <v>0</v>
      </c>
      <c r="N19" s="93">
        <f>累计利润调整表!N80/10000</f>
        <v>-418.976699</v>
      </c>
      <c r="O19" s="93">
        <f>累计利润调整表!O80/10000</f>
        <v>-2165.6004224243779</v>
      </c>
      <c r="P19" s="93">
        <f>累计利润调整表!P80/10000</f>
        <v>2088.3692663471697</v>
      </c>
      <c r="Q19" s="93">
        <f>累计利润调整表!Q80/10000</f>
        <v>26631.627395748434</v>
      </c>
      <c r="R19" s="93">
        <f>累计利润调整表!R80/10000</f>
        <v>0</v>
      </c>
      <c r="S19" s="93">
        <f>累计利润调整表!S80/10000</f>
        <v>22864.202531999999</v>
      </c>
      <c r="T19" s="93">
        <f>累计利润调整表!T80/10000</f>
        <v>3665.4371244150939</v>
      </c>
      <c r="U19" s="93">
        <f>累计利润调整表!U80/10000</f>
        <v>101.98773933333335</v>
      </c>
      <c r="V19" s="93">
        <f>累计利润调整表!V80/10000</f>
        <v>-363.75107800000006</v>
      </c>
      <c r="W19" s="93">
        <f>累计利润调整表!W80/10000</f>
        <v>-398.69312799999994</v>
      </c>
      <c r="X19" s="93">
        <f>累计利润调整表!X80/10000</f>
        <v>34.942050000000002</v>
      </c>
      <c r="Y19" s="93">
        <f>累计利润调整表!Y80/10000</f>
        <v>-1038.994721</v>
      </c>
      <c r="Z19" s="93">
        <f>累计利润调整表!Z80/10000</f>
        <v>-29.392325</v>
      </c>
      <c r="AA19" s="93" t="e">
        <f>累计利润调整表!#REF!/10000</f>
        <v>#REF!</v>
      </c>
    </row>
    <row r="20" spans="1:27">
      <c r="A20" s="67" t="s">
        <v>42</v>
      </c>
      <c r="B20" s="67">
        <f>累计利润调整表!B81/10000</f>
        <v>125.780676</v>
      </c>
      <c r="C20" s="67">
        <f>累计利润调整表!C81/10000</f>
        <v>0</v>
      </c>
      <c r="D20" s="67">
        <f>累计利润调整表!D81/10000</f>
        <v>40.798740999999993</v>
      </c>
      <c r="E20" s="67">
        <f>累计利润调整表!E81/10000</f>
        <v>10.368835000000001</v>
      </c>
      <c r="F20" s="67">
        <f>累计利润调整表!F81/10000</f>
        <v>0</v>
      </c>
      <c r="G20" s="67">
        <f>累计利润调整表!G81/10000</f>
        <v>44.613100000000003</v>
      </c>
      <c r="H20" s="67">
        <f>累计利润调整表!H81/10000</f>
        <v>0</v>
      </c>
      <c r="I20" s="67">
        <f>累计利润调整表!I81/10000</f>
        <v>0</v>
      </c>
      <c r="J20" s="67">
        <f>累计利润调整表!J81/10000</f>
        <v>0</v>
      </c>
      <c r="K20" s="67">
        <f>累计利润调整表!K81/10000</f>
        <v>0</v>
      </c>
      <c r="L20" s="67">
        <f>累计利润调整表!L81/10000</f>
        <v>0</v>
      </c>
      <c r="M20" s="67">
        <f>累计利润调整表!M81/10000</f>
        <v>0</v>
      </c>
      <c r="N20" s="67">
        <f>累计利润调整表!N81/10000</f>
        <v>44.613100000000003</v>
      </c>
      <c r="O20" s="67">
        <f>累计利润调整表!O81/10000</f>
        <v>0</v>
      </c>
      <c r="P20" s="67">
        <f>累计利润调整表!P81/10000</f>
        <v>0</v>
      </c>
      <c r="Q20" s="67">
        <f>累计利润调整表!Q81/10000</f>
        <v>30</v>
      </c>
      <c r="R20" s="67">
        <f>累计利润调整表!R81/10000</f>
        <v>0</v>
      </c>
      <c r="S20" s="67">
        <f>累计利润调整表!S81/10000</f>
        <v>0</v>
      </c>
      <c r="T20" s="67">
        <f>累计利润调整表!T81/10000</f>
        <v>30</v>
      </c>
      <c r="U20" s="67">
        <f>累计利润调整表!U81/10000</f>
        <v>0</v>
      </c>
      <c r="V20" s="67">
        <f>累计利润调整表!V81/10000</f>
        <v>0</v>
      </c>
      <c r="W20" s="67">
        <f>累计利润调整表!W81/10000</f>
        <v>0</v>
      </c>
      <c r="X20" s="67">
        <f>累计利润调整表!X81/10000</f>
        <v>0</v>
      </c>
      <c r="Y20" s="67">
        <f>累计利润调整表!Y81/10000</f>
        <v>0</v>
      </c>
      <c r="Z20" s="67">
        <f>累计利润调整表!Z81/10000</f>
        <v>0</v>
      </c>
      <c r="AA20" s="67" t="e">
        <f>累计利润调整表!#REF!/10000</f>
        <v>#REF!</v>
      </c>
    </row>
    <row r="21" spans="1:27">
      <c r="A21" s="67" t="s">
        <v>43</v>
      </c>
      <c r="B21" s="67">
        <f>累计利润调整表!B82/10000</f>
        <v>128.676095</v>
      </c>
      <c r="C21" s="67">
        <f>累计利润调整表!C82/10000</f>
        <v>0</v>
      </c>
      <c r="D21" s="67">
        <f>累计利润调整表!D82/10000</f>
        <v>20.862874000000016</v>
      </c>
      <c r="E21" s="67">
        <f>累计利润调整表!E82/10000</f>
        <v>102.15231899999999</v>
      </c>
      <c r="F21" s="67">
        <f>累计利润调整表!F82/10000</f>
        <v>7.7499999999999999E-2</v>
      </c>
      <c r="G21" s="67">
        <f>累计利润调整表!G82/10000</f>
        <v>0.33484599999999998</v>
      </c>
      <c r="H21" s="67">
        <f>累计利润调整表!H82/10000</f>
        <v>0</v>
      </c>
      <c r="I21" s="67">
        <f>累计利润调整表!I82/10000</f>
        <v>0</v>
      </c>
      <c r="J21" s="67">
        <f>累计利润调整表!J82/10000</f>
        <v>0.139846</v>
      </c>
      <c r="K21" s="67">
        <f>累计利润调整表!K82/10000</f>
        <v>0</v>
      </c>
      <c r="L21" s="67">
        <f>累计利润调整表!L82/10000</f>
        <v>0.19500000000000001</v>
      </c>
      <c r="M21" s="67">
        <f>累计利润调整表!M82/10000</f>
        <v>0</v>
      </c>
      <c r="N21" s="67">
        <f>累计利润调整表!N82/10000</f>
        <v>0</v>
      </c>
      <c r="O21" s="67">
        <f>累计利润调整表!O82/10000</f>
        <v>0</v>
      </c>
      <c r="P21" s="67">
        <f>累计利润调整表!P82/10000</f>
        <v>5.1338739999999996</v>
      </c>
      <c r="Q21" s="67">
        <f>累计利润调整表!Q82/10000</f>
        <v>0.11468199999999999</v>
      </c>
      <c r="R21" s="67">
        <f>累计利润调整表!R82/10000</f>
        <v>0</v>
      </c>
      <c r="S21" s="67">
        <f>累计利润调整表!S82/10000</f>
        <v>0</v>
      </c>
      <c r="T21" s="67">
        <f>累计利润调整表!T82/10000</f>
        <v>0</v>
      </c>
      <c r="U21" s="67">
        <f>累计利润调整表!U82/10000</f>
        <v>0.11468199999999999</v>
      </c>
      <c r="V21" s="67">
        <f>累计利润调整表!V82/10000</f>
        <v>0</v>
      </c>
      <c r="W21" s="67">
        <f>累计利润调整表!W82/10000</f>
        <v>0</v>
      </c>
      <c r="X21" s="67">
        <f>累计利润调整表!X82/10000</f>
        <v>0</v>
      </c>
      <c r="Y21" s="67">
        <f>累计利润调整表!Y82/10000</f>
        <v>0</v>
      </c>
      <c r="Z21" s="67">
        <f>累计利润调整表!Z82/10000</f>
        <v>0</v>
      </c>
      <c r="AA21" s="67" t="e">
        <f>累计利润调整表!#REF!/10000</f>
        <v>#REF!</v>
      </c>
    </row>
    <row r="22" spans="1:27">
      <c r="A22" s="66" t="s">
        <v>44</v>
      </c>
      <c r="B22" s="93">
        <f>累计利润调整表!B83/10000</f>
        <v>34146.449236333363</v>
      </c>
      <c r="C22" s="93">
        <f>累计利润调整表!C83/10000</f>
        <v>-321.81976400000076</v>
      </c>
      <c r="D22" s="93">
        <f>累计利润调整表!D83/10000</f>
        <v>-47885.582706367451</v>
      </c>
      <c r="E22" s="93">
        <f>累计利润调整表!E83/10000</f>
        <v>75206.555583676512</v>
      </c>
      <c r="F22" s="93">
        <f>累计利润调整表!F83/10000</f>
        <v>-16612.541687000001</v>
      </c>
      <c r="G22" s="93">
        <f>累计利润调整表!G83/10000</f>
        <v>-3552.7721720713353</v>
      </c>
      <c r="H22" s="93">
        <f>累计利润调整表!H83/10000</f>
        <v>14309.408536020966</v>
      </c>
      <c r="I22" s="93">
        <f>累计利润调整表!I83/10000</f>
        <v>0</v>
      </c>
      <c r="J22" s="93">
        <f>累计利润调整表!J83/10000</f>
        <v>-15286.291291667927</v>
      </c>
      <c r="K22" s="93">
        <f>累计利润调整表!K83/10000</f>
        <v>-129.86697699999999</v>
      </c>
      <c r="L22" s="93">
        <f>累计利润调整表!L83/10000</f>
        <v>93.941582000000025</v>
      </c>
      <c r="M22" s="93">
        <f>累计利润调整表!M83/10000</f>
        <v>0</v>
      </c>
      <c r="N22" s="93">
        <f>累计利润调整表!N83/10000</f>
        <v>-374.36359899999991</v>
      </c>
      <c r="O22" s="93">
        <f>累计利润调整表!O83/10000</f>
        <v>-2165.6004224243779</v>
      </c>
      <c r="P22" s="93">
        <f>累计利润调整表!P83/10000</f>
        <v>2083.2353923471696</v>
      </c>
      <c r="Q22" s="93">
        <f>累计利润调整表!Q83/10000</f>
        <v>26661.512713748434</v>
      </c>
      <c r="R22" s="93">
        <f>累计利润调整表!R83/10000</f>
        <v>0</v>
      </c>
      <c r="S22" s="93">
        <f>累计利润调整表!S83/10000</f>
        <v>22864.202531999999</v>
      </c>
      <c r="T22" s="93">
        <f>累计利润调整表!T83/10000</f>
        <v>3695.4371244150939</v>
      </c>
      <c r="U22" s="93">
        <f>累计利润调整表!U83/10000</f>
        <v>101.87305733333332</v>
      </c>
      <c r="V22" s="93">
        <f>累计利润调整表!V83/10000</f>
        <v>-363.75107800000006</v>
      </c>
      <c r="W22" s="93">
        <f>累计利润调整表!W83/10000</f>
        <v>-398.69312799999994</v>
      </c>
      <c r="X22" s="93">
        <f>累计利润调整表!X83/10000</f>
        <v>34.942050000000002</v>
      </c>
      <c r="Y22" s="93">
        <f>累计利润调整表!Y83/10000</f>
        <v>-1038.994721</v>
      </c>
      <c r="Z22" s="93">
        <f>累计利润调整表!Z83/10000</f>
        <v>-29.392325</v>
      </c>
      <c r="AA22" s="93" t="e">
        <f>累计利润调整表!#REF!/10000</f>
        <v>#REF!</v>
      </c>
    </row>
    <row r="23" spans="1:27">
      <c r="A23" s="67" t="s">
        <v>45</v>
      </c>
      <c r="B23" s="67">
        <f>累计利润调整表!B84/10000</f>
        <v>3733.6515290000007</v>
      </c>
      <c r="C23" s="67">
        <f>累计利润调整表!C84/10000</f>
        <v>-3208.0774970000002</v>
      </c>
      <c r="D23" s="67">
        <f>累计利润调整表!D84/10000</f>
        <v>6941.7290260000009</v>
      </c>
      <c r="E23" s="67">
        <f>累计利润调整表!E84/10000</f>
        <v>0</v>
      </c>
      <c r="F23" s="67">
        <f>累计利润调整表!F84/10000</f>
        <v>0</v>
      </c>
      <c r="G23" s="67">
        <f>累计利润调整表!G84/10000</f>
        <v>0</v>
      </c>
      <c r="H23" s="67">
        <f>累计利润调整表!H84/10000</f>
        <v>0</v>
      </c>
      <c r="I23" s="67">
        <f>累计利润调整表!I84/10000</f>
        <v>0</v>
      </c>
      <c r="J23" s="67">
        <f>累计利润调整表!J84/10000</f>
        <v>0</v>
      </c>
      <c r="K23" s="67">
        <f>累计利润调整表!K84/10000</f>
        <v>0</v>
      </c>
      <c r="L23" s="67">
        <f>累计利润调整表!L84/10000</f>
        <v>0</v>
      </c>
      <c r="M23" s="67">
        <f>累计利润调整表!M84/10000</f>
        <v>0</v>
      </c>
      <c r="N23" s="67">
        <f>累计利润调整表!N84/10000</f>
        <v>0</v>
      </c>
      <c r="O23" s="67">
        <f>累计利润调整表!O84/10000</f>
        <v>0</v>
      </c>
      <c r="P23" s="67">
        <f>累计利润调整表!P84/10000</f>
        <v>0</v>
      </c>
      <c r="Q23" s="67">
        <f>累计利润调整表!Q84/10000</f>
        <v>0</v>
      </c>
      <c r="R23" s="67">
        <f>累计利润调整表!R84/10000</f>
        <v>0</v>
      </c>
      <c r="S23" s="67">
        <f>累计利润调整表!S84/10000</f>
        <v>0</v>
      </c>
      <c r="T23" s="67">
        <f>累计利润调整表!T84/10000</f>
        <v>0</v>
      </c>
      <c r="U23" s="67">
        <f>累计利润调整表!U84/10000</f>
        <v>0</v>
      </c>
      <c r="V23" s="67">
        <f>累计利润调整表!V84/10000</f>
        <v>0</v>
      </c>
      <c r="W23" s="67">
        <f>累计利润调整表!W84/10000</f>
        <v>0</v>
      </c>
      <c r="X23" s="67">
        <f>累计利润调整表!X84/10000</f>
        <v>0</v>
      </c>
      <c r="Y23" s="67">
        <f>累计利润调整表!Y84/10000</f>
        <v>0</v>
      </c>
      <c r="Z23" s="67">
        <f>累计利润调整表!Z84/10000</f>
        <v>0</v>
      </c>
      <c r="AA23" s="67" t="e">
        <f>累计利润调整表!#REF!/10000</f>
        <v>#REF!</v>
      </c>
    </row>
    <row r="24" spans="1:27">
      <c r="A24" s="66" t="s">
        <v>46</v>
      </c>
      <c r="B24" s="93">
        <f>累计利润调整表!B85/10000</f>
        <v>30412.79770733336</v>
      </c>
      <c r="C24" s="93">
        <f>累计利润调整表!C85/10000</f>
        <v>2886.2577329999995</v>
      </c>
      <c r="D24" s="93">
        <f>累计利润调整表!D85/10000</f>
        <v>-54827.311732367452</v>
      </c>
      <c r="E24" s="93">
        <f>累计利润调整表!E85/10000</f>
        <v>75206.555583676512</v>
      </c>
      <c r="F24" s="93">
        <f>累计利润调整表!F85/10000</f>
        <v>-16612.541687000001</v>
      </c>
      <c r="G24" s="93">
        <f>累计利润调整表!G85/10000</f>
        <v>-3552.7721720713353</v>
      </c>
      <c r="H24" s="93">
        <f>累计利润调整表!H85/10000</f>
        <v>14309.408536020966</v>
      </c>
      <c r="I24" s="93">
        <f>累计利润调整表!I85/10000</f>
        <v>0</v>
      </c>
      <c r="J24" s="93">
        <f>累计利润调整表!J85/10000</f>
        <v>-15286.291291667927</v>
      </c>
      <c r="K24" s="93">
        <f>累计利润调整表!K85/10000</f>
        <v>-129.86697699999999</v>
      </c>
      <c r="L24" s="93">
        <f>累计利润调整表!L85/10000</f>
        <v>93.941582000000025</v>
      </c>
      <c r="M24" s="93">
        <f>累计利润调整表!M85/10000</f>
        <v>0</v>
      </c>
      <c r="N24" s="93">
        <f>累计利润调整表!N85/10000</f>
        <v>-374.36359899999991</v>
      </c>
      <c r="O24" s="93">
        <f>累计利润调整表!O85/10000</f>
        <v>-2165.6004224243779</v>
      </c>
      <c r="P24" s="93">
        <f>累计利润调整表!P85/10000</f>
        <v>2083.2353923471696</v>
      </c>
      <c r="Q24" s="93">
        <f>累计利润调整表!Q85/10000</f>
        <v>26661.512713748434</v>
      </c>
      <c r="R24" s="93">
        <f>累计利润调整表!R85/10000</f>
        <v>0</v>
      </c>
      <c r="S24" s="93">
        <f>累计利润调整表!S85/10000</f>
        <v>22864.202531999999</v>
      </c>
      <c r="T24" s="93">
        <f>累计利润调整表!T85/10000</f>
        <v>3695.4371244150939</v>
      </c>
      <c r="U24" s="93">
        <f>累计利润调整表!U85/10000</f>
        <v>101.87305733333332</v>
      </c>
      <c r="V24" s="93">
        <f>累计利润调整表!V85/10000</f>
        <v>-363.75107800000006</v>
      </c>
      <c r="W24" s="93">
        <f>累计利润调整表!W85/10000</f>
        <v>-398.69312799999994</v>
      </c>
      <c r="X24" s="93">
        <f>累计利润调整表!X85/10000</f>
        <v>34.942050000000002</v>
      </c>
      <c r="Y24" s="93">
        <f>累计利润调整表!Y85/10000</f>
        <v>-1038.994721</v>
      </c>
      <c r="Z24" s="93">
        <f>累计利润调整表!Z85/10000</f>
        <v>-29.392325</v>
      </c>
      <c r="AA24" s="93" t="e">
        <f>累计利润调整表!#REF!/10000</f>
        <v>#REF!</v>
      </c>
    </row>
    <row r="25" spans="1:27">
      <c r="A25" s="68" t="s">
        <v>47</v>
      </c>
      <c r="B25" s="94">
        <f>累计利润调整表!B86/10000</f>
        <v>0</v>
      </c>
      <c r="C25" s="94">
        <f>累计利润调整表!C86/10000</f>
        <v>0</v>
      </c>
      <c r="D25" s="94">
        <f>累计利润调整表!D86/10000</f>
        <v>0</v>
      </c>
      <c r="E25" s="94">
        <f>累计利润调整表!E86/10000</f>
        <v>0</v>
      </c>
      <c r="F25" s="94">
        <f>累计利润调整表!F86/10000</f>
        <v>0</v>
      </c>
      <c r="G25" s="94">
        <f>累计利润调整表!G86/10000</f>
        <v>0</v>
      </c>
      <c r="H25" s="94">
        <f>累计利润调整表!H86/10000</f>
        <v>0</v>
      </c>
      <c r="I25" s="94">
        <f>累计利润调整表!I86/10000</f>
        <v>0</v>
      </c>
      <c r="J25" s="94">
        <f>累计利润调整表!J86/10000</f>
        <v>0</v>
      </c>
      <c r="K25" s="94">
        <f>累计利润调整表!K86/10000</f>
        <v>0</v>
      </c>
      <c r="L25" s="94">
        <f>累计利润调整表!L86/10000</f>
        <v>0</v>
      </c>
      <c r="M25" s="94">
        <f>累计利润调整表!M86/10000</f>
        <v>0</v>
      </c>
      <c r="N25" s="94">
        <f>累计利润调整表!N86/10000</f>
        <v>0</v>
      </c>
      <c r="O25" s="94">
        <f>累计利润调整表!O86/10000</f>
        <v>0</v>
      </c>
      <c r="P25" s="94">
        <f>累计利润调整表!P86/10000</f>
        <v>0</v>
      </c>
      <c r="Q25" s="94">
        <f>累计利润调整表!Q86/10000</f>
        <v>0</v>
      </c>
      <c r="R25" s="94">
        <f>累计利润调整表!R86/10000</f>
        <v>0</v>
      </c>
      <c r="S25" s="94">
        <f>累计利润调整表!S86/10000</f>
        <v>0</v>
      </c>
      <c r="T25" s="94">
        <f>累计利润调整表!T86/10000</f>
        <v>0</v>
      </c>
      <c r="U25" s="94">
        <f>累计利润调整表!U86/10000</f>
        <v>0</v>
      </c>
      <c r="V25" s="94">
        <f>累计利润调整表!V86/10000</f>
        <v>0</v>
      </c>
      <c r="W25" s="94">
        <f>累计利润调整表!W86/10000</f>
        <v>0</v>
      </c>
      <c r="X25" s="94">
        <f>累计利润调整表!X86/10000</f>
        <v>0</v>
      </c>
      <c r="Y25" s="94">
        <f>累计利润调整表!Y86/10000</f>
        <v>0</v>
      </c>
      <c r="Z25" s="94">
        <f>累计利润调整表!Z86/10000</f>
        <v>0</v>
      </c>
      <c r="AA25" s="94" t="e">
        <f>累计利润调整表!#REF!/10000</f>
        <v>#REF!</v>
      </c>
    </row>
    <row r="26" spans="1:27" ht="14.25" thickBot="1">
      <c r="A26" s="69" t="s">
        <v>48</v>
      </c>
      <c r="B26" s="95">
        <f>累计利润调整表!B87/10000</f>
        <v>30412.79770733336</v>
      </c>
      <c r="C26" s="95">
        <f>累计利润调整表!C87/10000</f>
        <v>2886.2577329999995</v>
      </c>
      <c r="D26" s="95">
        <f>累计利润调整表!D87/10000</f>
        <v>-54827.311732367452</v>
      </c>
      <c r="E26" s="95">
        <f>累计利润调整表!E87/10000</f>
        <v>75206.555583676527</v>
      </c>
      <c r="F26" s="95">
        <f>累计利润调整表!F87/10000</f>
        <v>-16612.541687000001</v>
      </c>
      <c r="G26" s="95">
        <f>累计利润调整表!G87/10000</f>
        <v>-3552.7721720713353</v>
      </c>
      <c r="H26" s="95">
        <f>累计利润调整表!H87/10000</f>
        <v>14309.408536020966</v>
      </c>
      <c r="I26" s="95">
        <f>累计利润调整表!I87/10000</f>
        <v>0</v>
      </c>
      <c r="J26" s="95">
        <f>累计利润调整表!J87/10000</f>
        <v>-15286.291291667927</v>
      </c>
      <c r="K26" s="95">
        <f>累计利润调整表!K87/10000</f>
        <v>-129.86697699999999</v>
      </c>
      <c r="L26" s="95">
        <f>累计利润调整表!L87/10000</f>
        <v>93.941582000000025</v>
      </c>
      <c r="M26" s="95">
        <f>累计利润调整表!M87/10000</f>
        <v>0</v>
      </c>
      <c r="N26" s="95">
        <f>累计利润调整表!N87/10000</f>
        <v>-374.36359899999991</v>
      </c>
      <c r="O26" s="95">
        <f>累计利润调整表!O87/10000</f>
        <v>-2165.6004224243779</v>
      </c>
      <c r="P26" s="95">
        <f>累计利润调整表!P87/10000</f>
        <v>2083.2353923471696</v>
      </c>
      <c r="Q26" s="95">
        <f>累计利润调整表!Q87/10000</f>
        <v>26661.512713748434</v>
      </c>
      <c r="R26" s="95">
        <f>累计利润调整表!R87/10000</f>
        <v>0</v>
      </c>
      <c r="S26" s="95">
        <f>累计利润调整表!S87/10000</f>
        <v>22864.202531999999</v>
      </c>
      <c r="T26" s="95">
        <f>累计利润调整表!T87/10000</f>
        <v>3695.4371244150939</v>
      </c>
      <c r="U26" s="95">
        <f>累计利润调整表!U87/10000</f>
        <v>101.87305733333332</v>
      </c>
      <c r="V26" s="95">
        <f>累计利润调整表!V87/10000</f>
        <v>-363.75107800000006</v>
      </c>
      <c r="W26" s="95">
        <f>累计利润调整表!W87/10000</f>
        <v>-398.69312799999994</v>
      </c>
      <c r="X26" s="95">
        <f>累计利润调整表!X87/10000</f>
        <v>34.942050000000002</v>
      </c>
      <c r="Y26" s="95">
        <f>累计利润调整表!Y87/10000</f>
        <v>-1038.994721</v>
      </c>
      <c r="Z26" s="95">
        <f>累计利润调整表!Z87/10000</f>
        <v>-29.392325</v>
      </c>
      <c r="AA26" s="95" t="e">
        <f>累计利润调整表!#REF!/10000</f>
        <v>#REF!</v>
      </c>
    </row>
    <row r="27" spans="1:27">
      <c r="A27" s="47"/>
      <c r="B27" s="48">
        <f>累计利润调整表!B88/10000</f>
        <v>0</v>
      </c>
      <c r="C27" s="48">
        <f>累计利润调整表!C88/10000</f>
        <v>0</v>
      </c>
      <c r="D27" s="48">
        <f>累计利润调整表!D88/10000</f>
        <v>0</v>
      </c>
      <c r="E27" s="48">
        <f>累计利润调整表!E88/10000</f>
        <v>0</v>
      </c>
      <c r="F27" s="48">
        <f>累计利润调整表!F88/10000</f>
        <v>0</v>
      </c>
      <c r="G27" s="48">
        <f>累计利润调整表!G88/10000</f>
        <v>0</v>
      </c>
      <c r="H27" s="48">
        <f>累计利润调整表!H88/10000</f>
        <v>0</v>
      </c>
      <c r="I27" s="48">
        <f>累计利润调整表!I88/10000</f>
        <v>0</v>
      </c>
      <c r="J27" s="48">
        <f>累计利润调整表!J88/10000</f>
        <v>0</v>
      </c>
      <c r="K27" s="48">
        <f>累计利润调整表!K88/10000</f>
        <v>0</v>
      </c>
      <c r="L27" s="48">
        <f>累计利润调整表!L88/10000</f>
        <v>0</v>
      </c>
      <c r="M27" s="48">
        <f>累计利润调整表!M88/10000</f>
        <v>0</v>
      </c>
      <c r="N27" s="48">
        <f>累计利润调整表!N88/10000</f>
        <v>0</v>
      </c>
      <c r="O27" s="48">
        <f>累计利润调整表!O88/10000</f>
        <v>0</v>
      </c>
      <c r="P27" s="48">
        <f>累计利润调整表!P88/10000</f>
        <v>0</v>
      </c>
      <c r="Q27" s="48">
        <f>累计利润调整表!Q88/10000</f>
        <v>0</v>
      </c>
      <c r="R27" s="48">
        <f>累计利润调整表!R88/10000</f>
        <v>0</v>
      </c>
      <c r="S27" s="48">
        <f>累计利润调整表!S88/10000</f>
        <v>0</v>
      </c>
      <c r="T27" s="48">
        <f>累计利润调整表!T88/10000</f>
        <v>0</v>
      </c>
      <c r="U27" s="48">
        <f>累计利润调整表!U88/10000</f>
        <v>0</v>
      </c>
      <c r="V27" s="48">
        <f>累计利润调整表!V88/10000</f>
        <v>0</v>
      </c>
      <c r="W27" s="48">
        <f>累计利润调整表!W88/10000</f>
        <v>0</v>
      </c>
      <c r="X27" s="48">
        <f>累计利润调整表!X88/10000</f>
        <v>0</v>
      </c>
      <c r="Y27" s="48">
        <f>累计利润调整表!Y88/10000</f>
        <v>0</v>
      </c>
      <c r="Z27" s="48">
        <f>累计利润调整表!Z88/10000</f>
        <v>0</v>
      </c>
      <c r="AA27" s="48" t="e">
        <f>累计利润调整表!#REF!/10000</f>
        <v>#REF!</v>
      </c>
    </row>
    <row r="28" spans="1:27">
      <c r="A28" s="58" t="s">
        <v>51</v>
      </c>
      <c r="B28" s="96">
        <f>累计利润调整表!B89/10000</f>
        <v>26738.341998</v>
      </c>
      <c r="C28" s="96">
        <f>累计利润调整表!C89/10000</f>
        <v>0</v>
      </c>
      <c r="D28" s="96">
        <f>累计利润调整表!D89/10000</f>
        <v>0</v>
      </c>
      <c r="E28" s="96">
        <f>累计利润调整表!E89/10000</f>
        <v>26738.341998</v>
      </c>
      <c r="F28" s="96">
        <f>累计利润调整表!F89/10000</f>
        <v>0</v>
      </c>
      <c r="G28" s="96">
        <f>累计利润调整表!G89/10000</f>
        <v>0</v>
      </c>
      <c r="H28" s="96">
        <f>累计利润调整表!H89/10000</f>
        <v>0</v>
      </c>
      <c r="I28" s="96">
        <f>累计利润调整表!I89/10000</f>
        <v>0</v>
      </c>
      <c r="J28" s="96">
        <f>累计利润调整表!J89/10000</f>
        <v>0</v>
      </c>
      <c r="K28" s="96">
        <f>累计利润调整表!K89/10000</f>
        <v>0</v>
      </c>
      <c r="L28" s="96">
        <f>累计利润调整表!L89/10000</f>
        <v>0</v>
      </c>
      <c r="M28" s="96">
        <f>累计利润调整表!M89/10000</f>
        <v>0</v>
      </c>
      <c r="N28" s="96">
        <f>累计利润调整表!N89/10000</f>
        <v>0</v>
      </c>
      <c r="O28" s="96">
        <f>累计利润调整表!O89/10000</f>
        <v>0</v>
      </c>
      <c r="P28" s="96">
        <f>累计利润调整表!P89/10000</f>
        <v>0</v>
      </c>
      <c r="Q28" s="96">
        <f>累计利润调整表!Q89/10000</f>
        <v>0</v>
      </c>
      <c r="R28" s="96">
        <f>累计利润调整表!R89/10000</f>
        <v>0</v>
      </c>
      <c r="S28" s="96">
        <f>累计利润调整表!S89/10000</f>
        <v>0</v>
      </c>
      <c r="T28" s="96">
        <f>累计利润调整表!T89/10000</f>
        <v>0</v>
      </c>
      <c r="U28" s="96">
        <f>累计利润调整表!U89/10000</f>
        <v>0</v>
      </c>
      <c r="V28" s="96">
        <f>累计利润调整表!V89/10000</f>
        <v>0</v>
      </c>
      <c r="W28" s="96">
        <f>累计利润调整表!W89/10000</f>
        <v>0</v>
      </c>
      <c r="X28" s="96">
        <f>累计利润调整表!X89/10000</f>
        <v>0</v>
      </c>
      <c r="Y28" s="96">
        <f>累计利润调整表!Y89/10000</f>
        <v>0</v>
      </c>
      <c r="Z28" s="96">
        <f>累计利润调整表!Z89/10000</f>
        <v>0</v>
      </c>
      <c r="AA28" s="96" t="e">
        <f>累计利润调整表!#REF!/10000</f>
        <v>#REF!</v>
      </c>
    </row>
    <row r="29" spans="1:27" ht="14.25" thickBot="1">
      <c r="A29" s="61" t="s">
        <v>54</v>
      </c>
      <c r="B29" s="97">
        <f>累计利润调整表!B90/10000</f>
        <v>0</v>
      </c>
      <c r="C29" s="97">
        <f>累计利润调整表!C90/10000</f>
        <v>2886.2577329999995</v>
      </c>
      <c r="D29" s="97">
        <f>累计利润调整表!D90/10000</f>
        <v>-54827.311732367452</v>
      </c>
      <c r="E29" s="97">
        <f>累计利润调整表!E90/10000</f>
        <v>48468.213585676524</v>
      </c>
      <c r="F29" s="97">
        <f>累计利润调整表!F90/10000</f>
        <v>-16612.541687000001</v>
      </c>
      <c r="G29" s="97">
        <f>累计利润调整表!G90/10000</f>
        <v>-3552.7721720713353</v>
      </c>
      <c r="H29" s="97">
        <f>累计利润调整表!H90/10000</f>
        <v>14309.408536020966</v>
      </c>
      <c r="I29" s="97">
        <f>累计利润调整表!I90/10000</f>
        <v>0</v>
      </c>
      <c r="J29" s="97">
        <f>累计利润调整表!J90/10000</f>
        <v>-15286.291291667927</v>
      </c>
      <c r="K29" s="97">
        <f>累计利润调整表!K90/10000</f>
        <v>-129.86697699999999</v>
      </c>
      <c r="L29" s="97">
        <f>累计利润调整表!L90/10000</f>
        <v>93.941582000000025</v>
      </c>
      <c r="M29" s="97">
        <f>累计利润调整表!M90/10000</f>
        <v>0</v>
      </c>
      <c r="N29" s="97">
        <f>累计利润调整表!N90/10000</f>
        <v>-374.36359899999991</v>
      </c>
      <c r="O29" s="97">
        <f>累计利润调整表!O90/10000</f>
        <v>-2165.6004224243779</v>
      </c>
      <c r="P29" s="97">
        <f>累计利润调整表!P90/10000</f>
        <v>2083.2353923471696</v>
      </c>
      <c r="Q29" s="97">
        <f>累计利润调整表!Q90/10000</f>
        <v>26661.512713748434</v>
      </c>
      <c r="R29" s="97">
        <f>累计利润调整表!R90/10000</f>
        <v>0</v>
      </c>
      <c r="S29" s="97">
        <f>累计利润调整表!S90/10000</f>
        <v>22864.202531999999</v>
      </c>
      <c r="T29" s="97">
        <f>累计利润调整表!T90/10000</f>
        <v>3695.4371244150939</v>
      </c>
      <c r="U29" s="97">
        <f>累计利润调整表!U90/10000</f>
        <v>101.87305733333332</v>
      </c>
      <c r="V29" s="97">
        <f>累计利润调整表!V90/10000</f>
        <v>-363.75107800000006</v>
      </c>
      <c r="W29" s="97">
        <f>累计利润调整表!W90/10000</f>
        <v>-398.69312799999994</v>
      </c>
      <c r="X29" s="97">
        <f>累计利润调整表!X90/10000</f>
        <v>34.942050000000002</v>
      </c>
      <c r="Y29" s="97">
        <f>累计利润调整表!Y90/10000</f>
        <v>-1038.994721</v>
      </c>
      <c r="Z29" s="97">
        <f>累计利润调整表!Z90/10000</f>
        <v>-29.392325</v>
      </c>
      <c r="AA29" s="97" t="e">
        <f>累计利润调整表!#REF!/10000</f>
        <v>#REF!</v>
      </c>
    </row>
    <row r="31" spans="1:27" ht="14.25" thickBot="1">
      <c r="A31" s="27"/>
      <c r="B31" s="30" t="s">
        <v>109</v>
      </c>
    </row>
    <row r="32" spans="1:27" s="27" customFormat="1">
      <c r="A32" s="32" t="s">
        <v>57</v>
      </c>
      <c r="B32" s="33" t="s">
        <v>58</v>
      </c>
      <c r="C32" s="34" t="s">
        <v>4</v>
      </c>
      <c r="D32" s="34" t="s">
        <v>5</v>
      </c>
      <c r="E32" s="34" t="s">
        <v>6</v>
      </c>
      <c r="F32" s="34" t="s">
        <v>7</v>
      </c>
      <c r="G32" s="34" t="s">
        <v>8</v>
      </c>
      <c r="H32" s="34" t="s">
        <v>9</v>
      </c>
      <c r="I32" s="40" t="s">
        <v>10</v>
      </c>
      <c r="J32" s="40" t="s">
        <v>275</v>
      </c>
      <c r="K32" s="40" t="s">
        <v>11</v>
      </c>
      <c r="L32" s="40" t="s">
        <v>273</v>
      </c>
      <c r="M32" s="40" t="s">
        <v>12</v>
      </c>
      <c r="N32" s="40" t="s">
        <v>13</v>
      </c>
      <c r="O32" s="34" t="s">
        <v>14</v>
      </c>
      <c r="P32" s="34" t="s">
        <v>15</v>
      </c>
      <c r="Q32" s="40" t="s">
        <v>16</v>
      </c>
      <c r="R32" s="40" t="s">
        <v>17</v>
      </c>
      <c r="S32" s="40" t="s">
        <v>18</v>
      </c>
      <c r="T32" s="40" t="s">
        <v>19</v>
      </c>
      <c r="U32" s="34" t="s">
        <v>20</v>
      </c>
      <c r="V32" s="40" t="s">
        <v>120</v>
      </c>
      <c r="W32" s="40" t="s">
        <v>21</v>
      </c>
      <c r="X32" s="40" t="s">
        <v>22</v>
      </c>
      <c r="Y32" s="34" t="s">
        <v>23</v>
      </c>
      <c r="Z32" s="34" t="s">
        <v>24</v>
      </c>
      <c r="AA32" s="27" t="s">
        <v>278</v>
      </c>
    </row>
    <row r="33" spans="1:27" s="27" customFormat="1" ht="13.5" customHeight="1">
      <c r="A33" s="322" t="s">
        <v>59</v>
      </c>
      <c r="B33" s="174" t="s">
        <v>60</v>
      </c>
      <c r="C33" s="255">
        <f>累计考核费用!C108/10000</f>
        <v>16798.702058000003</v>
      </c>
      <c r="D33" s="255">
        <f>累计考核费用!D108/10000</f>
        <v>-50.5822</v>
      </c>
      <c r="E33" s="255">
        <f>累计考核费用!E108/10000</f>
        <v>4172.0778090000003</v>
      </c>
      <c r="F33" s="255">
        <f>累计考核费用!F108/10000</f>
        <v>7973.9456840000003</v>
      </c>
      <c r="G33" s="255">
        <f>累计考核费用!G108/10000</f>
        <v>504.70221399999997</v>
      </c>
      <c r="H33" s="255">
        <f>累计考核费用!H108/10000</f>
        <v>1351.021612</v>
      </c>
      <c r="I33" s="255">
        <f>累计考核费用!I108/10000</f>
        <v>389.687118</v>
      </c>
      <c r="J33" s="255">
        <f>累计考核费用!J108/10000</f>
        <v>60.642830000000004</v>
      </c>
      <c r="K33" s="255">
        <f>累计考核费用!K108/10000</f>
        <v>282.81868899999995</v>
      </c>
      <c r="L33" s="255">
        <f>累计考核费用!L108/10000</f>
        <v>0</v>
      </c>
      <c r="M33" s="255">
        <f>累计考核费用!M108/10000</f>
        <v>170.93022300000001</v>
      </c>
      <c r="N33" s="255">
        <f>累计考核费用!N108/10000</f>
        <v>0</v>
      </c>
      <c r="O33" s="255">
        <f>累计考核费用!O108/10000</f>
        <v>161.87342699999999</v>
      </c>
      <c r="P33" s="255">
        <f>累计考核费用!P108/10000</f>
        <v>285.06932499999999</v>
      </c>
      <c r="Q33" s="255">
        <f>累计考核费用!Q108/10000</f>
        <v>525.14445000000001</v>
      </c>
      <c r="R33" s="255">
        <f>累计考核费用!R108/10000</f>
        <v>1615.5467620000002</v>
      </c>
      <c r="S33" s="255">
        <f>累计考核费用!S108/10000</f>
        <v>0</v>
      </c>
      <c r="T33" s="255">
        <f>累计考核费用!T108/10000</f>
        <v>508.00455700000003</v>
      </c>
      <c r="U33" s="255">
        <f>累计考核费用!U108/10000</f>
        <v>901.341633</v>
      </c>
      <c r="V33" s="255">
        <f>累计考核费用!V108/10000</f>
        <v>206.20057200000002</v>
      </c>
      <c r="W33" s="255">
        <f>累计考核费用!W108/10000</f>
        <v>199.22866499999995</v>
      </c>
      <c r="X33" s="255">
        <f>累计考核费用!X108/10000</f>
        <v>142.45277299999998</v>
      </c>
      <c r="Y33" s="255">
        <f>累计考核费用!Y108/10000</f>
        <v>56.775891999999992</v>
      </c>
      <c r="Z33" s="255">
        <f>累计考核费用!Z108/10000</f>
        <v>499.59662400000002</v>
      </c>
      <c r="AA33" s="255">
        <f>累计考核费用!AA108/10000</f>
        <v>8.0204380000000004</v>
      </c>
    </row>
    <row r="34" spans="1:27" s="27" customFormat="1">
      <c r="A34" s="323"/>
      <c r="B34" s="174" t="s">
        <v>61</v>
      </c>
      <c r="C34" s="255">
        <f>累计考核费用!C109/10000</f>
        <v>232.56622400000006</v>
      </c>
      <c r="D34" s="255">
        <f>累计考核费用!D109/10000</f>
        <v>0</v>
      </c>
      <c r="E34" s="255">
        <f>累计考核费用!E109/10000</f>
        <v>67.414252999999988</v>
      </c>
      <c r="F34" s="255">
        <f>累计考核费用!F109/10000</f>
        <v>114.70204200000002</v>
      </c>
      <c r="G34" s="255">
        <f>累计考核费用!G109/10000</f>
        <v>9.0783909999999999</v>
      </c>
      <c r="H34" s="255">
        <f>累计考核费用!H109/10000</f>
        <v>7.5808220000000004</v>
      </c>
      <c r="I34" s="255">
        <f>累计考核费用!I109/10000</f>
        <v>0.95529900000000001</v>
      </c>
      <c r="J34" s="255">
        <f>累计考核费用!J109/10000</f>
        <v>0.2555</v>
      </c>
      <c r="K34" s="255">
        <f>累计考核费用!K109/10000</f>
        <v>1.5075229999999999</v>
      </c>
      <c r="L34" s="255">
        <f>累计考核费用!L109/10000</f>
        <v>0</v>
      </c>
      <c r="M34" s="255">
        <f>累计考核费用!M109/10000</f>
        <v>0.16</v>
      </c>
      <c r="N34" s="255">
        <f>累计考核费用!N109/10000</f>
        <v>0</v>
      </c>
      <c r="O34" s="255">
        <f>累计考核费用!O109/10000</f>
        <v>4.2050000000000001</v>
      </c>
      <c r="P34" s="255">
        <f>累计考核费用!P109/10000</f>
        <v>0.4975</v>
      </c>
      <c r="Q34" s="255">
        <f>累计考核费用!Q109/10000</f>
        <v>9.225791000000001</v>
      </c>
      <c r="R34" s="255">
        <f>累计考核费用!R109/10000</f>
        <v>21.096775000000001</v>
      </c>
      <c r="S34" s="255">
        <f>累计考核费用!S109/10000</f>
        <v>0</v>
      </c>
      <c r="T34" s="255">
        <f>累计考核费用!T109/10000</f>
        <v>10.303377000000001</v>
      </c>
      <c r="U34" s="255">
        <f>累计考核费用!U109/10000</f>
        <v>4.3028000000000004</v>
      </c>
      <c r="V34" s="255">
        <f>累计考核费用!V109/10000</f>
        <v>6.4905979999999994</v>
      </c>
      <c r="W34" s="255">
        <f>累计考核费用!W109/10000</f>
        <v>0.92574299999999998</v>
      </c>
      <c r="X34" s="255">
        <f>累计考核费用!X109/10000</f>
        <v>0.83017299999999994</v>
      </c>
      <c r="Y34" s="255">
        <f>累计考核费用!Y109/10000</f>
        <v>9.5570000000000002E-2</v>
      </c>
      <c r="Z34" s="255">
        <f>累计考核费用!Z109/10000</f>
        <v>2.5324870000000002</v>
      </c>
      <c r="AA34" s="255">
        <f>累计考核费用!AA109/10000</f>
        <v>9.92E-3</v>
      </c>
    </row>
    <row r="35" spans="1:27" s="27" customFormat="1">
      <c r="A35" s="323"/>
      <c r="B35" s="174" t="s">
        <v>62</v>
      </c>
      <c r="C35" s="255">
        <f>累计考核费用!C110/10000</f>
        <v>896.76214999999979</v>
      </c>
      <c r="D35" s="255">
        <f>累计考核费用!D110/10000</f>
        <v>0</v>
      </c>
      <c r="E35" s="255">
        <f>累计考核费用!E110/10000</f>
        <v>378.84631100000001</v>
      </c>
      <c r="F35" s="255">
        <f>累计考核费用!F110/10000</f>
        <v>238.61880300000001</v>
      </c>
      <c r="G35" s="255">
        <f>累计考核费用!G110/10000</f>
        <v>12.316654999999999</v>
      </c>
      <c r="H35" s="255">
        <f>累计考核费用!H110/10000</f>
        <v>27.509917999999999</v>
      </c>
      <c r="I35" s="255">
        <f>累计考核费用!I110/10000</f>
        <v>7.7590270000000006</v>
      </c>
      <c r="J35" s="255">
        <f>累计考核费用!J110/10000</f>
        <v>1.212855</v>
      </c>
      <c r="K35" s="255">
        <f>累计考核费用!K110/10000</f>
        <v>5.618296</v>
      </c>
      <c r="L35" s="255">
        <f>累计考核费用!L110/10000</f>
        <v>0</v>
      </c>
      <c r="M35" s="255">
        <f>累计考核费用!M110/10000</f>
        <v>4.2198289999999998</v>
      </c>
      <c r="N35" s="255">
        <f>累计考核费用!N110/10000</f>
        <v>0</v>
      </c>
      <c r="O35" s="255">
        <f>累计考核费用!O110/10000</f>
        <v>2.7607079999999997</v>
      </c>
      <c r="P35" s="255">
        <f>累计考核费用!P110/10000</f>
        <v>5.9392030000000009</v>
      </c>
      <c r="Q35" s="255">
        <f>累计考核费用!Q110/10000</f>
        <v>14.638488999999998</v>
      </c>
      <c r="R35" s="255">
        <f>累计考核费用!R110/10000</f>
        <v>208.68830599999998</v>
      </c>
      <c r="S35" s="255">
        <f>累计考核费用!S110/10000</f>
        <v>0</v>
      </c>
      <c r="T35" s="255">
        <f>累计考核费用!T110/10000</f>
        <v>163.05486599999998</v>
      </c>
      <c r="U35" s="255">
        <f>累计考核费用!U110/10000</f>
        <v>41.753910000000012</v>
      </c>
      <c r="V35" s="255">
        <f>累计考核费用!V110/10000</f>
        <v>3.8795299999999995</v>
      </c>
      <c r="W35" s="255">
        <f>累计考核费用!W110/10000</f>
        <v>5.7780539999999991</v>
      </c>
      <c r="X35" s="255">
        <f>累计考核费用!X110/10000</f>
        <v>3.8017750000000001</v>
      </c>
      <c r="Y35" s="255">
        <f>累计考核费用!Y110/10000</f>
        <v>1.9762789999999997</v>
      </c>
      <c r="Z35" s="255">
        <f>累计考核费用!Z110/10000</f>
        <v>10.199885</v>
      </c>
      <c r="AA35" s="255">
        <f>累计考核费用!AA110/10000</f>
        <v>0.16572899999999999</v>
      </c>
    </row>
    <row r="36" spans="1:27" s="27" customFormat="1">
      <c r="A36" s="323"/>
      <c r="B36" s="174" t="s">
        <v>82</v>
      </c>
      <c r="C36" s="255">
        <f>累计考核费用!C111/10000</f>
        <v>546.36110099999996</v>
      </c>
      <c r="D36" s="255">
        <f>累计考核费用!D111/10000</f>
        <v>0</v>
      </c>
      <c r="E36" s="255">
        <f>累计考核费用!E111/10000</f>
        <v>222.15723199999999</v>
      </c>
      <c r="F36" s="255">
        <f>累计考核费用!F111/10000</f>
        <v>240.37952099999998</v>
      </c>
      <c r="G36" s="255">
        <f>累计考核费用!G111/10000</f>
        <v>7.3152229999999996</v>
      </c>
      <c r="H36" s="255">
        <f>累计考核费用!H111/10000</f>
        <v>20.722985000000001</v>
      </c>
      <c r="I36" s="255">
        <f>累计考核费用!I111/10000</f>
        <v>5.9273550000000004</v>
      </c>
      <c r="J36" s="255">
        <f>累计考核费用!J111/10000</f>
        <v>0.90964200000000006</v>
      </c>
      <c r="K36" s="255">
        <f>累计考核费用!K111/10000</f>
        <v>4.2137219999999997</v>
      </c>
      <c r="L36" s="255">
        <f>累计考核费用!L111/10000</f>
        <v>0</v>
      </c>
      <c r="M36" s="255">
        <f>累计考核费用!M111/10000</f>
        <v>3.1648719999999999</v>
      </c>
      <c r="N36" s="255">
        <f>累计考核费用!N111/10000</f>
        <v>0</v>
      </c>
      <c r="O36" s="255">
        <f>累计考核费用!O111/10000</f>
        <v>2.0705310000000003</v>
      </c>
      <c r="P36" s="255">
        <f>累计考核费用!P111/10000</f>
        <v>4.4368629999999998</v>
      </c>
      <c r="Q36" s="255">
        <f>累计考核费用!Q111/10000</f>
        <v>8.8957809999999995</v>
      </c>
      <c r="R36" s="255">
        <f>累计考核费用!R111/10000</f>
        <v>32.312115000000006</v>
      </c>
      <c r="S36" s="255">
        <f>累计考核费用!S111/10000</f>
        <v>0</v>
      </c>
      <c r="T36" s="255">
        <f>累计考核费用!T111/10000</f>
        <v>0.442</v>
      </c>
      <c r="U36" s="255">
        <f>累计考核费用!U111/10000</f>
        <v>29.318383000000001</v>
      </c>
      <c r="V36" s="255">
        <f>累计考核费用!V111/10000</f>
        <v>2.5517319999999999</v>
      </c>
      <c r="W36" s="255">
        <f>累计考核费用!W111/10000</f>
        <v>6.2403779999999998</v>
      </c>
      <c r="X36" s="255">
        <f>累计考核费用!X111/10000</f>
        <v>2.858832</v>
      </c>
      <c r="Y36" s="255">
        <f>累计考核费用!Y111/10000</f>
        <v>3.3815459999999997</v>
      </c>
      <c r="Z36" s="255">
        <f>累计考核费用!Z111/10000</f>
        <v>8.2135689999999997</v>
      </c>
      <c r="AA36" s="255">
        <f>累计考核费用!AA111/10000</f>
        <v>0.124297</v>
      </c>
    </row>
    <row r="37" spans="1:27" s="27" customFormat="1">
      <c r="A37" s="323"/>
      <c r="B37" s="174" t="s">
        <v>63</v>
      </c>
      <c r="C37" s="255">
        <f>累计考核费用!C112/10000</f>
        <v>4154.8509079999994</v>
      </c>
      <c r="D37" s="255">
        <f>累计考核费用!D112/10000</f>
        <v>0</v>
      </c>
      <c r="E37" s="255">
        <f>累计考核费用!E112/10000</f>
        <v>789.81765699999994</v>
      </c>
      <c r="F37" s="255">
        <f>累计考核费用!F112/10000</f>
        <v>2320.8910249999994</v>
      </c>
      <c r="G37" s="255">
        <f>累计考核费用!G112/10000</f>
        <v>128.38472099999998</v>
      </c>
      <c r="H37" s="255">
        <f>累计考核费用!H112/10000</f>
        <v>293.28187599999995</v>
      </c>
      <c r="I37" s="255">
        <f>累计考核费用!I112/10000</f>
        <v>86.697400999999999</v>
      </c>
      <c r="J37" s="255">
        <f>累计考核费用!J112/10000</f>
        <v>4.8540999999999994E-2</v>
      </c>
      <c r="K37" s="255">
        <f>累计考核费用!K112/10000</f>
        <v>74.332761000000005</v>
      </c>
      <c r="L37" s="255">
        <f>累计考核费用!L112/10000</f>
        <v>0</v>
      </c>
      <c r="M37" s="255">
        <f>累计考核费用!M112/10000</f>
        <v>41.672835000000006</v>
      </c>
      <c r="N37" s="255">
        <f>累计考核费用!N112/10000</f>
        <v>0</v>
      </c>
      <c r="O37" s="255">
        <f>累计考核费用!O112/10000</f>
        <v>23.862207999999999</v>
      </c>
      <c r="P37" s="255">
        <f>累计考核费用!P112/10000</f>
        <v>66.668130000000005</v>
      </c>
      <c r="Q37" s="255">
        <f>累计考核费用!Q112/10000</f>
        <v>146.71598799999998</v>
      </c>
      <c r="R37" s="255">
        <f>累计考核费用!R112/10000</f>
        <v>261.45389799999992</v>
      </c>
      <c r="S37" s="255">
        <f>累计考核费用!S112/10000</f>
        <v>0</v>
      </c>
      <c r="T37" s="255">
        <f>累计考核费用!T112/10000</f>
        <v>124.47649199999996</v>
      </c>
      <c r="U37" s="255">
        <f>累计考核费用!U112/10000</f>
        <v>96.59313499999999</v>
      </c>
      <c r="V37" s="255">
        <f>累计考核费用!V112/10000</f>
        <v>40.384270999999998</v>
      </c>
      <c r="W37" s="255">
        <f>累计考核费用!W112/10000</f>
        <v>50.717533999999993</v>
      </c>
      <c r="X37" s="255">
        <f>累计考核费用!X112/10000</f>
        <v>33.344564999999996</v>
      </c>
      <c r="Y37" s="255">
        <f>累计考核费用!Y112/10000</f>
        <v>17.372968999999998</v>
      </c>
      <c r="Z37" s="255">
        <f>累计考核费用!Z112/10000</f>
        <v>161.83218300000001</v>
      </c>
      <c r="AA37" s="255">
        <f>累计考核费用!AA112/10000</f>
        <v>1.7560259999999999</v>
      </c>
    </row>
    <row r="38" spans="1:27" s="27" customFormat="1">
      <c r="A38" s="323"/>
      <c r="B38" s="174" t="s">
        <v>64</v>
      </c>
      <c r="C38" s="255">
        <f>累计考核费用!C113/10000</f>
        <v>10.8385</v>
      </c>
      <c r="D38" s="255">
        <f>累计考核费用!D113/10000</f>
        <v>0</v>
      </c>
      <c r="E38" s="255">
        <f>累计考核费用!E113/10000</f>
        <v>0</v>
      </c>
      <c r="F38" s="255">
        <f>累计考核费用!F113/10000</f>
        <v>9.8384999999999998</v>
      </c>
      <c r="G38" s="255">
        <f>累计考核费用!G113/10000</f>
        <v>0</v>
      </c>
      <c r="H38" s="255">
        <f>累计考核费用!H113/10000</f>
        <v>0</v>
      </c>
      <c r="I38" s="255">
        <f>累计考核费用!I113/10000</f>
        <v>0</v>
      </c>
      <c r="J38" s="255">
        <f>累计考核费用!J113/10000</f>
        <v>0</v>
      </c>
      <c r="K38" s="255">
        <f>累计考核费用!K113/10000</f>
        <v>0</v>
      </c>
      <c r="L38" s="255">
        <f>累计考核费用!L113/10000</f>
        <v>0</v>
      </c>
      <c r="M38" s="255">
        <f>累计考核费用!M113/10000</f>
        <v>0</v>
      </c>
      <c r="N38" s="255">
        <f>累计考核费用!N113/10000</f>
        <v>0</v>
      </c>
      <c r="O38" s="255">
        <f>累计考核费用!O113/10000</f>
        <v>0</v>
      </c>
      <c r="P38" s="255">
        <f>累计考核费用!P113/10000</f>
        <v>0</v>
      </c>
      <c r="Q38" s="255">
        <f>累计考核费用!Q113/10000</f>
        <v>0</v>
      </c>
      <c r="R38" s="255">
        <f>累计考核费用!R113/10000</f>
        <v>1</v>
      </c>
      <c r="S38" s="255">
        <f>累计考核费用!S113/10000</f>
        <v>0</v>
      </c>
      <c r="T38" s="255">
        <f>累计考核费用!T113/10000</f>
        <v>0</v>
      </c>
      <c r="U38" s="255">
        <f>累计考核费用!U113/10000</f>
        <v>0</v>
      </c>
      <c r="V38" s="255">
        <f>累计考核费用!V113/10000</f>
        <v>1</v>
      </c>
      <c r="W38" s="255">
        <f>累计考核费用!W113/10000</f>
        <v>0</v>
      </c>
      <c r="X38" s="255">
        <f>累计考核费用!X113/10000</f>
        <v>0</v>
      </c>
      <c r="Y38" s="255">
        <f>累计考核费用!Y113/10000</f>
        <v>0</v>
      </c>
      <c r="Z38" s="255">
        <f>累计考核费用!Z113/10000</f>
        <v>0</v>
      </c>
      <c r="AA38" s="255">
        <f>累计考核费用!AA113/10000</f>
        <v>0</v>
      </c>
    </row>
    <row r="39" spans="1:27" s="27" customFormat="1">
      <c r="A39" s="323"/>
      <c r="B39" s="174" t="s">
        <v>65</v>
      </c>
      <c r="C39" s="255">
        <f>累计考核费用!C114/10000</f>
        <v>22.930417000000002</v>
      </c>
      <c r="D39" s="255">
        <f>累计考核费用!D114/10000</f>
        <v>0</v>
      </c>
      <c r="E39" s="255">
        <f>累计考核费用!E114/10000</f>
        <v>1.8825799999999995</v>
      </c>
      <c r="F39" s="255">
        <f>累计考核费用!F114/10000</f>
        <v>18.016448</v>
      </c>
      <c r="G39" s="255">
        <f>累计考核费用!G114/10000</f>
        <v>-0.12114000000000001</v>
      </c>
      <c r="H39" s="255">
        <f>累计考核费用!H114/10000</f>
        <v>0.16100899999999999</v>
      </c>
      <c r="I39" s="255">
        <f>累计考核费用!I114/10000</f>
        <v>-0.12114100000000001</v>
      </c>
      <c r="J39" s="255">
        <f>累计考核费用!J114/10000</f>
        <v>0</v>
      </c>
      <c r="K39" s="255">
        <f>累计考核费用!K114/10000</f>
        <v>0</v>
      </c>
      <c r="L39" s="255">
        <f>累计考核费用!L114/10000</f>
        <v>0</v>
      </c>
      <c r="M39" s="255">
        <f>累计考核费用!M114/10000</f>
        <v>0.28215000000000001</v>
      </c>
      <c r="N39" s="255">
        <f>累计考核费用!N114/10000</f>
        <v>0</v>
      </c>
      <c r="O39" s="255">
        <f>累计考核费用!O114/10000</f>
        <v>0</v>
      </c>
      <c r="P39" s="255">
        <f>累计考核费用!P114/10000</f>
        <v>0</v>
      </c>
      <c r="Q39" s="255">
        <f>累计考核费用!Q114/10000</f>
        <v>0</v>
      </c>
      <c r="R39" s="255">
        <f>累计考核费用!R114/10000</f>
        <v>-0.12114000000000001</v>
      </c>
      <c r="S39" s="255">
        <f>累计考核费用!S114/10000</f>
        <v>0</v>
      </c>
      <c r="T39" s="255">
        <f>累计考核费用!T114/10000</f>
        <v>0</v>
      </c>
      <c r="U39" s="255">
        <f>累计考核费用!U114/10000</f>
        <v>0</v>
      </c>
      <c r="V39" s="255">
        <f>累计考核费用!V114/10000</f>
        <v>-0.12114000000000001</v>
      </c>
      <c r="W39" s="255">
        <f>累计考核费用!W114/10000</f>
        <v>0</v>
      </c>
      <c r="X39" s="255">
        <f>累计考核费用!X114/10000</f>
        <v>0</v>
      </c>
      <c r="Y39" s="255">
        <f>累计考核费用!Y114/10000</f>
        <v>0</v>
      </c>
      <c r="Z39" s="255">
        <f>累计考核费用!Z114/10000</f>
        <v>3.11266</v>
      </c>
      <c r="AA39" s="255">
        <f>累计考核费用!AA114/10000</f>
        <v>0</v>
      </c>
    </row>
    <row r="40" spans="1:27" s="27" customFormat="1">
      <c r="A40" s="323"/>
      <c r="B40" s="174" t="s">
        <v>66</v>
      </c>
      <c r="C40" s="255">
        <f>累计考核费用!C115/10000</f>
        <v>270.448396</v>
      </c>
      <c r="D40" s="255">
        <f>累计考核费用!D115/10000</f>
        <v>0</v>
      </c>
      <c r="E40" s="255">
        <f>累计考核费用!E115/10000</f>
        <v>65.426000000000002</v>
      </c>
      <c r="F40" s="255">
        <f>累计考核费用!F115/10000</f>
        <v>126.780396</v>
      </c>
      <c r="G40" s="255">
        <f>累计考核费用!G115/10000</f>
        <v>8.9860000000000007</v>
      </c>
      <c r="H40" s="255">
        <f>累计考核费用!H115/10000</f>
        <v>17.628</v>
      </c>
      <c r="I40" s="255">
        <f>累计考核费用!I115/10000</f>
        <v>5.6139999999999999</v>
      </c>
      <c r="J40" s="255">
        <f>累计考核费用!J115/10000</f>
        <v>0</v>
      </c>
      <c r="K40" s="255">
        <f>累计考核费用!K115/10000</f>
        <v>4.4939999999999998</v>
      </c>
      <c r="L40" s="255">
        <f>累计考核费用!L115/10000</f>
        <v>0</v>
      </c>
      <c r="M40" s="255">
        <f>累计考核费用!M115/10000</f>
        <v>2.3519999999999999</v>
      </c>
      <c r="N40" s="255">
        <f>累计考核费用!N115/10000</f>
        <v>0</v>
      </c>
      <c r="O40" s="255">
        <f>累计考核费用!O115/10000</f>
        <v>1.518</v>
      </c>
      <c r="P40" s="255">
        <f>累计考核费用!P115/10000</f>
        <v>3.65</v>
      </c>
      <c r="Q40" s="255">
        <f>累计考核费用!Q115/10000</f>
        <v>10.818</v>
      </c>
      <c r="R40" s="255">
        <f>累计考核费用!R115/10000</f>
        <v>18.457999999999998</v>
      </c>
      <c r="S40" s="255">
        <f>累计考核费用!S115/10000</f>
        <v>0</v>
      </c>
      <c r="T40" s="255">
        <f>累计考核费用!T115/10000</f>
        <v>8.3640000000000008</v>
      </c>
      <c r="U40" s="255">
        <f>累计考核费用!U115/10000</f>
        <v>7.4560000000000004</v>
      </c>
      <c r="V40" s="255">
        <f>累计考核费用!V115/10000</f>
        <v>2.6379999999999999</v>
      </c>
      <c r="W40" s="255">
        <f>累计考核费用!W115/10000</f>
        <v>5.3840000000000003</v>
      </c>
      <c r="X40" s="255">
        <f>累计考核费用!X115/10000</f>
        <v>3.3460000000000001</v>
      </c>
      <c r="Y40" s="255">
        <f>累计考核费用!Y115/10000</f>
        <v>2.0379999999999998</v>
      </c>
      <c r="Z40" s="255">
        <f>累计考核费用!Z115/10000</f>
        <v>16.702000000000002</v>
      </c>
      <c r="AA40" s="255">
        <f>累计考核费用!AA115/10000</f>
        <v>0.26600000000000001</v>
      </c>
    </row>
    <row r="41" spans="1:27" s="27" customFormat="1">
      <c r="A41" s="323"/>
      <c r="B41" s="174" t="s">
        <v>241</v>
      </c>
      <c r="C41" s="255">
        <f>累计考核费用!C116/10000</f>
        <v>120.81685999999999</v>
      </c>
      <c r="D41" s="255">
        <f>累计考核费用!D116/10000</f>
        <v>0</v>
      </c>
      <c r="E41" s="255">
        <f>累计考核费用!E116/10000</f>
        <v>15.672657999999998</v>
      </c>
      <c r="F41" s="255">
        <f>累计考核费用!F116/10000</f>
        <v>76.671173999999993</v>
      </c>
      <c r="G41" s="255">
        <f>累计考核费用!G116/10000</f>
        <v>0</v>
      </c>
      <c r="H41" s="255">
        <f>累计考核费用!H116/10000</f>
        <v>18.277657999999999</v>
      </c>
      <c r="I41" s="255">
        <f>累计考核费用!I116/10000</f>
        <v>0</v>
      </c>
      <c r="J41" s="255">
        <f>累计考核费用!J116/10000</f>
        <v>0</v>
      </c>
      <c r="K41" s="255">
        <f>累计考核费用!K116/10000</f>
        <v>0</v>
      </c>
      <c r="L41" s="255">
        <f>累计考核费用!L116/10000</f>
        <v>0</v>
      </c>
      <c r="M41" s="255">
        <f>累计考核费用!M116/10000</f>
        <v>0</v>
      </c>
      <c r="N41" s="255">
        <f>累计考核费用!N116/10000</f>
        <v>0</v>
      </c>
      <c r="O41" s="255">
        <f>累计考核费用!O116/10000</f>
        <v>18.277657999999999</v>
      </c>
      <c r="P41" s="255">
        <f>累计考核费用!P116/10000</f>
        <v>0</v>
      </c>
      <c r="Q41" s="255">
        <f>累计考核费用!Q116/10000</f>
        <v>0</v>
      </c>
      <c r="R41" s="255">
        <f>累计考核费用!R116/10000</f>
        <v>5.3953699999999998</v>
      </c>
      <c r="S41" s="255">
        <f>累计考核费用!S116/10000</f>
        <v>0</v>
      </c>
      <c r="T41" s="255">
        <f>累计考核费用!T116/10000</f>
        <v>0</v>
      </c>
      <c r="U41" s="255">
        <f>累计考核费用!U116/10000</f>
        <v>0</v>
      </c>
      <c r="V41" s="255">
        <f>累计考核费用!V116/10000</f>
        <v>5.3953699999999998</v>
      </c>
      <c r="W41" s="255">
        <f>累计考核费用!W116/10000</f>
        <v>4.8</v>
      </c>
      <c r="X41" s="255">
        <f>累计考核费用!X116/10000</f>
        <v>4.8</v>
      </c>
      <c r="Y41" s="255">
        <f>累计考核费用!Y116/10000</f>
        <v>0</v>
      </c>
      <c r="Z41" s="255">
        <f>累计考核费用!Z116/10000</f>
        <v>0</v>
      </c>
      <c r="AA41" s="255">
        <f>累计考核费用!AA116/10000</f>
        <v>0</v>
      </c>
    </row>
    <row r="42" spans="1:27" s="27" customFormat="1">
      <c r="A42" s="323"/>
      <c r="B42" s="174" t="s">
        <v>68</v>
      </c>
      <c r="C42" s="255">
        <f>累计考核费用!C117/10000</f>
        <v>14829.094733000002</v>
      </c>
      <c r="D42" s="255">
        <f>累计考核费用!D117/10000</f>
        <v>0</v>
      </c>
      <c r="E42" s="255">
        <f>累计考核费用!E117/10000</f>
        <v>14726.95</v>
      </c>
      <c r="F42" s="255">
        <f>累计考核费用!F117/10000</f>
        <v>0</v>
      </c>
      <c r="G42" s="255">
        <f>累计考核费用!G117/10000</f>
        <v>102.144733</v>
      </c>
      <c r="H42" s="255">
        <f>累计考核费用!H117/10000</f>
        <v>0</v>
      </c>
      <c r="I42" s="255">
        <f>累计考核费用!I117/10000</f>
        <v>0</v>
      </c>
      <c r="J42" s="255">
        <f>累计考核费用!J117/10000</f>
        <v>0</v>
      </c>
      <c r="K42" s="255">
        <f>累计考核费用!K117/10000</f>
        <v>0</v>
      </c>
      <c r="L42" s="255">
        <f>累计考核费用!L117/10000</f>
        <v>0</v>
      </c>
      <c r="M42" s="255">
        <f>累计考核费用!M117/10000</f>
        <v>0</v>
      </c>
      <c r="N42" s="255">
        <f>累计考核费用!N117/10000</f>
        <v>0</v>
      </c>
      <c r="O42" s="255">
        <f>累计考核费用!O117/10000</f>
        <v>0</v>
      </c>
      <c r="P42" s="255">
        <f>累计考核费用!P117/10000</f>
        <v>0</v>
      </c>
      <c r="Q42" s="255">
        <f>累计考核费用!Q117/10000</f>
        <v>0</v>
      </c>
      <c r="R42" s="255">
        <f>累计考核费用!R117/10000</f>
        <v>0</v>
      </c>
      <c r="S42" s="255">
        <f>累计考核费用!S117/10000</f>
        <v>0</v>
      </c>
      <c r="T42" s="255">
        <f>累计考核费用!T117/10000</f>
        <v>0</v>
      </c>
      <c r="U42" s="255">
        <f>累计考核费用!U117/10000</f>
        <v>0</v>
      </c>
      <c r="V42" s="255">
        <f>累计考核费用!V117/10000</f>
        <v>0</v>
      </c>
      <c r="W42" s="255">
        <f>累计考核费用!W117/10000</f>
        <v>0</v>
      </c>
      <c r="X42" s="255">
        <f>累计考核费用!X117/10000</f>
        <v>0</v>
      </c>
      <c r="Y42" s="255">
        <f>累计考核费用!Y117/10000</f>
        <v>0</v>
      </c>
      <c r="Z42" s="255">
        <f>累计考核费用!Z117/10000</f>
        <v>0</v>
      </c>
      <c r="AA42" s="255">
        <f>累计考核费用!AA117/10000</f>
        <v>0</v>
      </c>
    </row>
    <row r="43" spans="1:27" s="27" customFormat="1" ht="14.25" thickBot="1">
      <c r="A43" s="324"/>
      <c r="B43" s="97" t="s">
        <v>247</v>
      </c>
      <c r="C43" s="255">
        <f>累计考核费用!C118/10000</f>
        <v>37883.371347</v>
      </c>
      <c r="D43" s="255">
        <f>累计考核费用!D118/10000</f>
        <v>-50.5822</v>
      </c>
      <c r="E43" s="255">
        <f>累计考核费用!E118/10000</f>
        <v>20440.244500000001</v>
      </c>
      <c r="F43" s="255">
        <f>累计考核费用!F118/10000</f>
        <v>11119.843593</v>
      </c>
      <c r="G43" s="255">
        <f>累计考核费用!G118/10000</f>
        <v>772.80679699999996</v>
      </c>
      <c r="H43" s="255">
        <f>累计考核费用!H118/10000</f>
        <v>1736.18388</v>
      </c>
      <c r="I43" s="255">
        <f>累计考核费用!I118/10000</f>
        <v>496.51905899999997</v>
      </c>
      <c r="J43" s="255">
        <f>累计考核费用!J118/10000</f>
        <v>63.069368000000019</v>
      </c>
      <c r="K43" s="255">
        <f>累计考核费用!K118/10000</f>
        <v>372.98499099999998</v>
      </c>
      <c r="L43" s="255">
        <f>累计考核费用!L118/10000</f>
        <v>0</v>
      </c>
      <c r="M43" s="255">
        <f>累计考核费用!M118/10000</f>
        <v>222.78190899999998</v>
      </c>
      <c r="N43" s="255">
        <f>累计考核费用!N118/10000</f>
        <v>0</v>
      </c>
      <c r="O43" s="255">
        <f>累计考核费用!O118/10000</f>
        <v>214.56753200000003</v>
      </c>
      <c r="P43" s="255">
        <f>累计考核费用!P118/10000</f>
        <v>366.26102099999997</v>
      </c>
      <c r="Q43" s="255">
        <f>累计考核费用!Q118/10000</f>
        <v>715.43849899999998</v>
      </c>
      <c r="R43" s="255">
        <f>累计考核费用!R118/10000</f>
        <v>2163.8300859999999</v>
      </c>
      <c r="S43" s="255">
        <f>累计考核费用!S118/10000</f>
        <v>0</v>
      </c>
      <c r="T43" s="255">
        <f>累计考核费用!T118/10000</f>
        <v>814.64529200000004</v>
      </c>
      <c r="U43" s="255">
        <f>累计考核费用!U118/10000</f>
        <v>1080.7658609999999</v>
      </c>
      <c r="V43" s="255">
        <f>累计考核费用!V118/10000</f>
        <v>268.41893299999998</v>
      </c>
      <c r="W43" s="255">
        <f>累计考核费用!W118/10000</f>
        <v>273.07437399999992</v>
      </c>
      <c r="X43" s="255">
        <f>累计考核费用!X118/10000</f>
        <v>191.43411799999998</v>
      </c>
      <c r="Y43" s="255">
        <f>累计考核费用!Y118/10000</f>
        <v>81.64025599999998</v>
      </c>
      <c r="Z43" s="255">
        <f>累计考核费用!Z118/10000</f>
        <v>702.18940799999996</v>
      </c>
      <c r="AA43" s="255">
        <f>累计考核费用!AA118/10000</f>
        <v>10.342409999999999</v>
      </c>
    </row>
    <row r="44" spans="1:27" s="27" customFormat="1">
      <c r="A44" s="325" t="s">
        <v>70</v>
      </c>
      <c r="B44" s="174" t="s">
        <v>71</v>
      </c>
      <c r="C44" s="255">
        <f>累计考核费用!C119/10000</f>
        <v>8257.8070280000011</v>
      </c>
      <c r="D44" s="255">
        <f>累计考核费用!D119/10000</f>
        <v>0</v>
      </c>
      <c r="E44" s="255">
        <f>累计考核费用!E119/10000</f>
        <v>0</v>
      </c>
      <c r="F44" s="255">
        <f>累计考核费用!F119/10000</f>
        <v>3723.7939580000011</v>
      </c>
      <c r="G44" s="255">
        <f>累计考核费用!G119/10000</f>
        <v>0</v>
      </c>
      <c r="H44" s="255">
        <f>累计考核费用!H119/10000</f>
        <v>33.671303000000002</v>
      </c>
      <c r="I44" s="255">
        <f>累计考核费用!I119/10000</f>
        <v>0</v>
      </c>
      <c r="J44" s="255">
        <f>累计考核费用!J119/10000</f>
        <v>0</v>
      </c>
      <c r="K44" s="255">
        <f>累计考核费用!K119/10000</f>
        <v>0</v>
      </c>
      <c r="L44" s="255">
        <f>累计考核费用!L119/10000</f>
        <v>0</v>
      </c>
      <c r="M44" s="255">
        <f>累计考核费用!M119/10000</f>
        <v>23.997085999999999</v>
      </c>
      <c r="N44" s="255">
        <f>累计考核费用!N119/10000</f>
        <v>0</v>
      </c>
      <c r="O44" s="255">
        <f>累计考核费用!O119/10000</f>
        <v>0</v>
      </c>
      <c r="P44" s="255">
        <f>累计考核费用!P119/10000</f>
        <v>9.6742170000000005</v>
      </c>
      <c r="Q44" s="255">
        <f>累计考核费用!Q119/10000</f>
        <v>201.55019999999999</v>
      </c>
      <c r="R44" s="255">
        <f>累计考核费用!R119/10000</f>
        <v>4258.7915670000002</v>
      </c>
      <c r="S44" s="255">
        <f>累计考核费用!S119/10000</f>
        <v>0</v>
      </c>
      <c r="T44" s="255">
        <f>累计考核费用!T119/10000</f>
        <v>3483.2437</v>
      </c>
      <c r="U44" s="255">
        <f>累计考核费用!U119/10000</f>
        <v>775.547867</v>
      </c>
      <c r="V44" s="255">
        <f>累计考核费用!V119/10000</f>
        <v>0</v>
      </c>
      <c r="W44" s="255">
        <f>累计考核费用!W119/10000</f>
        <v>40</v>
      </c>
      <c r="X44" s="255">
        <f>累计考核费用!X119/10000</f>
        <v>40</v>
      </c>
      <c r="Y44" s="255">
        <f>累计考核费用!Y119/10000</f>
        <v>0</v>
      </c>
      <c r="Z44" s="255">
        <f>累计考核费用!Z119/10000</f>
        <v>0</v>
      </c>
      <c r="AA44" s="255">
        <f>累计考核费用!AA119/10000</f>
        <v>0</v>
      </c>
    </row>
    <row r="45" spans="1:27" s="27" customFormat="1">
      <c r="A45" s="326"/>
      <c r="B45" s="174" t="s">
        <v>242</v>
      </c>
      <c r="C45" s="255">
        <f>累计考核费用!C120/10000</f>
        <v>8245.6267919999991</v>
      </c>
      <c r="D45" s="255">
        <f>累计考核费用!D120/10000</f>
        <v>-7.8</v>
      </c>
      <c r="E45" s="255">
        <f>累计考核费用!E120/10000</f>
        <v>0</v>
      </c>
      <c r="F45" s="255">
        <f>累计考核费用!F120/10000</f>
        <v>3261.695389999999</v>
      </c>
      <c r="G45" s="255">
        <f>累计考核费用!G120/10000</f>
        <v>0</v>
      </c>
      <c r="H45" s="255">
        <f>累计考核费用!H120/10000</f>
        <v>7.8</v>
      </c>
      <c r="I45" s="255">
        <f>累计考核费用!I120/10000</f>
        <v>0</v>
      </c>
      <c r="J45" s="255">
        <f>累计考核费用!J120/10000</f>
        <v>0</v>
      </c>
      <c r="K45" s="255">
        <f>累计考核费用!K120/10000</f>
        <v>3.56E-2</v>
      </c>
      <c r="L45" s="255">
        <f>累计考核费用!L120/10000</f>
        <v>0</v>
      </c>
      <c r="M45" s="255">
        <f>累计考核费用!M120/10000</f>
        <v>0</v>
      </c>
      <c r="N45" s="255">
        <f>累计考核费用!N120/10000</f>
        <v>0</v>
      </c>
      <c r="O45" s="255">
        <f>累计考核费用!O120/10000</f>
        <v>0</v>
      </c>
      <c r="P45" s="255">
        <f>累计考核费用!P120/10000</f>
        <v>7.8</v>
      </c>
      <c r="Q45" s="255">
        <f>累计考核费用!Q120/10000</f>
        <v>232.00790000000001</v>
      </c>
      <c r="R45" s="255">
        <f>累计考核费用!R120/10000</f>
        <v>4731.4489020000001</v>
      </c>
      <c r="S45" s="255">
        <f>累计考核费用!S120/10000</f>
        <v>0</v>
      </c>
      <c r="T45" s="255">
        <f>累计考核费用!T120/10000</f>
        <v>4207.1989020000001</v>
      </c>
      <c r="U45" s="255">
        <f>累计考核费用!U120/10000</f>
        <v>524.25</v>
      </c>
      <c r="V45" s="255">
        <f>累计考核费用!V120/10000</f>
        <v>0</v>
      </c>
      <c r="W45" s="255">
        <f>累计考核费用!W120/10000</f>
        <v>20.474599999999999</v>
      </c>
      <c r="X45" s="255">
        <f>累计考核费用!X120/10000</f>
        <v>0</v>
      </c>
      <c r="Y45" s="255">
        <f>累计考核费用!Y120/10000</f>
        <v>20.474599999999999</v>
      </c>
      <c r="Z45" s="255">
        <f>累计考核费用!Z120/10000</f>
        <v>0</v>
      </c>
      <c r="AA45" s="255">
        <f>累计考核费用!AA120/10000</f>
        <v>0</v>
      </c>
    </row>
    <row r="46" spans="1:27" s="27" customFormat="1">
      <c r="A46" s="326"/>
      <c r="B46" s="174" t="s">
        <v>73</v>
      </c>
      <c r="C46" s="255">
        <f>累计考核费用!C121/10000</f>
        <v>1785.5023090000007</v>
      </c>
      <c r="D46" s="255">
        <f>累计考核费用!D121/10000</f>
        <v>-59.010035000000009</v>
      </c>
      <c r="E46" s="255">
        <f>累计考核费用!E121/10000</f>
        <v>-339.27702400000004</v>
      </c>
      <c r="F46" s="255">
        <f>累计考核费用!F121/10000</f>
        <v>1603.7728830000005</v>
      </c>
      <c r="G46" s="255">
        <f>累计考核费用!G121/10000</f>
        <v>-166.85261299999996</v>
      </c>
      <c r="H46" s="255">
        <f>累计考核费用!H121/10000</f>
        <v>83.323048999999969</v>
      </c>
      <c r="I46" s="255">
        <f>累计考核费用!I121/10000</f>
        <v>276.14196099999998</v>
      </c>
      <c r="J46" s="255">
        <f>累计考核费用!J121/10000</f>
        <v>0</v>
      </c>
      <c r="K46" s="255">
        <f>累计考核费用!K121/10000</f>
        <v>-175.13227599999999</v>
      </c>
      <c r="L46" s="255">
        <f>累计考核费用!L121/10000</f>
        <v>0</v>
      </c>
      <c r="M46" s="255">
        <f>累计考核费用!M121/10000</f>
        <v>8.3577270000000006</v>
      </c>
      <c r="N46" s="255">
        <f>累计考核费用!N121/10000</f>
        <v>0</v>
      </c>
      <c r="O46" s="255">
        <f>累计考核费用!O121/10000</f>
        <v>4.3449999999999999E-3</v>
      </c>
      <c r="P46" s="255">
        <f>累计考核费用!P121/10000</f>
        <v>-26.048708000000001</v>
      </c>
      <c r="Q46" s="255">
        <f>累计考核费用!Q121/10000</f>
        <v>51.643716999999995</v>
      </c>
      <c r="R46" s="255">
        <f>累计考核费用!R121/10000</f>
        <v>610.16394899999989</v>
      </c>
      <c r="S46" s="255">
        <f>累计考核费用!S121/10000</f>
        <v>0</v>
      </c>
      <c r="T46" s="255">
        <f>累计考核费用!T121/10000</f>
        <v>503.97849899999994</v>
      </c>
      <c r="U46" s="255">
        <f>累计考核费用!U121/10000</f>
        <v>98.710482999999982</v>
      </c>
      <c r="V46" s="255">
        <f>累计考核费用!V121/10000</f>
        <v>7.4749669999999995</v>
      </c>
      <c r="W46" s="255">
        <f>累计考核费用!W121/10000</f>
        <v>1.7386540000000001</v>
      </c>
      <c r="X46" s="255">
        <f>累计考核费用!X121/10000</f>
        <v>2.418E-3</v>
      </c>
      <c r="Y46" s="255">
        <f>累计考核费用!Y121/10000</f>
        <v>1.7362360000000001</v>
      </c>
      <c r="Z46" s="255">
        <f>累计考核费用!Z121/10000</f>
        <v>-2.8299999999999999E-4</v>
      </c>
      <c r="AA46" s="255">
        <f>累计考核费用!AA121/10000</f>
        <v>1.2E-5</v>
      </c>
    </row>
    <row r="47" spans="1:27" s="27" customFormat="1">
      <c r="A47" s="326"/>
      <c r="B47" s="174" t="s">
        <v>96</v>
      </c>
      <c r="C47" s="255">
        <f>累计考核费用!C122/10000</f>
        <v>63.394445999999995</v>
      </c>
      <c r="D47" s="255">
        <f>累计考核费用!D122/10000</f>
        <v>0</v>
      </c>
      <c r="E47" s="255">
        <f>累计考核费用!E122/10000</f>
        <v>0</v>
      </c>
      <c r="F47" s="255">
        <f>累计考核费用!F122/10000</f>
        <v>61.044435</v>
      </c>
      <c r="G47" s="255">
        <f>累计考核费用!G122/10000</f>
        <v>0</v>
      </c>
      <c r="H47" s="255">
        <f>累计考核费用!H122/10000</f>
        <v>2.3500109999999999</v>
      </c>
      <c r="I47" s="255">
        <f>累计考核费用!I122/10000</f>
        <v>0</v>
      </c>
      <c r="J47" s="255">
        <f>累计考核费用!J122/10000</f>
        <v>0</v>
      </c>
      <c r="K47" s="255">
        <f>累计考核费用!K122/10000</f>
        <v>0</v>
      </c>
      <c r="L47" s="255">
        <f>累计考核费用!L122/10000</f>
        <v>0</v>
      </c>
      <c r="M47" s="255">
        <f>累计考核费用!M122/10000</f>
        <v>0</v>
      </c>
      <c r="N47" s="255">
        <f>累计考核费用!N122/10000</f>
        <v>0</v>
      </c>
      <c r="O47" s="255">
        <f>累计考核费用!O122/10000</f>
        <v>2.3500109999999999</v>
      </c>
      <c r="P47" s="255">
        <f>累计考核费用!P122/10000</f>
        <v>0</v>
      </c>
      <c r="Q47" s="255">
        <f>累计考核费用!Q122/10000</f>
        <v>0</v>
      </c>
      <c r="R47" s="255">
        <f>累计考核费用!R122/10000</f>
        <v>0</v>
      </c>
      <c r="S47" s="255">
        <f>累计考核费用!S122/10000</f>
        <v>0</v>
      </c>
      <c r="T47" s="255">
        <f>累计考核费用!T122/10000</f>
        <v>0</v>
      </c>
      <c r="U47" s="255">
        <f>累计考核费用!U122/10000</f>
        <v>0</v>
      </c>
      <c r="V47" s="255">
        <f>累计考核费用!V122/10000</f>
        <v>0</v>
      </c>
      <c r="W47" s="255">
        <f>累计考核费用!W122/10000</f>
        <v>0</v>
      </c>
      <c r="X47" s="255">
        <f>累计考核费用!X122/10000</f>
        <v>0</v>
      </c>
      <c r="Y47" s="255">
        <f>累计考核费用!Y122/10000</f>
        <v>0</v>
      </c>
      <c r="Z47" s="255">
        <f>累计考核费用!Z122/10000</f>
        <v>0</v>
      </c>
      <c r="AA47" s="255">
        <f>累计考核费用!AA122/10000</f>
        <v>0</v>
      </c>
    </row>
    <row r="48" spans="1:27" s="27" customFormat="1">
      <c r="A48" s="326"/>
      <c r="B48" s="174" t="s">
        <v>74</v>
      </c>
      <c r="C48" s="255">
        <f>累计考核费用!C123/10000</f>
        <v>1350.2433289999999</v>
      </c>
      <c r="D48" s="255">
        <f>累计考核费用!D123/10000</f>
        <v>0</v>
      </c>
      <c r="E48" s="255">
        <f>累计考核费用!E123/10000</f>
        <v>0</v>
      </c>
      <c r="F48" s="255">
        <f>累计考核费用!F123/10000</f>
        <v>1289.016969</v>
      </c>
      <c r="G48" s="255">
        <f>累计考核费用!G123/10000</f>
        <v>49.265982999999999</v>
      </c>
      <c r="H48" s="255">
        <f>累计考核费用!H123/10000</f>
        <v>11.960377000000001</v>
      </c>
      <c r="I48" s="255">
        <f>累计考核费用!I123/10000</f>
        <v>11.160377000000002</v>
      </c>
      <c r="J48" s="255">
        <f>累计考核费用!J123/10000</f>
        <v>0</v>
      </c>
      <c r="K48" s="255">
        <f>累计考核费用!K123/10000</f>
        <v>0</v>
      </c>
      <c r="L48" s="255">
        <f>累计考核费用!L123/10000</f>
        <v>0</v>
      </c>
      <c r="M48" s="255">
        <f>累计考核费用!M123/10000</f>
        <v>0</v>
      </c>
      <c r="N48" s="255">
        <f>累计考核费用!N123/10000</f>
        <v>0</v>
      </c>
      <c r="O48" s="255">
        <f>累计考核费用!O123/10000</f>
        <v>0.8</v>
      </c>
      <c r="P48" s="255">
        <f>累计考核费用!P123/10000</f>
        <v>0</v>
      </c>
      <c r="Q48" s="255">
        <f>累计考核费用!Q123/10000</f>
        <v>0</v>
      </c>
      <c r="R48" s="255">
        <f>累计考核费用!R123/10000</f>
        <v>0</v>
      </c>
      <c r="S48" s="255">
        <f>累计考核费用!S123/10000</f>
        <v>0</v>
      </c>
      <c r="T48" s="255">
        <f>累计考核费用!T123/10000</f>
        <v>0</v>
      </c>
      <c r="U48" s="255">
        <f>累计考核费用!U123/10000</f>
        <v>0</v>
      </c>
      <c r="V48" s="255">
        <f>累计考核费用!V123/10000</f>
        <v>0</v>
      </c>
      <c r="W48" s="255">
        <f>累计考核费用!W123/10000</f>
        <v>0</v>
      </c>
      <c r="X48" s="255">
        <f>累计考核费用!X123/10000</f>
        <v>0</v>
      </c>
      <c r="Y48" s="255">
        <f>累计考核费用!Y123/10000</f>
        <v>0</v>
      </c>
      <c r="Z48" s="255">
        <f>累计考核费用!Z123/10000</f>
        <v>0</v>
      </c>
      <c r="AA48" s="255">
        <f>累计考核费用!AA123/10000</f>
        <v>0</v>
      </c>
    </row>
    <row r="49" spans="1:27" s="27" customFormat="1" ht="14.25" thickBot="1">
      <c r="A49" s="327"/>
      <c r="B49" s="97" t="s">
        <v>69</v>
      </c>
      <c r="C49" s="255">
        <f>累计考核费用!C124/10000</f>
        <v>19702.573904000001</v>
      </c>
      <c r="D49" s="255">
        <f>累计考核费用!D124/10000</f>
        <v>-66.810035000000013</v>
      </c>
      <c r="E49" s="255">
        <f>累计考核费用!E124/10000</f>
        <v>-339.27702400000004</v>
      </c>
      <c r="F49" s="255">
        <f>累计考核费用!F124/10000</f>
        <v>9939.3236349999988</v>
      </c>
      <c r="G49" s="255">
        <f>累计考核费用!G124/10000</f>
        <v>-117.58662999999996</v>
      </c>
      <c r="H49" s="255">
        <f>累计考核费用!H124/10000</f>
        <v>139.10473999999996</v>
      </c>
      <c r="I49" s="255">
        <f>累计考核费用!I124/10000</f>
        <v>287.30233799999996</v>
      </c>
      <c r="J49" s="255">
        <f>累计考核费用!J124/10000</f>
        <v>0</v>
      </c>
      <c r="K49" s="255">
        <f>累计考核费用!K124/10000</f>
        <v>-175.096676</v>
      </c>
      <c r="L49" s="255">
        <f>累计考核费用!L124/10000</f>
        <v>0</v>
      </c>
      <c r="M49" s="255">
        <f>累计考核费用!M124/10000</f>
        <v>32.354813</v>
      </c>
      <c r="N49" s="255">
        <f>累计考核费用!N124/10000</f>
        <v>0</v>
      </c>
      <c r="O49" s="255">
        <f>累计考核费用!O124/10000</f>
        <v>3.1543559999999999</v>
      </c>
      <c r="P49" s="255">
        <f>累计考核费用!P124/10000</f>
        <v>-8.5744910000000001</v>
      </c>
      <c r="Q49" s="255">
        <f>累计考核费用!Q124/10000</f>
        <v>485.20181700000001</v>
      </c>
      <c r="R49" s="255">
        <f>累计考核费用!R124/10000</f>
        <v>9600.4044180000001</v>
      </c>
      <c r="S49" s="255">
        <f>累计考核费用!S124/10000</f>
        <v>0</v>
      </c>
      <c r="T49" s="255">
        <f>累计考核费用!T124/10000</f>
        <v>8194.4211009999999</v>
      </c>
      <c r="U49" s="255">
        <f>累计考核费用!U124/10000</f>
        <v>1398.5083500000001</v>
      </c>
      <c r="V49" s="255">
        <f>累计考核费用!V124/10000</f>
        <v>7.4749669999999995</v>
      </c>
      <c r="W49" s="255">
        <f>累计考核费用!W124/10000</f>
        <v>62.213254000000006</v>
      </c>
      <c r="X49" s="255">
        <f>累计考核费用!X124/10000</f>
        <v>40.002417999999999</v>
      </c>
      <c r="Y49" s="255">
        <f>累计考核费用!Y124/10000</f>
        <v>22.210835999999997</v>
      </c>
      <c r="Z49" s="255">
        <f>累计考核费用!Z124/10000</f>
        <v>-2.8299999999999999E-4</v>
      </c>
      <c r="AA49" s="255">
        <f>累计考核费用!AA124/10000</f>
        <v>1.2E-5</v>
      </c>
    </row>
    <row r="50" spans="1:27" s="27" customFormat="1">
      <c r="A50" s="319" t="s">
        <v>75</v>
      </c>
      <c r="B50" s="174" t="s">
        <v>76</v>
      </c>
      <c r="C50" s="255">
        <f>累计考核费用!C125/10000</f>
        <v>3410.5856309999995</v>
      </c>
      <c r="D50" s="255">
        <f>累计考核费用!D125/10000</f>
        <v>0</v>
      </c>
      <c r="E50" s="255">
        <f>累计考核费用!E125/10000</f>
        <v>478.22593199999994</v>
      </c>
      <c r="F50" s="255">
        <f>累计考核费用!F125/10000</f>
        <v>1290.2933649999998</v>
      </c>
      <c r="G50" s="255">
        <f>累计考核费用!G125/10000</f>
        <v>149.77436299999999</v>
      </c>
      <c r="H50" s="255">
        <f>累计考核费用!H125/10000</f>
        <v>235.37615600000001</v>
      </c>
      <c r="I50" s="255">
        <f>累计考核费用!I125/10000</f>
        <v>72.573579000000009</v>
      </c>
      <c r="J50" s="255">
        <f>累计考核费用!J125/10000</f>
        <v>11.476788000000001</v>
      </c>
      <c r="K50" s="255">
        <f>累计考核费用!K125/10000</f>
        <v>46.186999999999998</v>
      </c>
      <c r="L50" s="255">
        <f>累计考核费用!L125/10000</f>
        <v>0</v>
      </c>
      <c r="M50" s="255">
        <f>累计考核费用!M125/10000</f>
        <v>32.753815000000003</v>
      </c>
      <c r="N50" s="255">
        <f>累计考核费用!N125/10000</f>
        <v>0</v>
      </c>
      <c r="O50" s="255">
        <f>累计考核费用!O125/10000</f>
        <v>24.951712000000001</v>
      </c>
      <c r="P50" s="255">
        <f>累计考核费用!P125/10000</f>
        <v>47.433261999999999</v>
      </c>
      <c r="Q50" s="255">
        <f>累计考核费用!Q125/10000</f>
        <v>83.161104000000009</v>
      </c>
      <c r="R50" s="255">
        <f>累计考核费用!R125/10000</f>
        <v>1072.014833</v>
      </c>
      <c r="S50" s="255">
        <f>累计考核费用!S125/10000</f>
        <v>0</v>
      </c>
      <c r="T50" s="255">
        <f>累计考核费用!T125/10000</f>
        <v>823.99487799999997</v>
      </c>
      <c r="U50" s="255">
        <f>累计考核费用!U125/10000</f>
        <v>232.980335</v>
      </c>
      <c r="V50" s="255">
        <f>累计考核费用!V125/10000</f>
        <v>15.039619999999998</v>
      </c>
      <c r="W50" s="255">
        <f>累计考核费用!W125/10000</f>
        <v>45.69892999999999</v>
      </c>
      <c r="X50" s="255">
        <f>累计考核费用!X125/10000</f>
        <v>42.940284999999996</v>
      </c>
      <c r="Y50" s="255">
        <f>累计考核费用!Y125/10000</f>
        <v>2.758645</v>
      </c>
      <c r="Z50" s="255">
        <f>累计考核费用!Z125/10000</f>
        <v>54.713219999999993</v>
      </c>
      <c r="AA50" s="255">
        <f>累计考核费用!AA125/10000</f>
        <v>1.327728</v>
      </c>
    </row>
    <row r="51" spans="1:27" s="27" customFormat="1">
      <c r="A51" s="320"/>
      <c r="B51" s="174" t="s">
        <v>77</v>
      </c>
      <c r="C51" s="255">
        <f>累计考核费用!C126/10000</f>
        <v>1296.5993989999999</v>
      </c>
      <c r="D51" s="255">
        <f>累计考核费用!D126/10000</f>
        <v>0</v>
      </c>
      <c r="E51" s="255">
        <f>累计考核费用!E126/10000</f>
        <v>213.157321</v>
      </c>
      <c r="F51" s="255">
        <f>累计考核费用!F126/10000</f>
        <v>285.49907399999995</v>
      </c>
      <c r="G51" s="255">
        <f>累计考核费用!G126/10000</f>
        <v>33.209914999999995</v>
      </c>
      <c r="H51" s="255">
        <f>累计考核费用!H126/10000</f>
        <v>162.24549099999999</v>
      </c>
      <c r="I51" s="255">
        <f>累计考核费用!I126/10000</f>
        <v>59.070962000000002</v>
      </c>
      <c r="J51" s="255">
        <f>累计考核费用!J126/10000</f>
        <v>11.458503</v>
      </c>
      <c r="K51" s="255">
        <f>累计考核费用!K126/10000</f>
        <v>34.626407999999998</v>
      </c>
      <c r="L51" s="255">
        <f>累计考核费用!L126/10000</f>
        <v>0</v>
      </c>
      <c r="M51" s="255">
        <f>累计考核费用!M126/10000</f>
        <v>23.201160000000002</v>
      </c>
      <c r="N51" s="255">
        <f>累计考核费用!N126/10000</f>
        <v>0</v>
      </c>
      <c r="O51" s="255">
        <f>累计考核费用!O126/10000</f>
        <v>8.3212100000000007</v>
      </c>
      <c r="P51" s="255">
        <f>累计考核费用!P126/10000</f>
        <v>25.567247999999999</v>
      </c>
      <c r="Q51" s="255">
        <f>累计考核费用!Q126/10000</f>
        <v>98.561443000000011</v>
      </c>
      <c r="R51" s="255">
        <f>累计考核费用!R126/10000</f>
        <v>463.33569399999993</v>
      </c>
      <c r="S51" s="255">
        <f>累计考核费用!S126/10000</f>
        <v>0</v>
      </c>
      <c r="T51" s="255">
        <f>累计考核费用!T126/10000</f>
        <v>319.54544599999997</v>
      </c>
      <c r="U51" s="255">
        <f>累计考核费用!U126/10000</f>
        <v>122.90475000000001</v>
      </c>
      <c r="V51" s="255">
        <f>累计考核费用!V126/10000</f>
        <v>20.885497999999998</v>
      </c>
      <c r="W51" s="255">
        <f>累计考核费用!W126/10000</f>
        <v>16.131397</v>
      </c>
      <c r="X51" s="255">
        <f>累计考核费用!X126/10000</f>
        <v>8.7370199999999993</v>
      </c>
      <c r="Y51" s="255">
        <f>累计考核费用!Y126/10000</f>
        <v>7.3943770000000004</v>
      </c>
      <c r="Z51" s="255">
        <f>累计考核费用!Z126/10000</f>
        <v>23.678324</v>
      </c>
      <c r="AA51" s="255">
        <f>累计考核费用!AA126/10000</f>
        <v>0.78073999999999999</v>
      </c>
    </row>
    <row r="52" spans="1:27" s="27" customFormat="1">
      <c r="A52" s="320"/>
      <c r="B52" s="174" t="s">
        <v>80</v>
      </c>
      <c r="C52" s="255">
        <f>累计考核费用!C127/10000</f>
        <v>521.28261500000008</v>
      </c>
      <c r="D52" s="255">
        <f>累计考核费用!D127/10000</f>
        <v>0</v>
      </c>
      <c r="E52" s="255">
        <f>累计考核费用!E127/10000</f>
        <v>107.25046999999999</v>
      </c>
      <c r="F52" s="255">
        <f>累计考核费用!F127/10000</f>
        <v>199.42371200000005</v>
      </c>
      <c r="G52" s="255">
        <f>累计考核费用!G127/10000</f>
        <v>8.5495680000000007</v>
      </c>
      <c r="H52" s="255">
        <f>累计考核费用!H127/10000</f>
        <v>17.681550000000001</v>
      </c>
      <c r="I52" s="255">
        <f>累计考核费用!I127/10000</f>
        <v>2.6762929999999998</v>
      </c>
      <c r="J52" s="255">
        <f>累计考核费用!J127/10000</f>
        <v>0.66965299999999994</v>
      </c>
      <c r="K52" s="255">
        <f>累计考核费用!K127/10000</f>
        <v>2.9882359999999997</v>
      </c>
      <c r="L52" s="255">
        <f>累计考核费用!L127/10000</f>
        <v>0</v>
      </c>
      <c r="M52" s="255">
        <f>累计考核费用!M127/10000</f>
        <v>3.6562010000000003</v>
      </c>
      <c r="N52" s="255">
        <f>累计考核费用!N127/10000</f>
        <v>0</v>
      </c>
      <c r="O52" s="255">
        <f>累计考核费用!O127/10000</f>
        <v>6.2231690000000004</v>
      </c>
      <c r="P52" s="255">
        <f>累计考核费用!P127/10000</f>
        <v>1.4679979999999999</v>
      </c>
      <c r="Q52" s="255">
        <f>累计考核费用!Q127/10000</f>
        <v>13.472095000000001</v>
      </c>
      <c r="R52" s="255">
        <f>累计考核费用!R127/10000</f>
        <v>166.77304799999999</v>
      </c>
      <c r="S52" s="255">
        <f>累计考核费用!S127/10000</f>
        <v>0</v>
      </c>
      <c r="T52" s="255">
        <f>累计考核费用!T127/10000</f>
        <v>143.33742599999997</v>
      </c>
      <c r="U52" s="255">
        <f>累计考核费用!U127/10000</f>
        <v>20.983652999999997</v>
      </c>
      <c r="V52" s="255">
        <f>累计考核费用!V127/10000</f>
        <v>2.4519690000000001</v>
      </c>
      <c r="W52" s="255">
        <f>累计考核费用!W127/10000</f>
        <v>3.3482119999999997</v>
      </c>
      <c r="X52" s="255">
        <f>累计考核费用!X127/10000</f>
        <v>3.1858379999999999</v>
      </c>
      <c r="Y52" s="255">
        <f>累计考核费用!Y127/10000</f>
        <v>0.16237400000000002</v>
      </c>
      <c r="Z52" s="255">
        <f>累计考核费用!Z127/10000</f>
        <v>4.0321090000000002</v>
      </c>
      <c r="AA52" s="255">
        <f>累计考核费用!AA127/10000</f>
        <v>0.75185100000000005</v>
      </c>
    </row>
    <row r="53" spans="1:27" s="27" customFormat="1">
      <c r="A53" s="320"/>
      <c r="B53" s="174" t="s">
        <v>81</v>
      </c>
      <c r="C53" s="255">
        <f>累计考核费用!C128/10000</f>
        <v>210.44870800000001</v>
      </c>
      <c r="D53" s="255">
        <f>累计考核费用!D128/10000</f>
        <v>0</v>
      </c>
      <c r="E53" s="255">
        <f>累计考核费用!E128/10000</f>
        <v>27.113146999999998</v>
      </c>
      <c r="F53" s="255">
        <f>累计考核费用!F128/10000</f>
        <v>111.77741599999999</v>
      </c>
      <c r="G53" s="255">
        <f>累计考核费用!G128/10000</f>
        <v>4.1606730000000001</v>
      </c>
      <c r="H53" s="255">
        <f>累计考核费用!H128/10000</f>
        <v>2.9740119999999997</v>
      </c>
      <c r="I53" s="255">
        <f>累计考核费用!I128/10000</f>
        <v>2.7964910000000001</v>
      </c>
      <c r="J53" s="255">
        <f>累计考核费用!J128/10000</f>
        <v>4.6116999999999998E-2</v>
      </c>
      <c r="K53" s="255">
        <f>累计考核费用!K128/10000</f>
        <v>0.37856599999999996</v>
      </c>
      <c r="L53" s="255">
        <f>累计考核费用!L128/10000</f>
        <v>0</v>
      </c>
      <c r="M53" s="255">
        <f>累计考核费用!M128/10000</f>
        <v>2.3413999999999997E-2</v>
      </c>
      <c r="N53" s="255">
        <f>累计考核费用!N128/10000</f>
        <v>0</v>
      </c>
      <c r="O53" s="255">
        <f>累计考核费用!O128/10000</f>
        <v>-0.64656000000000013</v>
      </c>
      <c r="P53" s="255">
        <f>累计考核费用!P128/10000</f>
        <v>0.37598399999999998</v>
      </c>
      <c r="Q53" s="255">
        <f>累计考核费用!Q128/10000</f>
        <v>1.9716320000000001</v>
      </c>
      <c r="R53" s="255">
        <f>累计考核费用!R128/10000</f>
        <v>60.138298999999996</v>
      </c>
      <c r="S53" s="255">
        <f>累计考核费用!S128/10000</f>
        <v>0</v>
      </c>
      <c r="T53" s="255">
        <f>累计考核费用!T128/10000</f>
        <v>52.617024000000001</v>
      </c>
      <c r="U53" s="255">
        <f>累计考核费用!U128/10000</f>
        <v>6.1920080000000004</v>
      </c>
      <c r="V53" s="255">
        <f>累计考核费用!V128/10000</f>
        <v>1.329267</v>
      </c>
      <c r="W53" s="255">
        <f>累计考核费用!W128/10000</f>
        <v>1.5695760000000001</v>
      </c>
      <c r="X53" s="255">
        <f>累计考核费用!X128/10000</f>
        <v>1.5695760000000001</v>
      </c>
      <c r="Y53" s="255">
        <f>累计考核费用!Y128/10000</f>
        <v>0</v>
      </c>
      <c r="Z53" s="255">
        <f>累计考核费用!Z128/10000</f>
        <v>0.59893999999999992</v>
      </c>
      <c r="AA53" s="255">
        <f>累计考核费用!AA128/10000</f>
        <v>0.145013</v>
      </c>
    </row>
    <row r="54" spans="1:27" s="27" customFormat="1">
      <c r="A54" s="320"/>
      <c r="B54" s="174" t="s">
        <v>84</v>
      </c>
      <c r="C54" s="255">
        <f>累计考核费用!C129/10000</f>
        <v>836.46872899999983</v>
      </c>
      <c r="D54" s="255">
        <f>累计考核费用!D129/10000</f>
        <v>-2880.9643679999999</v>
      </c>
      <c r="E54" s="255">
        <f>累计考核费用!E129/10000</f>
        <v>98.469672000000003</v>
      </c>
      <c r="F54" s="255">
        <f>累计考核费用!F129/10000</f>
        <v>3617.7593859999997</v>
      </c>
      <c r="G54" s="255">
        <f>累计考核费用!G129/10000</f>
        <v>0</v>
      </c>
      <c r="H54" s="255">
        <f>累计考核费用!H129/10000</f>
        <v>0</v>
      </c>
      <c r="I54" s="255">
        <f>累计考核费用!I129/10000</f>
        <v>0</v>
      </c>
      <c r="J54" s="255">
        <f>累计考核费用!J129/10000</f>
        <v>0</v>
      </c>
      <c r="K54" s="255">
        <f>累计考核费用!K129/10000</f>
        <v>0</v>
      </c>
      <c r="L54" s="255">
        <f>累计考核费用!L129/10000</f>
        <v>0</v>
      </c>
      <c r="M54" s="255">
        <f>累计考核费用!M129/10000</f>
        <v>0</v>
      </c>
      <c r="N54" s="255">
        <f>累计考核费用!N129/10000</f>
        <v>0</v>
      </c>
      <c r="O54" s="255">
        <f>累计考核费用!O129/10000</f>
        <v>0</v>
      </c>
      <c r="P54" s="255">
        <f>累计考核费用!P129/10000</f>
        <v>0</v>
      </c>
      <c r="Q54" s="255">
        <f>累计考核费用!Q129/10000</f>
        <v>0</v>
      </c>
      <c r="R54" s="255">
        <f>累计考核费用!R129/10000</f>
        <v>0.53200000000000003</v>
      </c>
      <c r="S54" s="255">
        <f>累计考核费用!S129/10000</f>
        <v>0</v>
      </c>
      <c r="T54" s="255">
        <f>累计考核费用!T129/10000</f>
        <v>0.152</v>
      </c>
      <c r="U54" s="255">
        <f>累计考核费用!U129/10000</f>
        <v>0</v>
      </c>
      <c r="V54" s="255">
        <f>累计考核费用!V129/10000</f>
        <v>0.38</v>
      </c>
      <c r="W54" s="255">
        <f>累计考核费用!W129/10000</f>
        <v>0.67203900000000005</v>
      </c>
      <c r="X54" s="255">
        <f>累计考核费用!X129/10000</f>
        <v>0.67203900000000005</v>
      </c>
      <c r="Y54" s="255">
        <f>累计考核费用!Y129/10000</f>
        <v>0</v>
      </c>
      <c r="Z54" s="255">
        <f>累计考核费用!Z129/10000</f>
        <v>0</v>
      </c>
      <c r="AA54" s="255">
        <f>累计考核费用!AA129/10000</f>
        <v>0</v>
      </c>
    </row>
    <row r="55" spans="1:27" s="27" customFormat="1">
      <c r="A55" s="320"/>
      <c r="B55" s="174" t="s">
        <v>86</v>
      </c>
      <c r="C55" s="255">
        <f>累计考核费用!C130/10000</f>
        <v>398.98657900000001</v>
      </c>
      <c r="D55" s="255">
        <f>累计考核费用!D130/10000</f>
        <v>0</v>
      </c>
      <c r="E55" s="255">
        <f>累计考核费用!E130/10000</f>
        <v>36.885580000000004</v>
      </c>
      <c r="F55" s="255">
        <f>累计考核费用!F130/10000</f>
        <v>180.25320499999998</v>
      </c>
      <c r="G55" s="255">
        <f>累计考核费用!G130/10000</f>
        <v>21.754742999999998</v>
      </c>
      <c r="H55" s="255">
        <f>累计考核费用!H130/10000</f>
        <v>83.227025999999995</v>
      </c>
      <c r="I55" s="255">
        <f>累计考核费用!I130/10000</f>
        <v>17.838794</v>
      </c>
      <c r="J55" s="255">
        <f>累计考核费用!J130/10000</f>
        <v>0</v>
      </c>
      <c r="K55" s="255">
        <f>累计考核费用!K130/10000</f>
        <v>18.463642999999998</v>
      </c>
      <c r="L55" s="255">
        <f>累计考核费用!L130/10000</f>
        <v>0</v>
      </c>
      <c r="M55" s="255">
        <f>累计考核费用!M130/10000</f>
        <v>12.016163000000001</v>
      </c>
      <c r="N55" s="255">
        <f>累计考核费用!N130/10000</f>
        <v>0</v>
      </c>
      <c r="O55" s="255">
        <f>累计考核费用!O130/10000</f>
        <v>2.8264999999999998</v>
      </c>
      <c r="P55" s="255">
        <f>累计考核费用!P130/10000</f>
        <v>32.081926000000003</v>
      </c>
      <c r="Q55" s="255">
        <f>累计考核费用!Q130/10000</f>
        <v>2.2965</v>
      </c>
      <c r="R55" s="255">
        <f>累计考核费用!R130/10000</f>
        <v>6.9164000000000003</v>
      </c>
      <c r="S55" s="255">
        <f>累计考核费用!S130/10000</f>
        <v>0</v>
      </c>
      <c r="T55" s="255">
        <f>累计考核费用!T130/10000</f>
        <v>2.4500999999999999</v>
      </c>
      <c r="U55" s="255">
        <f>累计考核费用!U130/10000</f>
        <v>2.4500999999999999</v>
      </c>
      <c r="V55" s="255">
        <f>累计考核费用!V130/10000</f>
        <v>2.0162</v>
      </c>
      <c r="W55" s="255">
        <f>累计考核费用!W130/10000</f>
        <v>1.5822000000000001</v>
      </c>
      <c r="X55" s="255">
        <f>累计考核费用!X130/10000</f>
        <v>0</v>
      </c>
      <c r="Y55" s="255">
        <f>累计考核费用!Y130/10000</f>
        <v>1.5822000000000001</v>
      </c>
      <c r="Z55" s="255">
        <f>累计考核费用!Z130/10000</f>
        <v>66.070925000000003</v>
      </c>
      <c r="AA55" s="255">
        <f>累计考核费用!AA130/10000</f>
        <v>0</v>
      </c>
    </row>
    <row r="56" spans="1:27" s="27" customFormat="1">
      <c r="A56" s="320"/>
      <c r="B56" s="174" t="s">
        <v>88</v>
      </c>
      <c r="C56" s="255">
        <f>累计考核费用!C131/10000</f>
        <v>262.96628799999996</v>
      </c>
      <c r="D56" s="255">
        <f>累计考核费用!D131/10000</f>
        <v>0</v>
      </c>
      <c r="E56" s="255">
        <f>累计考核费用!E131/10000</f>
        <v>85.506582000000009</v>
      </c>
      <c r="F56" s="255">
        <f>累计考核费用!F131/10000</f>
        <v>134.10118099999997</v>
      </c>
      <c r="G56" s="255">
        <f>累计考核费用!G131/10000</f>
        <v>0</v>
      </c>
      <c r="H56" s="255">
        <f>累计考核费用!H131/10000</f>
        <v>38.058679999999995</v>
      </c>
      <c r="I56" s="255">
        <f>累计考核费用!I131/10000</f>
        <v>37.270000000000003</v>
      </c>
      <c r="J56" s="255">
        <f>累计考核费用!J131/10000</f>
        <v>0.6</v>
      </c>
      <c r="K56" s="255">
        <f>累计考核费用!K131/10000</f>
        <v>0.18867999999999999</v>
      </c>
      <c r="L56" s="255">
        <f>累计考核费用!L131/10000</f>
        <v>0</v>
      </c>
      <c r="M56" s="255">
        <f>累计考核费用!M131/10000</f>
        <v>0</v>
      </c>
      <c r="N56" s="255">
        <f>累计考核费用!N131/10000</f>
        <v>0</v>
      </c>
      <c r="O56" s="255">
        <f>累计考核费用!O131/10000</f>
        <v>0</v>
      </c>
      <c r="P56" s="255">
        <f>累计考核费用!P131/10000</f>
        <v>0</v>
      </c>
      <c r="Q56" s="255">
        <f>累计考核费用!Q131/10000</f>
        <v>0</v>
      </c>
      <c r="R56" s="255">
        <f>累计考核费用!R131/10000</f>
        <v>0.29299999999999998</v>
      </c>
      <c r="S56" s="255">
        <f>累计考核费用!S131/10000</f>
        <v>0</v>
      </c>
      <c r="T56" s="255">
        <f>累计考核费用!T131/10000</f>
        <v>0.29299999999999998</v>
      </c>
      <c r="U56" s="255">
        <f>累计考核费用!U131/10000</f>
        <v>0</v>
      </c>
      <c r="V56" s="255">
        <f>累计考核费用!V131/10000</f>
        <v>0</v>
      </c>
      <c r="W56" s="255">
        <f>累计考核费用!W131/10000</f>
        <v>0.72547200000000001</v>
      </c>
      <c r="X56" s="255">
        <f>累计考核费用!X131/10000</f>
        <v>0</v>
      </c>
      <c r="Y56" s="255">
        <f>累计考核费用!Y131/10000</f>
        <v>0.72547200000000001</v>
      </c>
      <c r="Z56" s="255">
        <f>累计考核费用!Z131/10000</f>
        <v>4.2813730000000003</v>
      </c>
      <c r="AA56" s="255">
        <f>累计考核费用!AA131/10000</f>
        <v>0</v>
      </c>
    </row>
    <row r="57" spans="1:27" s="27" customFormat="1">
      <c r="A57" s="320"/>
      <c r="B57" s="174" t="s">
        <v>89</v>
      </c>
      <c r="C57" s="255">
        <f>累计考核费用!C132/10000</f>
        <v>109.22375999999998</v>
      </c>
      <c r="D57" s="255">
        <f>累计考核费用!D132/10000</f>
        <v>0</v>
      </c>
      <c r="E57" s="255">
        <f>累计考核费用!E132/10000</f>
        <v>12.956904999999999</v>
      </c>
      <c r="F57" s="255">
        <f>累计考核费用!F132/10000</f>
        <v>65.302250999999998</v>
      </c>
      <c r="G57" s="255">
        <f>累计考核费用!G132/10000</f>
        <v>0.75488700000000009</v>
      </c>
      <c r="H57" s="255">
        <f>累计考核费用!H132/10000</f>
        <v>1.3862099999999999</v>
      </c>
      <c r="I57" s="255">
        <f>累计考核费用!I132/10000</f>
        <v>1.0126999999999999</v>
      </c>
      <c r="J57" s="255">
        <f>累计考核费用!J132/10000</f>
        <v>0</v>
      </c>
      <c r="K57" s="255">
        <f>累计考核费用!K132/10000</f>
        <v>3.6600000000000001E-2</v>
      </c>
      <c r="L57" s="255">
        <f>累计考核费用!L132/10000</f>
        <v>0</v>
      </c>
      <c r="M57" s="255">
        <f>累计考核费用!M132/10000</f>
        <v>0.1273</v>
      </c>
      <c r="N57" s="255">
        <f>累计考核费用!N132/10000</f>
        <v>0</v>
      </c>
      <c r="O57" s="255">
        <f>累计考核费用!O132/10000</f>
        <v>-1.0190000000000001E-2</v>
      </c>
      <c r="P57" s="255">
        <f>累计考核费用!P132/10000</f>
        <v>0.2198</v>
      </c>
      <c r="Q57" s="255">
        <f>累计考核费用!Q132/10000</f>
        <v>4.1479439999999999</v>
      </c>
      <c r="R57" s="255">
        <f>累计考核费用!R132/10000</f>
        <v>23.332233000000002</v>
      </c>
      <c r="S57" s="255">
        <f>累计考核费用!S132/10000</f>
        <v>0</v>
      </c>
      <c r="T57" s="255">
        <f>累计考核费用!T132/10000</f>
        <v>18.072427999999999</v>
      </c>
      <c r="U57" s="255">
        <f>累计考核费用!U132/10000</f>
        <v>4.3085319999999996</v>
      </c>
      <c r="V57" s="255">
        <f>累计考核费用!V132/10000</f>
        <v>0.95127299999999992</v>
      </c>
      <c r="W57" s="255">
        <f>累计考核费用!W132/10000</f>
        <v>1.2768389999999998</v>
      </c>
      <c r="X57" s="255">
        <f>累计考核费用!X132/10000</f>
        <v>1.256839</v>
      </c>
      <c r="Y57" s="255">
        <f>累计考核费用!Y132/10000</f>
        <v>0.02</v>
      </c>
      <c r="Z57" s="255">
        <f>累计考核费用!Z132/10000</f>
        <v>6.6490999999999995E-2</v>
      </c>
      <c r="AA57" s="255">
        <f>累计考核费用!AA132/10000</f>
        <v>0</v>
      </c>
    </row>
    <row r="58" spans="1:27" s="27" customFormat="1">
      <c r="A58" s="320"/>
      <c r="B58" s="174" t="s">
        <v>93</v>
      </c>
      <c r="C58" s="255">
        <f>累计考核费用!C133/10000</f>
        <v>25.18807</v>
      </c>
      <c r="D58" s="255">
        <f>累计考核费用!D133/10000</f>
        <v>0</v>
      </c>
      <c r="E58" s="255">
        <f>累计考核费用!E133/10000</f>
        <v>5.5296930000000009</v>
      </c>
      <c r="F58" s="255">
        <f>累计考核费用!F133/10000</f>
        <v>17.391131000000001</v>
      </c>
      <c r="G58" s="255">
        <f>累计考核费用!G133/10000</f>
        <v>0.378</v>
      </c>
      <c r="H58" s="255">
        <f>累计考核费用!H133/10000</f>
        <v>1.0452360000000001</v>
      </c>
      <c r="I58" s="255">
        <f>累计考核费用!I133/10000</f>
        <v>0.2737</v>
      </c>
      <c r="J58" s="255">
        <f>累计考核费用!J133/10000</f>
        <v>7.4689999999999993E-2</v>
      </c>
      <c r="K58" s="255">
        <f>累计考核费用!K133/10000</f>
        <v>0.14879999999999999</v>
      </c>
      <c r="L58" s="255">
        <f>累计考核费用!L133/10000</f>
        <v>0</v>
      </c>
      <c r="M58" s="255">
        <f>累计考核费用!M133/10000</f>
        <v>4.3999999999999997E-2</v>
      </c>
      <c r="N58" s="255">
        <f>累计考核费用!N133/10000</f>
        <v>0</v>
      </c>
      <c r="O58" s="255">
        <f>累计考核费用!O133/10000</f>
        <v>0.32998</v>
      </c>
      <c r="P58" s="255">
        <f>累计考核费用!P133/10000</f>
        <v>0.174066</v>
      </c>
      <c r="Q58" s="255">
        <f>累计考核费用!Q133/10000</f>
        <v>0.1726</v>
      </c>
      <c r="R58" s="255">
        <f>累计考核费用!R133/10000</f>
        <v>0.60940000000000005</v>
      </c>
      <c r="S58" s="255">
        <f>累计考核费用!S133/10000</f>
        <v>0</v>
      </c>
      <c r="T58" s="255">
        <f>累计考核费用!T133/10000</f>
        <v>0.4486</v>
      </c>
      <c r="U58" s="255">
        <f>累计考核费用!U133/10000</f>
        <v>0.1608</v>
      </c>
      <c r="V58" s="255">
        <f>累计考核费用!V133/10000</f>
        <v>0</v>
      </c>
      <c r="W58" s="255">
        <f>累计考核费用!W133/10000</f>
        <v>3.5720000000000002E-2</v>
      </c>
      <c r="X58" s="255">
        <f>累计考核费用!X133/10000</f>
        <v>3.5720000000000002E-2</v>
      </c>
      <c r="Y58" s="255">
        <f>累计考核费用!Y133/10000</f>
        <v>0</v>
      </c>
      <c r="Z58" s="255">
        <f>累计考核费用!Z133/10000</f>
        <v>2.6289999999999997E-2</v>
      </c>
      <c r="AA58" s="255">
        <f>累计考核费用!AA133/10000</f>
        <v>0</v>
      </c>
    </row>
    <row r="59" spans="1:27" s="27" customFormat="1">
      <c r="A59" s="320"/>
      <c r="B59" s="174" t="s">
        <v>94</v>
      </c>
      <c r="C59" s="255">
        <f>累计考核费用!C134/10000</f>
        <v>105.14980700000001</v>
      </c>
      <c r="D59" s="255">
        <f>累计考核费用!D134/10000</f>
        <v>0</v>
      </c>
      <c r="E59" s="255">
        <f>累计考核费用!E134/10000</f>
        <v>15.050960000000003</v>
      </c>
      <c r="F59" s="255">
        <f>累计考核费用!F134/10000</f>
        <v>37.042940000000009</v>
      </c>
      <c r="G59" s="255">
        <f>累计考核费用!G134/10000</f>
        <v>0.183196</v>
      </c>
      <c r="H59" s="255">
        <f>累计考核费用!H134/10000</f>
        <v>11.195013000000001</v>
      </c>
      <c r="I59" s="255">
        <f>累计考核费用!I134/10000</f>
        <v>1.4327859999999999</v>
      </c>
      <c r="J59" s="255">
        <f>累计考核费用!J134/10000</f>
        <v>0.44688</v>
      </c>
      <c r="K59" s="255">
        <f>累计考核费用!K134/10000</f>
        <v>1.1740539999999999</v>
      </c>
      <c r="L59" s="255">
        <f>累计考核费用!L134/10000</f>
        <v>0</v>
      </c>
      <c r="M59" s="255">
        <f>累计考核费用!M134/10000</f>
        <v>5.5347570000000008</v>
      </c>
      <c r="N59" s="255">
        <f>累计考核费用!N134/10000</f>
        <v>0</v>
      </c>
      <c r="O59" s="255">
        <f>累计考核费用!O134/10000</f>
        <v>0.80402300000000015</v>
      </c>
      <c r="P59" s="255">
        <f>累计考核费用!P134/10000</f>
        <v>1.802513</v>
      </c>
      <c r="Q59" s="255">
        <f>累计考核费用!Q134/10000</f>
        <v>14.531683999999997</v>
      </c>
      <c r="R59" s="255">
        <f>累计考核费用!R134/10000</f>
        <v>23.783638999999997</v>
      </c>
      <c r="S59" s="255">
        <f>累计考核费用!S134/10000</f>
        <v>0</v>
      </c>
      <c r="T59" s="255">
        <f>累计考核费用!T134/10000</f>
        <v>16.108691</v>
      </c>
      <c r="U59" s="255">
        <f>累计考核费用!U134/10000</f>
        <v>5.621308</v>
      </c>
      <c r="V59" s="255">
        <f>累计考核费用!V134/10000</f>
        <v>2.0536400000000001</v>
      </c>
      <c r="W59" s="255">
        <f>累计考核费用!W134/10000</f>
        <v>1.5011060000000001</v>
      </c>
      <c r="X59" s="255">
        <f>累计考核费用!X134/10000</f>
        <v>0.90835100000000002</v>
      </c>
      <c r="Y59" s="255">
        <f>累计考核费用!Y134/10000</f>
        <v>0.59275500000000003</v>
      </c>
      <c r="Z59" s="255">
        <f>累计考核费用!Z134/10000</f>
        <v>1.839129</v>
      </c>
      <c r="AA59" s="255">
        <f>累计考核费用!AA134/10000</f>
        <v>2.214E-2</v>
      </c>
    </row>
    <row r="60" spans="1:27" s="27" customFormat="1">
      <c r="A60" s="320"/>
      <c r="B60" s="174" t="s">
        <v>90</v>
      </c>
      <c r="C60" s="255">
        <f>累计考核费用!C135/10000</f>
        <v>384.39624399999997</v>
      </c>
      <c r="D60" s="255">
        <f>累计考核费用!D135/10000</f>
        <v>1.8</v>
      </c>
      <c r="E60" s="255">
        <f>累计考核费用!E135/10000</f>
        <v>146.27388899999997</v>
      </c>
      <c r="F60" s="255">
        <f>累计考核费用!F135/10000</f>
        <v>183.569052</v>
      </c>
      <c r="G60" s="255">
        <f>累计考核费用!G135/10000</f>
        <v>2.514964</v>
      </c>
      <c r="H60" s="255">
        <f>累计考核费用!H135/10000</f>
        <v>22.781312999999997</v>
      </c>
      <c r="I60" s="255">
        <f>累计考核费用!I135/10000</f>
        <v>3.5207999999999999</v>
      </c>
      <c r="J60" s="255">
        <f>累计考核费用!J135/10000</f>
        <v>0</v>
      </c>
      <c r="K60" s="255">
        <f>累计考核费用!K135/10000</f>
        <v>0.24840000000000001</v>
      </c>
      <c r="L60" s="255">
        <f>累计考核费用!L135/10000</f>
        <v>0</v>
      </c>
      <c r="M60" s="255">
        <f>累计考核费用!M135/10000</f>
        <v>1.2216750000000001</v>
      </c>
      <c r="N60" s="255">
        <f>累计考核费用!N135/10000</f>
        <v>0</v>
      </c>
      <c r="O60" s="255">
        <f>累计考核费用!O135/10000</f>
        <v>16.604037999999999</v>
      </c>
      <c r="P60" s="255">
        <f>累计考核费用!P135/10000</f>
        <v>1.1863999999999999</v>
      </c>
      <c r="Q60" s="255">
        <f>累计考核费用!Q135/10000</f>
        <v>1.1214999999999999</v>
      </c>
      <c r="R60" s="255">
        <f>累计考核费用!R135/10000</f>
        <v>7.1847000000000003</v>
      </c>
      <c r="S60" s="255">
        <f>累计考核费用!S135/10000</f>
        <v>0</v>
      </c>
      <c r="T60" s="255">
        <f>累计考核费用!T135/10000</f>
        <v>2.0863</v>
      </c>
      <c r="U60" s="255">
        <f>累计考核费用!U135/10000</f>
        <v>0.61460000000000004</v>
      </c>
      <c r="V60" s="255">
        <f>累计考核费用!V135/10000</f>
        <v>4.4837999999999996</v>
      </c>
      <c r="W60" s="255">
        <f>累计考核费用!W135/10000</f>
        <v>16.525865999999997</v>
      </c>
      <c r="X60" s="255">
        <f>累计考核费用!X135/10000</f>
        <v>16.015086</v>
      </c>
      <c r="Y60" s="255">
        <f>累计考核费用!Y135/10000</f>
        <v>0.51078000000000001</v>
      </c>
      <c r="Z60" s="255">
        <f>累计考核费用!Z135/10000</f>
        <v>2.6249599999999997</v>
      </c>
      <c r="AA60" s="255">
        <f>累计考核费用!AA135/10000</f>
        <v>0</v>
      </c>
    </row>
    <row r="61" spans="1:27" s="27" customFormat="1">
      <c r="A61" s="320"/>
      <c r="B61" s="174" t="s">
        <v>85</v>
      </c>
      <c r="C61" s="255">
        <f>累计考核费用!C136/10000</f>
        <v>633.94622000000015</v>
      </c>
      <c r="D61" s="255">
        <f>累计考核费用!D136/10000</f>
        <v>0</v>
      </c>
      <c r="E61" s="255">
        <f>累计考核费用!E136/10000</f>
        <v>0</v>
      </c>
      <c r="F61" s="255">
        <f>累计考核费用!F136/10000</f>
        <v>620.03438200000016</v>
      </c>
      <c r="G61" s="255">
        <f>累计考核费用!G136/10000</f>
        <v>0</v>
      </c>
      <c r="H61" s="255">
        <f>累计考核费用!H136/10000</f>
        <v>13.712138000000001</v>
      </c>
      <c r="I61" s="255">
        <f>累计考核费用!I136/10000</f>
        <v>0</v>
      </c>
      <c r="J61" s="255">
        <f>累计考核费用!J136/10000</f>
        <v>0</v>
      </c>
      <c r="K61" s="255">
        <f>累计考核费用!K136/10000</f>
        <v>0</v>
      </c>
      <c r="L61" s="255">
        <f>累计考核费用!L136/10000</f>
        <v>0</v>
      </c>
      <c r="M61" s="255">
        <f>累计考核费用!M136/10000</f>
        <v>13.712138000000001</v>
      </c>
      <c r="N61" s="255">
        <f>累计考核费用!N136/10000</f>
        <v>0</v>
      </c>
      <c r="O61" s="255">
        <f>累计考核费用!O136/10000</f>
        <v>0</v>
      </c>
      <c r="P61" s="255">
        <f>累计考核费用!P136/10000</f>
        <v>0</v>
      </c>
      <c r="Q61" s="255">
        <f>累计考核费用!Q136/10000</f>
        <v>0</v>
      </c>
      <c r="R61" s="255">
        <f>累计考核费用!R136/10000</f>
        <v>0.19969999999999999</v>
      </c>
      <c r="S61" s="255">
        <f>累计考核费用!S136/10000</f>
        <v>0</v>
      </c>
      <c r="T61" s="255">
        <f>累计考核费用!T136/10000</f>
        <v>0</v>
      </c>
      <c r="U61" s="255">
        <f>累计考核费用!U136/10000</f>
        <v>0.19969999999999999</v>
      </c>
      <c r="V61" s="255">
        <f>累计考核费用!V136/10000</f>
        <v>0</v>
      </c>
      <c r="W61" s="255">
        <f>累计考核费用!W136/10000</f>
        <v>0</v>
      </c>
      <c r="X61" s="255">
        <f>累计考核费用!X136/10000</f>
        <v>0</v>
      </c>
      <c r="Y61" s="255">
        <f>累计考核费用!Y136/10000</f>
        <v>0</v>
      </c>
      <c r="Z61" s="255">
        <f>累计考核费用!Z136/10000</f>
        <v>0</v>
      </c>
      <c r="AA61" s="255">
        <f>累计考核费用!AA136/10000</f>
        <v>0</v>
      </c>
    </row>
    <row r="62" spans="1:27" s="27" customFormat="1">
      <c r="A62" s="320"/>
      <c r="B62" s="174" t="s">
        <v>243</v>
      </c>
      <c r="C62" s="255">
        <f>累计考核费用!C137/10000</f>
        <v>62.650212000000025</v>
      </c>
      <c r="D62" s="255">
        <f>累计考核费用!D137/10000</f>
        <v>0</v>
      </c>
      <c r="E62" s="255">
        <f>累计考核费用!E137/10000</f>
        <v>25.803204000000026</v>
      </c>
      <c r="F62" s="255">
        <f>累计考核费用!F137/10000</f>
        <v>26.270891000000002</v>
      </c>
      <c r="G62" s="255">
        <f>累计考核费用!G137/10000</f>
        <v>2.2831069999999998</v>
      </c>
      <c r="H62" s="255">
        <f>累计考核费用!H137/10000</f>
        <v>4.3324099999999994</v>
      </c>
      <c r="I62" s="255">
        <f>累计考核费用!I137/10000</f>
        <v>0.127</v>
      </c>
      <c r="J62" s="255">
        <f>累计考核费用!J137/10000</f>
        <v>0</v>
      </c>
      <c r="K62" s="255">
        <f>累计考核费用!K137/10000</f>
        <v>1.373904</v>
      </c>
      <c r="L62" s="255">
        <f>累计考核费用!L137/10000</f>
        <v>0</v>
      </c>
      <c r="M62" s="255">
        <f>累计考核费用!M137/10000</f>
        <v>0.91659999999999997</v>
      </c>
      <c r="N62" s="255">
        <f>累计考核费用!N137/10000</f>
        <v>0</v>
      </c>
      <c r="O62" s="255">
        <f>累计考核费用!O137/10000</f>
        <v>1.3539060000000001</v>
      </c>
      <c r="P62" s="255">
        <f>累计考核费用!P137/10000</f>
        <v>0.56100000000000005</v>
      </c>
      <c r="Q62" s="255">
        <f>累计考核费用!Q137/10000</f>
        <v>0.8</v>
      </c>
      <c r="R62" s="255">
        <f>累计考核费用!R137/10000</f>
        <v>0.999</v>
      </c>
      <c r="S62" s="255">
        <f>累计考核费用!S137/10000</f>
        <v>0</v>
      </c>
      <c r="T62" s="255">
        <f>累计考核费用!T137/10000</f>
        <v>0.16</v>
      </c>
      <c r="U62" s="255">
        <f>累计考核费用!U137/10000</f>
        <v>0</v>
      </c>
      <c r="V62" s="255">
        <f>累计考核费用!V137/10000</f>
        <v>0.83899999999999997</v>
      </c>
      <c r="W62" s="255">
        <f>累计考核费用!W137/10000</f>
        <v>1.7096</v>
      </c>
      <c r="X62" s="255">
        <f>累计考核费用!X137/10000</f>
        <v>1.2290000000000001</v>
      </c>
      <c r="Y62" s="255">
        <f>累计考核费用!Y137/10000</f>
        <v>0.48060000000000003</v>
      </c>
      <c r="Z62" s="255">
        <f>累计考核费用!Z137/10000</f>
        <v>0.45200000000000001</v>
      </c>
      <c r="AA62" s="255">
        <f>累计考核费用!AA137/10000</f>
        <v>0</v>
      </c>
    </row>
    <row r="63" spans="1:27" s="27" customFormat="1" ht="14.25" thickBot="1">
      <c r="A63" s="321"/>
      <c r="B63" s="97" t="s">
        <v>69</v>
      </c>
      <c r="C63" s="255">
        <f>累计考核费用!C138/10000</f>
        <v>8257.8922619999994</v>
      </c>
      <c r="D63" s="255">
        <f>累计考核费用!D138/10000</f>
        <v>-2879.1643680000002</v>
      </c>
      <c r="E63" s="255">
        <f>累计考核费用!E138/10000</f>
        <v>1252.2233550000003</v>
      </c>
      <c r="F63" s="255">
        <f>累计考核费用!F138/10000</f>
        <v>6768.7179859999997</v>
      </c>
      <c r="G63" s="255">
        <f>累计考核费用!G138/10000</f>
        <v>223.56341599999996</v>
      </c>
      <c r="H63" s="255">
        <f>累计考核费用!H138/10000</f>
        <v>594.01523499999985</v>
      </c>
      <c r="I63" s="255">
        <f>累计考核费用!I138/10000</f>
        <v>198.59310500000001</v>
      </c>
      <c r="J63" s="255">
        <f>累计考核费用!J138/10000</f>
        <v>24.772631000000001</v>
      </c>
      <c r="K63" s="255">
        <f>累计考核费用!K138/10000</f>
        <v>105.81429100000001</v>
      </c>
      <c r="L63" s="255">
        <f>累计考核费用!L138/10000</f>
        <v>0</v>
      </c>
      <c r="M63" s="255">
        <f>累计考核费用!M138/10000</f>
        <v>93.207223000000013</v>
      </c>
      <c r="N63" s="255">
        <f>累计考核费用!N138/10000</f>
        <v>0</v>
      </c>
      <c r="O63" s="255">
        <f>累计考核费用!O138/10000</f>
        <v>60.757787999999998</v>
      </c>
      <c r="P63" s="255">
        <f>累计考核费用!P138/10000</f>
        <v>110.87019699999998</v>
      </c>
      <c r="Q63" s="255">
        <f>累计考核费用!Q138/10000</f>
        <v>220.236502</v>
      </c>
      <c r="R63" s="255">
        <f>累计考核费用!R138/10000</f>
        <v>1826.1119459999998</v>
      </c>
      <c r="S63" s="255">
        <f>累计考核费用!S138/10000</f>
        <v>0</v>
      </c>
      <c r="T63" s="255">
        <f>累计考核费用!T138/10000</f>
        <v>1379.265893</v>
      </c>
      <c r="U63" s="255">
        <f>累计考核费用!U138/10000</f>
        <v>396.41578599999997</v>
      </c>
      <c r="V63" s="255">
        <f>累计考核费用!V138/10000</f>
        <v>50.430266999999994</v>
      </c>
      <c r="W63" s="255">
        <f>累计考核费用!W138/10000</f>
        <v>90.776956999999982</v>
      </c>
      <c r="X63" s="255">
        <f>累计考核费用!X138/10000</f>
        <v>76.549753999999993</v>
      </c>
      <c r="Y63" s="255">
        <f>累计考核费用!Y138/10000</f>
        <v>14.227202999999999</v>
      </c>
      <c r="Z63" s="255">
        <f>累计考核费用!Z138/10000</f>
        <v>158.38376099999999</v>
      </c>
      <c r="AA63" s="255">
        <f>累计考核费用!AA138/10000</f>
        <v>3.0274720000000004</v>
      </c>
    </row>
    <row r="64" spans="1:27" s="27" customFormat="1">
      <c r="A64" s="319" t="s">
        <v>100</v>
      </c>
      <c r="B64" s="174" t="s">
        <v>78</v>
      </c>
      <c r="C64" s="255">
        <f>累计考核费用!C139/10000</f>
        <v>406.62935899999997</v>
      </c>
      <c r="D64" s="255">
        <f>累计考核费用!D139/10000</f>
        <v>0</v>
      </c>
      <c r="E64" s="255">
        <f>累计考核费用!E139/10000</f>
        <v>97.945571000000001</v>
      </c>
      <c r="F64" s="255">
        <f>累计考核费用!F139/10000</f>
        <v>273.88802999999996</v>
      </c>
      <c r="G64" s="255">
        <f>累计考核费用!G139/10000</f>
        <v>2.9544630000000001</v>
      </c>
      <c r="H64" s="255">
        <f>累计考核费用!H139/10000</f>
        <v>15.728436000000002</v>
      </c>
      <c r="I64" s="255">
        <f>累计考核费用!I139/10000</f>
        <v>3.6308370000000001</v>
      </c>
      <c r="J64" s="255">
        <f>累计考核费用!J139/10000</f>
        <v>0</v>
      </c>
      <c r="K64" s="255">
        <f>累计考核费用!K139/10000</f>
        <v>3.6308370000000001</v>
      </c>
      <c r="L64" s="255">
        <f>累计考核费用!L139/10000</f>
        <v>0</v>
      </c>
      <c r="M64" s="255">
        <f>累计考核费用!M139/10000</f>
        <v>3.6308370000000001</v>
      </c>
      <c r="N64" s="255">
        <f>累计考核费用!N139/10000</f>
        <v>0</v>
      </c>
      <c r="O64" s="255">
        <f>累计考核费用!O139/10000</f>
        <v>1.2050880000000002</v>
      </c>
      <c r="P64" s="255">
        <f>累计考核费用!P139/10000</f>
        <v>3.6308370000000001</v>
      </c>
      <c r="Q64" s="255">
        <f>累计考核费用!Q139/10000</f>
        <v>0</v>
      </c>
      <c r="R64" s="255">
        <f>累计考核费用!R139/10000</f>
        <v>8.3496360000000003</v>
      </c>
      <c r="S64" s="255">
        <f>累计考核费用!S139/10000</f>
        <v>0</v>
      </c>
      <c r="T64" s="255">
        <f>累计考核费用!T139/10000</f>
        <v>2.6088400000000003</v>
      </c>
      <c r="U64" s="255">
        <f>累计考核费用!U139/10000</f>
        <v>3.0871459999999997</v>
      </c>
      <c r="V64" s="255">
        <f>累计考核费用!V139/10000</f>
        <v>2.6536499999999998</v>
      </c>
      <c r="W64" s="255">
        <f>累计考核费用!W139/10000</f>
        <v>3.7414260000000001</v>
      </c>
      <c r="X64" s="255">
        <f>累计考核费用!X139/10000</f>
        <v>3.7414260000000001</v>
      </c>
      <c r="Y64" s="255">
        <f>累计考核费用!Y139/10000</f>
        <v>0</v>
      </c>
      <c r="Z64" s="255">
        <f>累计考核费用!Z139/10000</f>
        <v>3.9770519999999996</v>
      </c>
      <c r="AA64" s="255">
        <f>累计考核费用!AA139/10000</f>
        <v>4.4745E-2</v>
      </c>
    </row>
    <row r="65" spans="1:27" s="27" customFormat="1">
      <c r="A65" s="320"/>
      <c r="B65" s="174" t="s">
        <v>79</v>
      </c>
      <c r="C65" s="255">
        <f>累计考核费用!C140/10000</f>
        <v>518.06017499999996</v>
      </c>
      <c r="D65" s="255">
        <f>累计考核费用!D140/10000</f>
        <v>-0.61180000000000001</v>
      </c>
      <c r="E65" s="255">
        <f>累计考核费用!E140/10000</f>
        <v>105.319222</v>
      </c>
      <c r="F65" s="255">
        <f>累计考核费用!F140/10000</f>
        <v>205.68893300000002</v>
      </c>
      <c r="G65" s="255">
        <f>累计考核费用!G140/10000</f>
        <v>8.7161109999999979</v>
      </c>
      <c r="H65" s="255">
        <f>累计考核费用!H140/10000</f>
        <v>43.726519999999994</v>
      </c>
      <c r="I65" s="255">
        <f>累计考核费用!I140/10000</f>
        <v>13.623926999999998</v>
      </c>
      <c r="J65" s="255">
        <f>累计考核费用!J140/10000</f>
        <v>1.3221399999999999</v>
      </c>
      <c r="K65" s="255">
        <f>累计考核费用!K140/10000</f>
        <v>5.6293149999999992</v>
      </c>
      <c r="L65" s="255">
        <f>累计考核费用!L140/10000</f>
        <v>0</v>
      </c>
      <c r="M65" s="255">
        <f>累计考核费用!M140/10000</f>
        <v>5.189838</v>
      </c>
      <c r="N65" s="255">
        <f>累计考核费用!N140/10000</f>
        <v>0</v>
      </c>
      <c r="O65" s="255">
        <f>累计考核费用!O140/10000</f>
        <v>10.270717999999999</v>
      </c>
      <c r="P65" s="255">
        <f>累计考核费用!P140/10000</f>
        <v>7.6905819999999991</v>
      </c>
      <c r="Q65" s="255">
        <f>累计考核费用!Q140/10000</f>
        <v>9.2179650000000013</v>
      </c>
      <c r="R65" s="255">
        <f>累计考核费用!R140/10000</f>
        <v>132.04042400000003</v>
      </c>
      <c r="S65" s="255">
        <f>累计考核费用!S140/10000</f>
        <v>0</v>
      </c>
      <c r="T65" s="255">
        <f>累计考核费用!T140/10000</f>
        <v>124.578577</v>
      </c>
      <c r="U65" s="255">
        <f>累计考核费用!U140/10000</f>
        <v>4.0672110000000004</v>
      </c>
      <c r="V65" s="255">
        <f>累计考核费用!V140/10000</f>
        <v>3.3946360000000002</v>
      </c>
      <c r="W65" s="255">
        <f>累计考核费用!W140/10000</f>
        <v>3.641572</v>
      </c>
      <c r="X65" s="255">
        <f>累计考核费用!X140/10000</f>
        <v>2.9416290000000003</v>
      </c>
      <c r="Y65" s="255">
        <f>累计考核费用!Y140/10000</f>
        <v>0.69994299999999998</v>
      </c>
      <c r="Z65" s="255">
        <f>累计考核费用!Z140/10000</f>
        <v>10.316827999999999</v>
      </c>
      <c r="AA65" s="255">
        <f>累计考核费用!AA140/10000</f>
        <v>4.4000000000000003E-3</v>
      </c>
    </row>
    <row r="66" spans="1:27" s="27" customFormat="1">
      <c r="A66" s="320"/>
      <c r="B66" s="174" t="s">
        <v>83</v>
      </c>
      <c r="C66" s="255">
        <f>累计考核费用!C141/10000</f>
        <v>163.06842599999999</v>
      </c>
      <c r="D66" s="255">
        <f>累计考核费用!D141/10000</f>
        <v>0</v>
      </c>
      <c r="E66" s="255">
        <f>累计考核费用!E141/10000</f>
        <v>158.41706299999998</v>
      </c>
      <c r="F66" s="255">
        <f>累计考核费用!F141/10000</f>
        <v>0.87777799999999984</v>
      </c>
      <c r="G66" s="255">
        <f>累计考核费用!G141/10000</f>
        <v>0</v>
      </c>
      <c r="H66" s="255">
        <f>累计考核费用!H141/10000</f>
        <v>0</v>
      </c>
      <c r="I66" s="255">
        <f>累计考核费用!I141/10000</f>
        <v>0</v>
      </c>
      <c r="J66" s="255">
        <f>累计考核费用!J141/10000</f>
        <v>0</v>
      </c>
      <c r="K66" s="255">
        <f>累计考核费用!K141/10000</f>
        <v>0</v>
      </c>
      <c r="L66" s="255">
        <f>累计考核费用!L141/10000</f>
        <v>0</v>
      </c>
      <c r="M66" s="255">
        <f>累计考核费用!M141/10000</f>
        <v>0</v>
      </c>
      <c r="N66" s="255">
        <f>累计考核费用!N141/10000</f>
        <v>0</v>
      </c>
      <c r="O66" s="255">
        <f>累计考核费用!O141/10000</f>
        <v>0</v>
      </c>
      <c r="P66" s="255">
        <f>累计考核费用!P141/10000</f>
        <v>0</v>
      </c>
      <c r="Q66" s="255">
        <f>累计考核费用!Q141/10000</f>
        <v>3.7735849999999997</v>
      </c>
      <c r="R66" s="255">
        <f>累计考核费用!R141/10000</f>
        <v>0</v>
      </c>
      <c r="S66" s="255">
        <f>累计考核费用!S141/10000</f>
        <v>0</v>
      </c>
      <c r="T66" s="255">
        <f>累计考核费用!T141/10000</f>
        <v>0</v>
      </c>
      <c r="U66" s="255">
        <f>累计考核费用!U141/10000</f>
        <v>0</v>
      </c>
      <c r="V66" s="255">
        <f>累计考核费用!V141/10000</f>
        <v>0</v>
      </c>
      <c r="W66" s="255">
        <f>累计考核费用!W141/10000</f>
        <v>0</v>
      </c>
      <c r="X66" s="255">
        <f>累计考核费用!X141/10000</f>
        <v>0</v>
      </c>
      <c r="Y66" s="255">
        <f>累计考核费用!Y141/10000</f>
        <v>0</v>
      </c>
      <c r="Z66" s="255">
        <f>累计考核费用!Z141/10000</f>
        <v>0</v>
      </c>
      <c r="AA66" s="255">
        <f>累计考核费用!AA141/10000</f>
        <v>0</v>
      </c>
    </row>
    <row r="67" spans="1:27" s="27" customFormat="1">
      <c r="A67" s="320"/>
      <c r="B67" s="174" t="s">
        <v>87</v>
      </c>
      <c r="C67" s="255">
        <f>累计考核费用!C142/10000</f>
        <v>234.11108199999998</v>
      </c>
      <c r="D67" s="255">
        <f>累计考核费用!D142/10000</f>
        <v>0</v>
      </c>
      <c r="E67" s="255">
        <f>累计考核费用!E142/10000</f>
        <v>28.402479</v>
      </c>
      <c r="F67" s="255">
        <f>累计考核费用!F142/10000</f>
        <v>191.60936799999996</v>
      </c>
      <c r="G67" s="255">
        <f>累计考核费用!G142/10000</f>
        <v>1.6935719999999999</v>
      </c>
      <c r="H67" s="255">
        <f>累计考核费用!H142/10000</f>
        <v>7.7835479999999997</v>
      </c>
      <c r="I67" s="255">
        <f>累计考核费用!I142/10000</f>
        <v>1.8926199999999997</v>
      </c>
      <c r="J67" s="255">
        <f>累计考核费用!J142/10000</f>
        <v>0</v>
      </c>
      <c r="K67" s="255">
        <f>累计考核费用!K142/10000</f>
        <v>2.1494119999999999</v>
      </c>
      <c r="L67" s="255">
        <f>累计考核费用!L142/10000</f>
        <v>0</v>
      </c>
      <c r="M67" s="255">
        <f>累计考核费用!M142/10000</f>
        <v>1.8926199999999997</v>
      </c>
      <c r="N67" s="255">
        <f>累计考核费用!N142/10000</f>
        <v>0</v>
      </c>
      <c r="O67" s="255">
        <f>累计考核费用!O142/10000</f>
        <v>-0.19786199999999998</v>
      </c>
      <c r="P67" s="255">
        <f>累计考核费用!P142/10000</f>
        <v>2.0467579999999996</v>
      </c>
      <c r="Q67" s="255">
        <f>累计考核费用!Q142/10000</f>
        <v>0</v>
      </c>
      <c r="R67" s="255">
        <f>累计考核费用!R142/10000</f>
        <v>0</v>
      </c>
      <c r="S67" s="255">
        <f>累计考核费用!S142/10000</f>
        <v>0</v>
      </c>
      <c r="T67" s="255">
        <f>累计考核费用!T142/10000</f>
        <v>0</v>
      </c>
      <c r="U67" s="255">
        <f>累计考核费用!U142/10000</f>
        <v>0</v>
      </c>
      <c r="V67" s="255">
        <f>累计考核费用!V142/10000</f>
        <v>0</v>
      </c>
      <c r="W67" s="255">
        <f>累计考核费用!W142/10000</f>
        <v>3.0053860000000001</v>
      </c>
      <c r="X67" s="255">
        <f>累计考核费用!X142/10000</f>
        <v>3.0053860000000001</v>
      </c>
      <c r="Y67" s="255">
        <f>累计考核费用!Y142/10000</f>
        <v>0</v>
      </c>
      <c r="Z67" s="255">
        <f>累计考核费用!Z142/10000</f>
        <v>1.6167290000000001</v>
      </c>
      <c r="AA67" s="255">
        <f>累计考核费用!AA142/10000</f>
        <v>0</v>
      </c>
    </row>
    <row r="68" spans="1:27" s="27" customFormat="1">
      <c r="A68" s="320"/>
      <c r="B68" s="174" t="s">
        <v>91</v>
      </c>
      <c r="C68" s="255">
        <f>累计考核费用!C143/10000</f>
        <v>14.869280999999999</v>
      </c>
      <c r="D68" s="255">
        <f>累计考核费用!D143/10000</f>
        <v>0</v>
      </c>
      <c r="E68" s="255">
        <f>累计考核费用!E143/10000</f>
        <v>14.869280999999999</v>
      </c>
      <c r="F68" s="255">
        <f>累计考核费用!F143/10000</f>
        <v>0</v>
      </c>
      <c r="G68" s="255">
        <f>累计考核费用!G143/10000</f>
        <v>0</v>
      </c>
      <c r="H68" s="255">
        <f>累计考核费用!H143/10000</f>
        <v>0</v>
      </c>
      <c r="I68" s="255">
        <f>累计考核费用!I143/10000</f>
        <v>0</v>
      </c>
      <c r="J68" s="255">
        <f>累计考核费用!J143/10000</f>
        <v>0</v>
      </c>
      <c r="K68" s="255">
        <f>累计考核费用!K143/10000</f>
        <v>0</v>
      </c>
      <c r="L68" s="255">
        <f>累计考核费用!L143/10000</f>
        <v>0</v>
      </c>
      <c r="M68" s="255">
        <f>累计考核费用!M143/10000</f>
        <v>0</v>
      </c>
      <c r="N68" s="255">
        <f>累计考核费用!N143/10000</f>
        <v>0</v>
      </c>
      <c r="O68" s="255">
        <f>累计考核费用!O143/10000</f>
        <v>0</v>
      </c>
      <c r="P68" s="255">
        <f>累计考核费用!P143/10000</f>
        <v>0</v>
      </c>
      <c r="Q68" s="255">
        <f>累计考核费用!Q143/10000</f>
        <v>0</v>
      </c>
      <c r="R68" s="255">
        <f>累计考核费用!R143/10000</f>
        <v>0</v>
      </c>
      <c r="S68" s="255">
        <f>累计考核费用!S143/10000</f>
        <v>0</v>
      </c>
      <c r="T68" s="255">
        <f>累计考核费用!T143/10000</f>
        <v>0</v>
      </c>
      <c r="U68" s="255">
        <f>累计考核费用!U143/10000</f>
        <v>0</v>
      </c>
      <c r="V68" s="255">
        <f>累计考核费用!V143/10000</f>
        <v>0</v>
      </c>
      <c r="W68" s="255">
        <f>累计考核费用!W143/10000</f>
        <v>0</v>
      </c>
      <c r="X68" s="255">
        <f>累计考核费用!X143/10000</f>
        <v>0</v>
      </c>
      <c r="Y68" s="255">
        <f>累计考核费用!Y143/10000</f>
        <v>0</v>
      </c>
      <c r="Z68" s="255">
        <f>累计考核费用!Z143/10000</f>
        <v>0</v>
      </c>
      <c r="AA68" s="255">
        <f>累计考核费用!AA143/10000</f>
        <v>0</v>
      </c>
    </row>
    <row r="69" spans="1:27" s="27" customFormat="1">
      <c r="A69" s="320"/>
      <c r="B69" s="174" t="s">
        <v>92</v>
      </c>
      <c r="C69" s="255">
        <f>累计考核费用!C144/10000</f>
        <v>65.151127000000002</v>
      </c>
      <c r="D69" s="255">
        <f>累计考核费用!D144/10000</f>
        <v>0</v>
      </c>
      <c r="E69" s="255">
        <f>累计考核费用!E144/10000</f>
        <v>17.894249000000002</v>
      </c>
      <c r="F69" s="255">
        <f>累计考核费用!F144/10000</f>
        <v>40.351877999999999</v>
      </c>
      <c r="G69" s="255">
        <f>累计考核费用!G144/10000</f>
        <v>0</v>
      </c>
      <c r="H69" s="255">
        <f>累计考核费用!H144/10000</f>
        <v>2.309688</v>
      </c>
      <c r="I69" s="255">
        <f>累计考核费用!I144/10000</f>
        <v>0.47820000000000001</v>
      </c>
      <c r="J69" s="255">
        <f>累计考核费用!J144/10000</f>
        <v>0</v>
      </c>
      <c r="K69" s="255">
        <f>累计考核费用!K144/10000</f>
        <v>0.47820000000000001</v>
      </c>
      <c r="L69" s="255">
        <f>累计考核费用!L144/10000</f>
        <v>0</v>
      </c>
      <c r="M69" s="255">
        <f>累计考核费用!M144/10000</f>
        <v>0.47820000000000001</v>
      </c>
      <c r="N69" s="255">
        <f>累计考核费用!N144/10000</f>
        <v>0</v>
      </c>
      <c r="O69" s="255">
        <f>累计考核费用!O144/10000</f>
        <v>0.39688800000000002</v>
      </c>
      <c r="P69" s="255">
        <f>累计考核费用!P144/10000</f>
        <v>0.47820000000000001</v>
      </c>
      <c r="Q69" s="255">
        <f>累计考核费用!Q144/10000</f>
        <v>0</v>
      </c>
      <c r="R69" s="255">
        <f>累计考核费用!R144/10000</f>
        <v>4.5362</v>
      </c>
      <c r="S69" s="255">
        <f>累计考核费用!S144/10000</f>
        <v>0</v>
      </c>
      <c r="T69" s="255">
        <f>累计考核费用!T144/10000</f>
        <v>0.27610000000000001</v>
      </c>
      <c r="U69" s="255">
        <f>累计考核费用!U144/10000</f>
        <v>0.39910000000000001</v>
      </c>
      <c r="V69" s="255">
        <f>累计考核费用!V144/10000</f>
        <v>3.8610000000000002</v>
      </c>
      <c r="W69" s="255">
        <f>累计考核费用!W144/10000</f>
        <v>0.03</v>
      </c>
      <c r="X69" s="255">
        <f>累计考核费用!X144/10000</f>
        <v>0.03</v>
      </c>
      <c r="Y69" s="255">
        <f>累计考核费用!Y144/10000</f>
        <v>0</v>
      </c>
      <c r="Z69" s="255">
        <f>累计考核费用!Z144/10000</f>
        <v>0</v>
      </c>
      <c r="AA69" s="255">
        <f>累计考核费用!AA144/10000</f>
        <v>2.9111999999999999E-2</v>
      </c>
    </row>
    <row r="70" spans="1:27" s="27" customFormat="1">
      <c r="A70" s="320"/>
      <c r="B70" s="174" t="s">
        <v>95</v>
      </c>
      <c r="C70" s="255">
        <f>累计考核费用!C145/10000</f>
        <v>232.557267</v>
      </c>
      <c r="D70" s="255">
        <f>累计考核费用!D145/10000</f>
        <v>0</v>
      </c>
      <c r="E70" s="255">
        <f>累计考核费用!E145/10000</f>
        <v>159.7217</v>
      </c>
      <c r="F70" s="255">
        <f>累计考核费用!F145/10000</f>
        <v>29.713000000000001</v>
      </c>
      <c r="G70" s="255">
        <f>累计考核费用!G145/10000</f>
        <v>42.622566999999997</v>
      </c>
      <c r="H70" s="255">
        <f>累计考核费用!H145/10000</f>
        <v>0</v>
      </c>
      <c r="I70" s="255">
        <f>累计考核费用!I145/10000</f>
        <v>0</v>
      </c>
      <c r="J70" s="255">
        <f>累计考核费用!J145/10000</f>
        <v>0</v>
      </c>
      <c r="K70" s="255">
        <f>累计考核费用!K145/10000</f>
        <v>0</v>
      </c>
      <c r="L70" s="255">
        <f>累计考核费用!L145/10000</f>
        <v>0</v>
      </c>
      <c r="M70" s="255">
        <f>累计考核费用!M145/10000</f>
        <v>0</v>
      </c>
      <c r="N70" s="255">
        <f>累计考核费用!N145/10000</f>
        <v>0</v>
      </c>
      <c r="O70" s="255">
        <f>累计考核费用!O145/10000</f>
        <v>0</v>
      </c>
      <c r="P70" s="255">
        <f>累计考核费用!P145/10000</f>
        <v>0</v>
      </c>
      <c r="Q70" s="255">
        <f>累计考核费用!Q145/10000</f>
        <v>0</v>
      </c>
      <c r="R70" s="255">
        <f>累计考核费用!R145/10000</f>
        <v>0</v>
      </c>
      <c r="S70" s="255">
        <f>累计考核费用!S145/10000</f>
        <v>0</v>
      </c>
      <c r="T70" s="255">
        <f>累计考核费用!T145/10000</f>
        <v>0</v>
      </c>
      <c r="U70" s="255">
        <f>累计考核费用!U145/10000</f>
        <v>0</v>
      </c>
      <c r="V70" s="255">
        <f>累计考核费用!V145/10000</f>
        <v>0</v>
      </c>
      <c r="W70" s="255">
        <f>累计考核费用!W145/10000</f>
        <v>0.5</v>
      </c>
      <c r="X70" s="255">
        <f>累计考核费用!X145/10000</f>
        <v>0.5</v>
      </c>
      <c r="Y70" s="255">
        <f>累计考核费用!Y145/10000</f>
        <v>0</v>
      </c>
      <c r="Z70" s="255">
        <f>累计考核费用!Z145/10000</f>
        <v>0</v>
      </c>
      <c r="AA70" s="255">
        <f>累计考核费用!AA145/10000</f>
        <v>0</v>
      </c>
    </row>
    <row r="71" spans="1:27" s="27" customFormat="1">
      <c r="A71" s="320"/>
      <c r="B71" s="174" t="s">
        <v>97</v>
      </c>
      <c r="C71" s="255">
        <f>累计考核费用!C146/10000</f>
        <v>41.294813999999995</v>
      </c>
      <c r="D71" s="255">
        <f>累计考核费用!D146/10000</f>
        <v>0</v>
      </c>
      <c r="E71" s="255">
        <f>累计考核费用!E146/10000</f>
        <v>27.946582999999997</v>
      </c>
      <c r="F71" s="255">
        <f>累计考核费用!F146/10000</f>
        <v>0</v>
      </c>
      <c r="G71" s="255">
        <f>累计考核费用!G146/10000</f>
        <v>0</v>
      </c>
      <c r="H71" s="255">
        <f>累计考核费用!H146/10000</f>
        <v>0</v>
      </c>
      <c r="I71" s="255">
        <f>累计考核费用!I146/10000</f>
        <v>0</v>
      </c>
      <c r="J71" s="255">
        <f>累计考核费用!J146/10000</f>
        <v>0</v>
      </c>
      <c r="K71" s="255">
        <f>累计考核费用!K146/10000</f>
        <v>0</v>
      </c>
      <c r="L71" s="255">
        <f>累计考核费用!L146/10000</f>
        <v>0</v>
      </c>
      <c r="M71" s="255">
        <f>累计考核费用!M146/10000</f>
        <v>0</v>
      </c>
      <c r="N71" s="255">
        <f>累计考核费用!N146/10000</f>
        <v>0</v>
      </c>
      <c r="O71" s="255">
        <f>累计考核费用!O146/10000</f>
        <v>0</v>
      </c>
      <c r="P71" s="255">
        <f>累计考核费用!P146/10000</f>
        <v>0</v>
      </c>
      <c r="Q71" s="255">
        <f>累计考核费用!Q146/10000</f>
        <v>2.8301889999999998</v>
      </c>
      <c r="R71" s="255">
        <f>累计考核费用!R146/10000</f>
        <v>10.518041999999998</v>
      </c>
      <c r="S71" s="255">
        <f>累计考核费用!S146/10000</f>
        <v>0</v>
      </c>
      <c r="T71" s="255">
        <f>累计考核费用!T146/10000</f>
        <v>6.7169799999999986</v>
      </c>
      <c r="U71" s="255">
        <f>累计考核费用!U146/10000</f>
        <v>3.8010620000000004</v>
      </c>
      <c r="V71" s="255">
        <f>累计考核费用!V146/10000</f>
        <v>0</v>
      </c>
      <c r="W71" s="255">
        <f>累计考核费用!W146/10000</f>
        <v>0</v>
      </c>
      <c r="X71" s="255">
        <f>累计考核费用!X146/10000</f>
        <v>0</v>
      </c>
      <c r="Y71" s="255">
        <f>累计考核费用!Y146/10000</f>
        <v>0</v>
      </c>
      <c r="Z71" s="255">
        <f>累计考核费用!Z146/10000</f>
        <v>0</v>
      </c>
      <c r="AA71" s="255">
        <f>累计考核费用!AA146/10000</f>
        <v>0</v>
      </c>
    </row>
    <row r="72" spans="1:27" s="27" customFormat="1">
      <c r="A72" s="320"/>
      <c r="B72" s="174" t="s">
        <v>98</v>
      </c>
      <c r="C72" s="255">
        <f>累计考核费用!C147/10000</f>
        <v>3.5000000000000003E-2</v>
      </c>
      <c r="D72" s="255">
        <f>累计考核费用!D147/10000</f>
        <v>0</v>
      </c>
      <c r="E72" s="255">
        <f>累计考核费用!E147/10000</f>
        <v>0</v>
      </c>
      <c r="F72" s="255">
        <f>累计考核费用!F147/10000</f>
        <v>-0.105</v>
      </c>
      <c r="G72" s="255">
        <f>累计考核费用!G147/10000</f>
        <v>0</v>
      </c>
      <c r="H72" s="255">
        <f>累计考核费用!H147/10000</f>
        <v>0.14000000000000001</v>
      </c>
      <c r="I72" s="255">
        <f>累计考核费用!I147/10000</f>
        <v>0.14000000000000001</v>
      </c>
      <c r="J72" s="255">
        <f>累计考核费用!J147/10000</f>
        <v>0</v>
      </c>
      <c r="K72" s="255">
        <f>累计考核费用!K147/10000</f>
        <v>0</v>
      </c>
      <c r="L72" s="255">
        <f>累计考核费用!L147/10000</f>
        <v>0</v>
      </c>
      <c r="M72" s="255">
        <f>累计考核费用!M147/10000</f>
        <v>0</v>
      </c>
      <c r="N72" s="255">
        <f>累计考核费用!N147/10000</f>
        <v>0</v>
      </c>
      <c r="O72" s="255">
        <f>累计考核费用!O147/10000</f>
        <v>0</v>
      </c>
      <c r="P72" s="255">
        <f>累计考核费用!P147/10000</f>
        <v>0</v>
      </c>
      <c r="Q72" s="255">
        <f>累计考核费用!Q147/10000</f>
        <v>0</v>
      </c>
      <c r="R72" s="255">
        <f>累计考核费用!R147/10000</f>
        <v>0</v>
      </c>
      <c r="S72" s="255">
        <f>累计考核费用!S147/10000</f>
        <v>0</v>
      </c>
      <c r="T72" s="255">
        <f>累计考核费用!T147/10000</f>
        <v>0</v>
      </c>
      <c r="U72" s="255">
        <f>累计考核费用!U147/10000</f>
        <v>0</v>
      </c>
      <c r="V72" s="255">
        <f>累计考核费用!V147/10000</f>
        <v>0</v>
      </c>
      <c r="W72" s="255">
        <f>累计考核费用!W147/10000</f>
        <v>0</v>
      </c>
      <c r="X72" s="255">
        <f>累计考核费用!X147/10000</f>
        <v>0</v>
      </c>
      <c r="Y72" s="255">
        <f>累计考核费用!Y147/10000</f>
        <v>0</v>
      </c>
      <c r="Z72" s="255">
        <f>累计考核费用!Z147/10000</f>
        <v>0</v>
      </c>
      <c r="AA72" s="255">
        <f>累计考核费用!AA147/10000</f>
        <v>0</v>
      </c>
    </row>
    <row r="73" spans="1:27" s="27" customFormat="1">
      <c r="A73" s="320"/>
      <c r="B73" s="174" t="s">
        <v>101</v>
      </c>
      <c r="C73" s="255">
        <f>累计考核费用!C148/10000</f>
        <v>1182.7669299999998</v>
      </c>
      <c r="D73" s="255">
        <f>累计考核费用!D148/10000</f>
        <v>0</v>
      </c>
      <c r="E73" s="255">
        <f>累计考核费用!E148/10000</f>
        <v>212.82240099999999</v>
      </c>
      <c r="F73" s="255">
        <f>累计考核费用!F148/10000</f>
        <v>853.70444899999984</v>
      </c>
      <c r="G73" s="255">
        <f>累计考核费用!G148/10000</f>
        <v>4.2871169999999994</v>
      </c>
      <c r="H73" s="255">
        <f>累计考核费用!H148/10000</f>
        <v>90.314813000000001</v>
      </c>
      <c r="I73" s="255">
        <f>累计考核费用!I148/10000</f>
        <v>6.5344930000000003</v>
      </c>
      <c r="J73" s="255">
        <f>累计考核费用!J148/10000</f>
        <v>15.251021</v>
      </c>
      <c r="K73" s="255">
        <f>累计考核费用!K148/10000</f>
        <v>20.948557999999998</v>
      </c>
      <c r="L73" s="255">
        <f>累计考核费用!L148/10000</f>
        <v>0</v>
      </c>
      <c r="M73" s="255">
        <f>累计考核费用!M148/10000</f>
        <v>18.089362000000001</v>
      </c>
      <c r="N73" s="255">
        <f>累计考核费用!N148/10000</f>
        <v>0</v>
      </c>
      <c r="O73" s="255">
        <f>累计考核费用!O148/10000</f>
        <v>0.25</v>
      </c>
      <c r="P73" s="255">
        <f>累计考核费用!P148/10000</f>
        <v>29.241379000000002</v>
      </c>
      <c r="Q73" s="255">
        <f>累计考核费用!Q148/10000</f>
        <v>0</v>
      </c>
      <c r="R73" s="255">
        <f>累计考核费用!R148/10000</f>
        <v>0</v>
      </c>
      <c r="S73" s="255">
        <f>累计考核费用!S148/10000</f>
        <v>0</v>
      </c>
      <c r="T73" s="255">
        <f>累计考核费用!T148/10000</f>
        <v>0</v>
      </c>
      <c r="U73" s="255">
        <f>累计考核费用!U148/10000</f>
        <v>0</v>
      </c>
      <c r="V73" s="255">
        <f>累计考核费用!V148/10000</f>
        <v>0</v>
      </c>
      <c r="W73" s="255">
        <f>累计考核费用!W148/10000</f>
        <v>0</v>
      </c>
      <c r="X73" s="255">
        <f>累计考核费用!X148/10000</f>
        <v>0</v>
      </c>
      <c r="Y73" s="255">
        <f>累计考核费用!Y148/10000</f>
        <v>0</v>
      </c>
      <c r="Z73" s="255">
        <f>累计考核费用!Z148/10000</f>
        <v>21.238150000000005</v>
      </c>
      <c r="AA73" s="255">
        <f>累计考核费用!AA148/10000</f>
        <v>0.4</v>
      </c>
    </row>
    <row r="74" spans="1:27" s="27" customFormat="1">
      <c r="A74" s="320"/>
      <c r="B74" s="174" t="s">
        <v>102</v>
      </c>
      <c r="C74" s="255">
        <f>累计考核费用!C149/10000</f>
        <v>307.22923400000002</v>
      </c>
      <c r="D74" s="255">
        <f>累计考核费用!D149/10000</f>
        <v>0</v>
      </c>
      <c r="E74" s="255">
        <f>累计考核费用!E149/10000</f>
        <v>105.41875800000001</v>
      </c>
      <c r="F74" s="255">
        <f>累计考核费用!F149/10000</f>
        <v>163.109723</v>
      </c>
      <c r="G74" s="255">
        <f>累计考核费用!G149/10000</f>
        <v>0.98932000000000009</v>
      </c>
      <c r="H74" s="255">
        <f>累计考核费用!H149/10000</f>
        <v>33.352173999999998</v>
      </c>
      <c r="I74" s="255">
        <f>累计考核费用!I149/10000</f>
        <v>7.6360000000000001</v>
      </c>
      <c r="J74" s="255">
        <f>累计考核费用!J149/10000</f>
        <v>0</v>
      </c>
      <c r="K74" s="255">
        <f>累计考核费用!K149/10000</f>
        <v>0.23034000000000002</v>
      </c>
      <c r="L74" s="255">
        <f>累计考核费用!L149/10000</f>
        <v>0</v>
      </c>
      <c r="M74" s="255">
        <f>累计考核费用!M149/10000</f>
        <v>11.202036999999999</v>
      </c>
      <c r="N74" s="255">
        <f>累计考核费用!N149/10000</f>
        <v>0</v>
      </c>
      <c r="O74" s="255">
        <f>累计考核费用!O149/10000</f>
        <v>0</v>
      </c>
      <c r="P74" s="255">
        <f>累计考核费用!P149/10000</f>
        <v>14.283797</v>
      </c>
      <c r="Q74" s="255">
        <f>累计考核费用!Q149/10000</f>
        <v>0.29339700000000002</v>
      </c>
      <c r="R74" s="255">
        <f>累计考核费用!R149/10000</f>
        <v>0.16</v>
      </c>
      <c r="S74" s="255">
        <f>累计考核费用!S149/10000</f>
        <v>0</v>
      </c>
      <c r="T74" s="255">
        <f>累计考核费用!T149/10000</f>
        <v>0.16</v>
      </c>
      <c r="U74" s="255">
        <f>累计考核费用!U149/10000</f>
        <v>0</v>
      </c>
      <c r="V74" s="255">
        <f>累计考核费用!V149/10000</f>
        <v>0</v>
      </c>
      <c r="W74" s="255">
        <f>累计考核费用!W149/10000</f>
        <v>0.28799999999999998</v>
      </c>
      <c r="X74" s="255">
        <f>累计考核费用!X149/10000</f>
        <v>0.28799999999999998</v>
      </c>
      <c r="Y74" s="255">
        <f>累计考核费用!Y149/10000</f>
        <v>0</v>
      </c>
      <c r="Z74" s="255">
        <f>累计考核费用!Z149/10000</f>
        <v>3.6178619999999997</v>
      </c>
      <c r="AA74" s="255">
        <f>累计考核费用!AA149/10000</f>
        <v>0</v>
      </c>
    </row>
    <row r="75" spans="1:27" s="27" customFormat="1">
      <c r="A75" s="320"/>
      <c r="B75" s="174" t="s">
        <v>103</v>
      </c>
      <c r="C75" s="255">
        <f>累计考核费用!C150/10000</f>
        <v>3305.0375500000009</v>
      </c>
      <c r="D75" s="255">
        <f>累计考核费用!D150/10000</f>
        <v>34.691023999999999</v>
      </c>
      <c r="E75" s="255">
        <f>累计考核费用!E150/10000</f>
        <v>376.09691499999997</v>
      </c>
      <c r="F75" s="255">
        <f>累计考核费用!F150/10000</f>
        <v>2429.1063230000004</v>
      </c>
      <c r="G75" s="255">
        <f>累计考核费用!G150/10000</f>
        <v>29.845303999999999</v>
      </c>
      <c r="H75" s="255">
        <f>累计考核费用!H150/10000</f>
        <v>230.14825499999998</v>
      </c>
      <c r="I75" s="255">
        <f>累计考核费用!I150/10000</f>
        <v>38.439366999999997</v>
      </c>
      <c r="J75" s="255">
        <f>累计考核费用!J150/10000</f>
        <v>0</v>
      </c>
      <c r="K75" s="255">
        <f>累计考核费用!K150/10000</f>
        <v>38.438867000000002</v>
      </c>
      <c r="L75" s="255">
        <f>累计考核费用!L150/10000</f>
        <v>0</v>
      </c>
      <c r="M75" s="255">
        <f>累计考核费用!M150/10000</f>
        <v>37.497246999999994</v>
      </c>
      <c r="N75" s="255">
        <f>累计考核费用!N150/10000</f>
        <v>0</v>
      </c>
      <c r="O75" s="255">
        <f>累计考核费用!O150/10000</f>
        <v>78.429665000000014</v>
      </c>
      <c r="P75" s="255">
        <f>累计考核费用!P150/10000</f>
        <v>37.343108999999998</v>
      </c>
      <c r="Q75" s="255">
        <f>累计考核费用!Q150/10000</f>
        <v>0</v>
      </c>
      <c r="R75" s="255">
        <f>累计考核费用!R150/10000</f>
        <v>69.058516000000012</v>
      </c>
      <c r="S75" s="255">
        <f>累计考核费用!S150/10000</f>
        <v>0</v>
      </c>
      <c r="T75" s="255">
        <f>累计考核费用!T150/10000</f>
        <v>24.873247000000003</v>
      </c>
      <c r="U75" s="255">
        <f>累计考核费用!U150/10000</f>
        <v>25.086788000000002</v>
      </c>
      <c r="V75" s="255">
        <f>累计考核费用!V150/10000</f>
        <v>19.098481000000003</v>
      </c>
      <c r="W75" s="255">
        <f>累计考核费用!W150/10000</f>
        <v>57.406228000000006</v>
      </c>
      <c r="X75" s="255">
        <f>累计考核费用!X150/10000</f>
        <v>57.406228000000006</v>
      </c>
      <c r="Y75" s="255">
        <f>累计考核费用!Y150/10000</f>
        <v>0</v>
      </c>
      <c r="Z75" s="255">
        <f>累计考核费用!Z150/10000</f>
        <v>63.467193000000002</v>
      </c>
      <c r="AA75" s="255">
        <f>累计考核费用!AA150/10000</f>
        <v>15.217792000000001</v>
      </c>
    </row>
    <row r="76" spans="1:27" s="27" customFormat="1">
      <c r="A76" s="320"/>
      <c r="B76" s="174" t="s">
        <v>104</v>
      </c>
      <c r="C76" s="255">
        <f>累计考核费用!C151/10000</f>
        <v>1590.577501</v>
      </c>
      <c r="D76" s="255">
        <f>累计考核费用!D151/10000</f>
        <v>-1080.2541000000001</v>
      </c>
      <c r="E76" s="255">
        <f>累计考核费用!E151/10000</f>
        <v>1230.3173259999999</v>
      </c>
      <c r="F76" s="255">
        <f>累计考核费用!F151/10000</f>
        <v>1264.3615669999999</v>
      </c>
      <c r="G76" s="255">
        <f>累计考核费用!G151/10000</f>
        <v>80.782217000000003</v>
      </c>
      <c r="H76" s="255">
        <f>累计考核费用!H151/10000</f>
        <v>70.902028000000001</v>
      </c>
      <c r="I76" s="255">
        <f>累计考核费用!I151/10000</f>
        <v>9.3968530000000001</v>
      </c>
      <c r="J76" s="255">
        <f>累计考核费用!J151/10000</f>
        <v>0</v>
      </c>
      <c r="K76" s="255">
        <f>累计考核费用!K151/10000</f>
        <v>7.293755</v>
      </c>
      <c r="L76" s="255">
        <f>累计考核费用!L151/10000</f>
        <v>0</v>
      </c>
      <c r="M76" s="255">
        <f>累计考核费用!M151/10000</f>
        <v>2.7082900000000003</v>
      </c>
      <c r="N76" s="255">
        <f>累计考核费用!N151/10000</f>
        <v>0</v>
      </c>
      <c r="O76" s="255">
        <f>累计考核费用!O151/10000</f>
        <v>46.521280999999995</v>
      </c>
      <c r="P76" s="255">
        <f>累计考核费用!P151/10000</f>
        <v>4.9818489999999995</v>
      </c>
      <c r="Q76" s="255">
        <f>累计考核费用!Q151/10000</f>
        <v>0</v>
      </c>
      <c r="R76" s="255">
        <f>累计考核费用!R151/10000</f>
        <v>0</v>
      </c>
      <c r="S76" s="255">
        <f>累计考核费用!S151/10000</f>
        <v>0</v>
      </c>
      <c r="T76" s="255">
        <f>累计考核费用!T151/10000</f>
        <v>0</v>
      </c>
      <c r="U76" s="255">
        <f>累计考核费用!U151/10000</f>
        <v>0</v>
      </c>
      <c r="V76" s="255">
        <f>累计考核费用!V151/10000</f>
        <v>0</v>
      </c>
      <c r="W76" s="255">
        <f>累计考核费用!W151/10000</f>
        <v>13.377621000000001</v>
      </c>
      <c r="X76" s="255">
        <f>累计考核费用!X151/10000</f>
        <v>12.805725000000001</v>
      </c>
      <c r="Y76" s="255">
        <f>累计考核费用!Y151/10000</f>
        <v>0.57189599999999996</v>
      </c>
      <c r="Z76" s="255">
        <f>累计考核费用!Z151/10000</f>
        <v>11.01229</v>
      </c>
      <c r="AA76" s="255">
        <f>累计考核费用!AA151/10000</f>
        <v>7.8551999999999997E-2</v>
      </c>
    </row>
    <row r="77" spans="1:27" s="27" customFormat="1">
      <c r="A77" s="320"/>
      <c r="B77" s="174" t="s">
        <v>105</v>
      </c>
      <c r="C77" s="255">
        <f>累计考核费用!C152/10000</f>
        <v>513.12398799999994</v>
      </c>
      <c r="D77" s="255">
        <f>累计考核费用!D152/10000</f>
        <v>-177.03460000000001</v>
      </c>
      <c r="E77" s="255">
        <f>累计考核费用!E152/10000</f>
        <v>439.61606399999999</v>
      </c>
      <c r="F77" s="255">
        <f>累计考核费用!F152/10000</f>
        <v>19.000023000000002</v>
      </c>
      <c r="G77" s="255">
        <f>累计考核费用!G152/10000</f>
        <v>0</v>
      </c>
      <c r="H77" s="255">
        <f>累计考核费用!H152/10000</f>
        <v>177.83831999999998</v>
      </c>
      <c r="I77" s="255">
        <f>累计考核费用!I152/10000</f>
        <v>41.471119999999999</v>
      </c>
      <c r="J77" s="255">
        <f>累计考核费用!J152/10000</f>
        <v>25.461300000000001</v>
      </c>
      <c r="K77" s="255">
        <f>累计考核费用!K152/10000</f>
        <v>37.806899999999999</v>
      </c>
      <c r="L77" s="255">
        <f>累计考核费用!L152/10000</f>
        <v>0</v>
      </c>
      <c r="M77" s="255">
        <f>累计考核费用!M152/10000</f>
        <v>34.677700000000002</v>
      </c>
      <c r="N77" s="255">
        <f>累计考核费用!N152/10000</f>
        <v>0</v>
      </c>
      <c r="O77" s="255">
        <f>累计考核费用!O152/10000</f>
        <v>0</v>
      </c>
      <c r="P77" s="255">
        <f>累计考核费用!P152/10000</f>
        <v>38.421300000000002</v>
      </c>
      <c r="Q77" s="255">
        <f>累计考核费用!Q152/10000</f>
        <v>0</v>
      </c>
      <c r="R77" s="255">
        <f>累计考核费用!R152/10000</f>
        <v>0</v>
      </c>
      <c r="S77" s="255">
        <f>累计考核费用!S152/10000</f>
        <v>0</v>
      </c>
      <c r="T77" s="255">
        <f>累计考核费用!T152/10000</f>
        <v>0</v>
      </c>
      <c r="U77" s="255">
        <f>累计考核费用!U152/10000</f>
        <v>0</v>
      </c>
      <c r="V77" s="255">
        <f>累计考核费用!V152/10000</f>
        <v>0</v>
      </c>
      <c r="W77" s="255">
        <f>累计考核费用!W152/10000</f>
        <v>0</v>
      </c>
      <c r="X77" s="255">
        <f>累计考核费用!X152/10000</f>
        <v>0</v>
      </c>
      <c r="Y77" s="255">
        <f>累计考核费用!Y152/10000</f>
        <v>0</v>
      </c>
      <c r="Z77" s="255">
        <f>累计考核费用!Z152/10000</f>
        <v>53.704180999999991</v>
      </c>
      <c r="AA77" s="255">
        <f>累计考核费用!AA152/10000</f>
        <v>0</v>
      </c>
    </row>
    <row r="78" spans="1:27" s="27" customFormat="1">
      <c r="A78" s="320"/>
      <c r="B78" s="174" t="s">
        <v>106</v>
      </c>
      <c r="C78" s="255">
        <f>累计考核费用!C153/10000</f>
        <v>770.25565399999994</v>
      </c>
      <c r="D78" s="255">
        <f>累计考核费用!D153/10000</f>
        <v>-170.80459999999999</v>
      </c>
      <c r="E78" s="255">
        <f>累计考核费用!E153/10000</f>
        <v>289.49251400000003</v>
      </c>
      <c r="F78" s="255">
        <f>累计考核费用!F153/10000</f>
        <v>433.35839599999997</v>
      </c>
      <c r="G78" s="255">
        <f>累计考核费用!G153/10000</f>
        <v>5.0633099999999995</v>
      </c>
      <c r="H78" s="255">
        <f>累计考核费用!H153/10000</f>
        <v>21.187132999999999</v>
      </c>
      <c r="I78" s="255">
        <f>累计考核费用!I153/10000</f>
        <v>4.6208909999999985</v>
      </c>
      <c r="J78" s="255">
        <f>累计考核费用!J153/10000</f>
        <v>0</v>
      </c>
      <c r="K78" s="255">
        <f>累计考核费用!K153/10000</f>
        <v>4.1880869999999994</v>
      </c>
      <c r="L78" s="255">
        <f>累计考核费用!L153/10000</f>
        <v>0</v>
      </c>
      <c r="M78" s="255">
        <f>累计考核费用!M153/10000</f>
        <v>4.0857060000000001</v>
      </c>
      <c r="N78" s="255">
        <f>累计考核费用!N153/10000</f>
        <v>0</v>
      </c>
      <c r="O78" s="255">
        <f>累计考核费用!O153/10000</f>
        <v>4.1843659999999998</v>
      </c>
      <c r="P78" s="255">
        <f>累计考核费用!P153/10000</f>
        <v>4.1080830000000006</v>
      </c>
      <c r="Q78" s="255">
        <f>累计考核费用!Q153/10000</f>
        <v>48.676000000000002</v>
      </c>
      <c r="R78" s="255">
        <f>累计考核费用!R153/10000</f>
        <v>123.06034699999999</v>
      </c>
      <c r="S78" s="255">
        <f>累计考核费用!S153/10000</f>
        <v>0</v>
      </c>
      <c r="T78" s="255">
        <f>累计考核费用!T153/10000</f>
        <v>62.103053000000003</v>
      </c>
      <c r="U78" s="255">
        <f>累计考核费用!U153/10000</f>
        <v>32.441818999999995</v>
      </c>
      <c r="V78" s="255">
        <f>累计考核费用!V153/10000</f>
        <v>28.515474999999999</v>
      </c>
      <c r="W78" s="255">
        <f>累计考核费用!W153/10000</f>
        <v>10.031008000000002</v>
      </c>
      <c r="X78" s="255">
        <f>累计考核费用!X153/10000</f>
        <v>10.031008000000002</v>
      </c>
      <c r="Y78" s="255">
        <f>累计考核费用!Y153/10000</f>
        <v>0</v>
      </c>
      <c r="Z78" s="255">
        <f>累计考核费用!Z153/10000</f>
        <v>9.9428229999999989</v>
      </c>
      <c r="AA78" s="255">
        <f>累计考核费用!AA153/10000</f>
        <v>0.248723</v>
      </c>
    </row>
    <row r="79" spans="1:27" s="27" customFormat="1">
      <c r="A79" s="320"/>
      <c r="B79" s="174" t="s">
        <v>244</v>
      </c>
      <c r="C79" s="255">
        <f>累计考核费用!C154/10000</f>
        <v>52.446843999999992</v>
      </c>
      <c r="D79" s="255">
        <f>累计考核费用!D154/10000</f>
        <v>0</v>
      </c>
      <c r="E79" s="255">
        <f>累计考核费用!E154/10000</f>
        <v>6.7752270000000001</v>
      </c>
      <c r="F79" s="255">
        <f>累计考核费用!F154/10000</f>
        <v>30.418220999999996</v>
      </c>
      <c r="G79" s="255">
        <f>累计考核费用!G154/10000</f>
        <v>0.21573499999999998</v>
      </c>
      <c r="H79" s="255">
        <f>累计考核费用!H154/10000</f>
        <v>0</v>
      </c>
      <c r="I79" s="255">
        <f>累计考核费用!I154/10000</f>
        <v>0</v>
      </c>
      <c r="J79" s="255">
        <f>累计考核费用!J154/10000</f>
        <v>0</v>
      </c>
      <c r="K79" s="255">
        <f>累计考核费用!K154/10000</f>
        <v>0</v>
      </c>
      <c r="L79" s="255">
        <f>累计考核费用!L154/10000</f>
        <v>0</v>
      </c>
      <c r="M79" s="255">
        <f>累计考核费用!M154/10000</f>
        <v>0</v>
      </c>
      <c r="N79" s="255">
        <f>累计考核费用!N154/10000</f>
        <v>0</v>
      </c>
      <c r="O79" s="255">
        <f>累计考核费用!O154/10000</f>
        <v>0</v>
      </c>
      <c r="P79" s="255">
        <f>累计考核费用!P154/10000</f>
        <v>0</v>
      </c>
      <c r="Q79" s="255">
        <f>累计考核费用!Q154/10000</f>
        <v>0</v>
      </c>
      <c r="R79" s="255">
        <f>累计考核费用!R154/10000</f>
        <v>15.037660999999998</v>
      </c>
      <c r="S79" s="255">
        <f>累计考核费用!S154/10000</f>
        <v>0</v>
      </c>
      <c r="T79" s="255">
        <f>累计考核费用!T154/10000</f>
        <v>15.037660999999998</v>
      </c>
      <c r="U79" s="255">
        <f>累计考核费用!U154/10000</f>
        <v>0</v>
      </c>
      <c r="V79" s="255">
        <f>累计考核费用!V154/10000</f>
        <v>0</v>
      </c>
      <c r="W79" s="255">
        <f>累计考核费用!W154/10000</f>
        <v>0</v>
      </c>
      <c r="X79" s="255">
        <f>累计考核费用!X154/10000</f>
        <v>0</v>
      </c>
      <c r="Y79" s="255">
        <f>累计考核费用!Y154/10000</f>
        <v>0</v>
      </c>
      <c r="Z79" s="255">
        <f>累计考核费用!Z154/10000</f>
        <v>0</v>
      </c>
      <c r="AA79" s="255">
        <f>累计考核费用!AA154/10000</f>
        <v>0</v>
      </c>
    </row>
    <row r="80" spans="1:27" s="27" customFormat="1" ht="14.25" thickBot="1">
      <c r="A80" s="321"/>
      <c r="B80" s="97" t="s">
        <v>69</v>
      </c>
      <c r="C80" s="255">
        <f>累计考核费用!C155/10000</f>
        <v>9397.2142319999984</v>
      </c>
      <c r="D80" s="255">
        <f>累计考核费用!D155/10000</f>
        <v>-1394.0140759999999</v>
      </c>
      <c r="E80" s="255">
        <f>累计考核费用!E155/10000</f>
        <v>3271.0553530000002</v>
      </c>
      <c r="F80" s="255">
        <f>累计考核费用!F155/10000</f>
        <v>5935.0826890000008</v>
      </c>
      <c r="G80" s="255">
        <f>累计考核费用!G155/10000</f>
        <v>177.16971600000002</v>
      </c>
      <c r="H80" s="255">
        <f>累计考核费用!H155/10000</f>
        <v>693.43091500000003</v>
      </c>
      <c r="I80" s="255">
        <f>累计考核费用!I155/10000</f>
        <v>127.86430799999998</v>
      </c>
      <c r="J80" s="255">
        <f>累计考核费用!J155/10000</f>
        <v>42.034461</v>
      </c>
      <c r="K80" s="255">
        <f>累计考核费用!K155/10000</f>
        <v>120.79427099999999</v>
      </c>
      <c r="L80" s="255">
        <f>累计考核费用!L155/10000</f>
        <v>0</v>
      </c>
      <c r="M80" s="255">
        <f>累计考核费用!M155/10000</f>
        <v>119.45183700000001</v>
      </c>
      <c r="N80" s="255">
        <f>累计考核费用!N155/10000</f>
        <v>0</v>
      </c>
      <c r="O80" s="255">
        <f>累计考核费用!O155/10000</f>
        <v>141.06014400000001</v>
      </c>
      <c r="P80" s="255">
        <f>累计考核费用!P155/10000</f>
        <v>142.22589399999998</v>
      </c>
      <c r="Q80" s="255">
        <f>累计考核费用!Q155/10000</f>
        <v>64.791135999999995</v>
      </c>
      <c r="R80" s="255">
        <f>累计考核费用!R155/10000</f>
        <v>362.76082600000001</v>
      </c>
      <c r="S80" s="255">
        <f>累计考核费用!S155/10000</f>
        <v>0</v>
      </c>
      <c r="T80" s="255">
        <f>累计考核费用!T155/10000</f>
        <v>236.35445799999997</v>
      </c>
      <c r="U80" s="255">
        <f>累计考核费用!U155/10000</f>
        <v>68.883126000000004</v>
      </c>
      <c r="V80" s="255">
        <f>累计考核费用!V155/10000</f>
        <v>57.523242000000003</v>
      </c>
      <c r="W80" s="255">
        <f>累计考核费用!W155/10000</f>
        <v>92.021241000000018</v>
      </c>
      <c r="X80" s="255">
        <f>累计考核费用!X155/10000</f>
        <v>90.749402000000003</v>
      </c>
      <c r="Y80" s="255">
        <f>累计考核费用!Y155/10000</f>
        <v>1.2718389999999999</v>
      </c>
      <c r="Z80" s="255">
        <f>累计考核费用!Z155/10000</f>
        <v>178.89310800000001</v>
      </c>
      <c r="AA80" s="255">
        <f>累计考核费用!AA155/10000</f>
        <v>16.023324000000002</v>
      </c>
    </row>
    <row r="81" spans="1:27" s="27" customFormat="1" ht="14.25" thickBot="1">
      <c r="A81" s="37"/>
      <c r="B81" s="97" t="s">
        <v>248</v>
      </c>
      <c r="C81" s="255">
        <f>累计考核费用!C156/10000</f>
        <v>75241.051745000004</v>
      </c>
      <c r="D81" s="255">
        <f>累计考核费用!D156/10000</f>
        <v>-4390.5706789999995</v>
      </c>
      <c r="E81" s="255">
        <f>累计考核费用!E156/10000</f>
        <v>24624.246184</v>
      </c>
      <c r="F81" s="255">
        <f>累计考核费用!F156/10000</f>
        <v>33762.967902999997</v>
      </c>
      <c r="G81" s="255">
        <f>累计考核费用!G156/10000</f>
        <v>1055.953299</v>
      </c>
      <c r="H81" s="255">
        <f>累计考核费用!H156/10000</f>
        <v>3162.7347700000005</v>
      </c>
      <c r="I81" s="255">
        <f>累计考核费用!I156/10000</f>
        <v>1110.27881</v>
      </c>
      <c r="J81" s="255">
        <f>累计考核费用!J156/10000</f>
        <v>129.87646000000001</v>
      </c>
      <c r="K81" s="255">
        <f>累计考核费用!K156/10000</f>
        <v>424.49687699999998</v>
      </c>
      <c r="L81" s="255">
        <f>累计考核费用!L156/10000</f>
        <v>0</v>
      </c>
      <c r="M81" s="255">
        <f>累计考核费用!M156/10000</f>
        <v>467.79578200000003</v>
      </c>
      <c r="N81" s="255">
        <f>累计考核费用!N156/10000</f>
        <v>0</v>
      </c>
      <c r="O81" s="255">
        <f>累计考核费用!O156/10000</f>
        <v>419.53982000000013</v>
      </c>
      <c r="P81" s="255">
        <f>累计考核费用!P156/10000</f>
        <v>610.78262099999995</v>
      </c>
      <c r="Q81" s="255">
        <f>累计考核费用!Q156/10000</f>
        <v>1485.667954</v>
      </c>
      <c r="R81" s="255">
        <f>累计考核费用!R156/10000</f>
        <v>13953.107275999999</v>
      </c>
      <c r="S81" s="255">
        <f>累计考核费用!S156/10000</f>
        <v>0</v>
      </c>
      <c r="T81" s="255">
        <f>累计考核费用!T156/10000</f>
        <v>10624.686744000001</v>
      </c>
      <c r="U81" s="255">
        <f>累计考核费用!U156/10000</f>
        <v>2944.5731230000001</v>
      </c>
      <c r="V81" s="255">
        <f>累计考核费用!V156/10000</f>
        <v>383.84740899999997</v>
      </c>
      <c r="W81" s="255">
        <f>累计考核费用!W156/10000</f>
        <v>518.085826</v>
      </c>
      <c r="X81" s="255">
        <f>累计考核费用!X156/10000</f>
        <v>398.73569199999997</v>
      </c>
      <c r="Y81" s="255">
        <f>累计考核费用!Y156/10000</f>
        <v>119.35013399999998</v>
      </c>
      <c r="Z81" s="255">
        <f>累计考核费用!Z156/10000</f>
        <v>1039.4659939999999</v>
      </c>
      <c r="AA81" s="255">
        <f>累计考核费用!AA156/10000</f>
        <v>29.393218000000001</v>
      </c>
    </row>
  </sheetData>
  <mergeCells count="4">
    <mergeCell ref="A33:A43"/>
    <mergeCell ref="A44:A49"/>
    <mergeCell ref="A50:A63"/>
    <mergeCell ref="A64:A80"/>
  </mergeCells>
  <phoneticPr fontId="2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B18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3" sqref="D13:E13"/>
    </sheetView>
  </sheetViews>
  <sheetFormatPr defaultRowHeight="12" customHeight="1"/>
  <cols>
    <col min="2" max="3" width="12.375" customWidth="1"/>
    <col min="4" max="4" width="12.875" bestFit="1" customWidth="1"/>
    <col min="5" max="5" width="10.375" bestFit="1" customWidth="1"/>
    <col min="6" max="6" width="10.25" bestFit="1" customWidth="1"/>
    <col min="7" max="7" width="11.25" bestFit="1" customWidth="1"/>
    <col min="8" max="8" width="11.375" bestFit="1" customWidth="1"/>
    <col min="9" max="9" width="10.375" bestFit="1" customWidth="1"/>
    <col min="10" max="10" width="9.5" bestFit="1" customWidth="1"/>
    <col min="11" max="11" width="9.625" bestFit="1" customWidth="1"/>
    <col min="12" max="12" width="10.375" bestFit="1" customWidth="1"/>
    <col min="13" max="13" width="9.125" bestFit="1" customWidth="1"/>
    <col min="14" max="15" width="9.625" bestFit="1" customWidth="1"/>
    <col min="16" max="16" width="9.25" bestFit="1" customWidth="1"/>
    <col min="17" max="17" width="11.25" bestFit="1" customWidth="1"/>
    <col min="18" max="18" width="9.5" bestFit="1" customWidth="1"/>
    <col min="19" max="19" width="11.25" bestFit="1" customWidth="1"/>
    <col min="20" max="20" width="10.25" bestFit="1" customWidth="1"/>
    <col min="21" max="25" width="9.25" bestFit="1" customWidth="1"/>
    <col min="26" max="27" width="9.125" bestFit="1" customWidth="1"/>
  </cols>
  <sheetData>
    <row r="1" spans="1:28" s="277" customFormat="1" ht="12" customHeight="1">
      <c r="A1" s="273" t="s">
        <v>57</v>
      </c>
      <c r="B1" s="274" t="s">
        <v>58</v>
      </c>
      <c r="C1" s="273" t="s">
        <v>58</v>
      </c>
      <c r="D1" s="275" t="s">
        <v>4</v>
      </c>
      <c r="E1" s="275" t="s">
        <v>5</v>
      </c>
      <c r="F1" s="275" t="s">
        <v>6</v>
      </c>
      <c r="G1" s="275" t="s">
        <v>7</v>
      </c>
      <c r="H1" s="275" t="s">
        <v>8</v>
      </c>
      <c r="I1" s="275" t="s">
        <v>9</v>
      </c>
      <c r="J1" s="276" t="s">
        <v>10</v>
      </c>
      <c r="K1" s="276" t="s">
        <v>275</v>
      </c>
      <c r="L1" s="276" t="s">
        <v>11</v>
      </c>
      <c r="M1" s="276" t="s">
        <v>273</v>
      </c>
      <c r="N1" s="276" t="s">
        <v>12</v>
      </c>
      <c r="O1" s="276" t="s">
        <v>13</v>
      </c>
      <c r="P1" s="276" t="s">
        <v>14</v>
      </c>
      <c r="Q1" s="276" t="s">
        <v>15</v>
      </c>
      <c r="R1" s="275" t="s">
        <v>16</v>
      </c>
      <c r="S1" s="275" t="s">
        <v>17</v>
      </c>
      <c r="T1" s="276" t="s">
        <v>18</v>
      </c>
      <c r="U1" s="276" t="s">
        <v>19</v>
      </c>
      <c r="V1" s="276" t="s">
        <v>20</v>
      </c>
      <c r="W1" s="276" t="s">
        <v>120</v>
      </c>
      <c r="X1" s="275" t="s">
        <v>21</v>
      </c>
      <c r="Y1" s="276" t="s">
        <v>22</v>
      </c>
      <c r="Z1" s="276" t="s">
        <v>23</v>
      </c>
      <c r="AA1" s="275" t="s">
        <v>24</v>
      </c>
      <c r="AB1" s="275" t="s">
        <v>278</v>
      </c>
    </row>
    <row r="2" spans="1:28" s="27" customFormat="1" ht="12" customHeight="1">
      <c r="A2" s="322" t="s">
        <v>59</v>
      </c>
      <c r="B2" s="266" t="s">
        <v>60</v>
      </c>
      <c r="C2" s="266" t="s">
        <v>60</v>
      </c>
      <c r="D2" s="279">
        <f>SUMIF(累计考核费用!$B$107:$B$156,原格式费用考核表!$B2,累计考核费用!C$107:C$156)/10000+累计考核费用!C116/10000</f>
        <v>16919.518918000002</v>
      </c>
      <c r="E2" s="279">
        <f>SUMIF(累计考核费用!$B$107:$B$156,原格式费用考核表!$B2,累计考核费用!D$107:D$156)/10000+累计考核费用!D116/10000</f>
        <v>-50.5822</v>
      </c>
      <c r="F2" s="279">
        <f>SUMIF(累计考核费用!$B$107:$B$156,原格式费用考核表!$B2,累计考核费用!E$107:E$156)/10000+累计考核费用!E116/10000</f>
        <v>4187.7504670000008</v>
      </c>
      <c r="G2" s="279">
        <f>SUMIF(累计考核费用!$B$107:$B$156,原格式费用考核表!$B2,累计考核费用!F$107:F$156)/10000+累计考核费用!F116/10000</f>
        <v>8050.6168580000003</v>
      </c>
      <c r="H2" s="279">
        <f>SUMIF(累计考核费用!$B$107:$B$156,原格式费用考核表!$B2,累计考核费用!G$107:G$156)/10000+累计考核费用!G116/10000</f>
        <v>504.70221399999997</v>
      </c>
      <c r="I2" s="279">
        <f>SUMIF(累计考核费用!$B$107:$B$156,原格式费用考核表!$B2,累计考核费用!H$107:H$156)/10000+累计考核费用!H116/10000</f>
        <v>1369.29927</v>
      </c>
      <c r="J2" s="279">
        <f>SUMIF(累计考核费用!$B$107:$B$156,原格式费用考核表!$B2,累计考核费用!I$107:I$156)/10000+累计考核费用!I116/10000</f>
        <v>389.687118</v>
      </c>
      <c r="K2" s="279">
        <f>SUMIF(累计考核费用!$B$107:$B$156,原格式费用考核表!$B2,累计考核费用!J$107:J$156)/10000+累计考核费用!J116/10000</f>
        <v>60.642830000000004</v>
      </c>
      <c r="L2" s="279">
        <f>SUMIF(累计考核费用!$B$107:$B$156,原格式费用考核表!$B2,累计考核费用!K$107:K$156)/10000+累计考核费用!K116/10000</f>
        <v>282.81868899999995</v>
      </c>
      <c r="M2" s="279">
        <f>SUMIF(累计考核费用!$B$107:$B$156,原格式费用考核表!$B2,累计考核费用!L$107:L$156)/10000+累计考核费用!L116/10000</f>
        <v>0</v>
      </c>
      <c r="N2" s="279">
        <f>SUMIF(累计考核费用!$B$107:$B$156,原格式费用考核表!$B2,累计考核费用!M$107:M$156)/10000+累计考核费用!M116/10000</f>
        <v>170.93022300000001</v>
      </c>
      <c r="O2" s="279">
        <f>SUMIF(累计考核费用!$B$107:$B$156,原格式费用考核表!$B2,累计考核费用!N$107:N$156)/10000+累计考核费用!N116/10000</f>
        <v>0</v>
      </c>
      <c r="P2" s="279">
        <f>SUMIF(累计考核费用!$B$107:$B$156,原格式费用考核表!$B2,累计考核费用!O$107:O$156)/10000+累计考核费用!O116/10000</f>
        <v>180.15108499999999</v>
      </c>
      <c r="Q2" s="279">
        <f>SUMIF(累计考核费用!$B$107:$B$156,原格式费用考核表!$B2,累计考核费用!P$107:P$156)/10000+累计考核费用!P116/10000</f>
        <v>285.06932499999999</v>
      </c>
      <c r="R2" s="279">
        <f>SUMIF(累计考核费用!$B$107:$B$156,原格式费用考核表!$B2,累计考核费用!Q$107:Q$156)/10000+累计考核费用!Q116/10000</f>
        <v>525.14445000000001</v>
      </c>
      <c r="S2" s="279">
        <f>SUMIF(累计考核费用!$B$107:$B$156,原格式费用考核表!$B2,累计考核费用!R$107:R$156)/10000+累计考核费用!R116/10000</f>
        <v>1620.9421320000001</v>
      </c>
      <c r="T2" s="279">
        <f>SUMIF(累计考核费用!$B$107:$B$156,原格式费用考核表!$B2,累计考核费用!S$107:S$156)/10000+累计考核费用!S116/10000</f>
        <v>0</v>
      </c>
      <c r="U2" s="279">
        <f>SUMIF(累计考核费用!$B$107:$B$156,原格式费用考核表!$B2,累计考核费用!T$107:T$156)/10000+累计考核费用!T116/10000</f>
        <v>508.00455700000003</v>
      </c>
      <c r="V2" s="279">
        <f>SUMIF(累计考核费用!$B$107:$B$156,原格式费用考核表!$B2,累计考核费用!U$107:U$156)/10000+累计考核费用!U116/10000</f>
        <v>901.341633</v>
      </c>
      <c r="W2" s="279">
        <f>SUMIF(累计考核费用!$B$107:$B$156,原格式费用考核表!$B2,累计考核费用!V$107:V$156)/10000+累计考核费用!V116/10000</f>
        <v>211.59594200000004</v>
      </c>
      <c r="X2" s="279">
        <f>SUMIF(累计考核费用!$B$107:$B$156,原格式费用考核表!$B2,累计考核费用!W$107:W$156)/10000+累计考核费用!W116/10000</f>
        <v>204.02866499999996</v>
      </c>
      <c r="Y2" s="279">
        <f>SUMIF(累计考核费用!$B$107:$B$156,原格式费用考核表!$B2,累计考核费用!X$107:X$156)/10000+累计考核费用!X116/10000</f>
        <v>147.25277299999999</v>
      </c>
      <c r="Z2" s="279">
        <f>SUMIF(累计考核费用!$B$107:$B$156,原格式费用考核表!$B2,累计考核费用!Y$107:Y$156)/10000+累计考核费用!Y116/10000</f>
        <v>56.775891999999992</v>
      </c>
      <c r="AA2" s="279">
        <f>SUMIF(累计考核费用!$B$107:$B$156,原格式费用考核表!$B2,累计考核费用!Z$107:Z$156)/10000+累计考核费用!Z116/10000</f>
        <v>499.59662400000002</v>
      </c>
      <c r="AB2" s="279">
        <f>SUMIF(累计考核费用!$B$107:$B$156,原格式费用考核表!$B2,累计考核费用!AA$107:AA$156)/10000+累计考核费用!AA116/10000</f>
        <v>8.0204380000000004</v>
      </c>
    </row>
    <row r="3" spans="1:28" s="27" customFormat="1" ht="12" customHeight="1">
      <c r="A3" s="323"/>
      <c r="B3" s="266" t="s">
        <v>61</v>
      </c>
      <c r="C3" s="266" t="s">
        <v>61</v>
      </c>
      <c r="D3" s="279">
        <f>SUMIF(累计考核费用!$B$107:$B$156,原格式费用考核表!$B3,累计考核费用!C$107:C$156)/10000</f>
        <v>232.56622400000006</v>
      </c>
      <c r="E3" s="279">
        <f>SUMIF(累计考核费用!$B$107:$B$156,原格式费用考核表!$B3,累计考核费用!D$107:D$156)/10000</f>
        <v>0</v>
      </c>
      <c r="F3" s="279">
        <f>SUMIF(累计考核费用!$B$107:$B$156,原格式费用考核表!$B3,累计考核费用!E$107:E$156)/10000</f>
        <v>67.414252999999988</v>
      </c>
      <c r="G3" s="279">
        <f>SUMIF(累计考核费用!$B$107:$B$156,原格式费用考核表!$B3,累计考核费用!F$107:F$156)/10000</f>
        <v>114.70204200000002</v>
      </c>
      <c r="H3" s="279">
        <f>SUMIF(累计考核费用!$B$107:$B$156,原格式费用考核表!$B3,累计考核费用!G$107:G$156)/10000</f>
        <v>9.0783909999999999</v>
      </c>
      <c r="I3" s="279">
        <f>SUMIF(累计考核费用!$B$107:$B$156,原格式费用考核表!$B3,累计考核费用!H$107:H$156)/10000</f>
        <v>7.5808220000000004</v>
      </c>
      <c r="J3" s="279">
        <f>SUMIF(累计考核费用!$B$107:$B$156,原格式费用考核表!$B3,累计考核费用!I$107:I$156)/10000</f>
        <v>0.95529900000000001</v>
      </c>
      <c r="K3" s="279">
        <f>SUMIF(累计考核费用!$B$107:$B$156,原格式费用考核表!$B3,累计考核费用!J$107:J$156)/10000</f>
        <v>0.2555</v>
      </c>
      <c r="L3" s="279">
        <f>SUMIF(累计考核费用!$B$107:$B$156,原格式费用考核表!$B3,累计考核费用!K$107:K$156)/10000</f>
        <v>1.5075229999999999</v>
      </c>
      <c r="M3" s="279">
        <f>SUMIF(累计考核费用!$B$107:$B$156,原格式费用考核表!$B3,累计考核费用!L$107:L$156)/10000</f>
        <v>0</v>
      </c>
      <c r="N3" s="279">
        <f>SUMIF(累计考核费用!$B$107:$B$156,原格式费用考核表!$B3,累计考核费用!M$107:M$156)/10000</f>
        <v>0.16</v>
      </c>
      <c r="O3" s="279">
        <f>SUMIF(累计考核费用!$B$107:$B$156,原格式费用考核表!$B3,累计考核费用!N$107:N$156)/10000</f>
        <v>0</v>
      </c>
      <c r="P3" s="279">
        <f>SUMIF(累计考核费用!$B$107:$B$156,原格式费用考核表!$B3,累计考核费用!O$107:O$156)/10000</f>
        <v>4.2050000000000001</v>
      </c>
      <c r="Q3" s="279">
        <f>SUMIF(累计考核费用!$B$107:$B$156,原格式费用考核表!$B3,累计考核费用!P$107:P$156)/10000</f>
        <v>0.4975</v>
      </c>
      <c r="R3" s="279">
        <f>SUMIF(累计考核费用!$B$107:$B$156,原格式费用考核表!$B3,累计考核费用!Q$107:Q$156)/10000</f>
        <v>9.225791000000001</v>
      </c>
      <c r="S3" s="279">
        <f>SUMIF(累计考核费用!$B$107:$B$156,原格式费用考核表!$B3,累计考核费用!R$107:R$156)/10000</f>
        <v>21.096775000000001</v>
      </c>
      <c r="T3" s="279">
        <f>SUMIF(累计考核费用!$B$107:$B$156,原格式费用考核表!$B3,累计考核费用!S$107:S$156)/10000</f>
        <v>0</v>
      </c>
      <c r="U3" s="279">
        <f>SUMIF(累计考核费用!$B$107:$B$156,原格式费用考核表!$B3,累计考核费用!T$107:T$156)/10000</f>
        <v>10.303377000000001</v>
      </c>
      <c r="V3" s="279">
        <f>SUMIF(累计考核费用!$B$107:$B$156,原格式费用考核表!$B3,累计考核费用!U$107:U$156)/10000</f>
        <v>4.3028000000000004</v>
      </c>
      <c r="W3" s="279">
        <f>SUMIF(累计考核费用!$B$107:$B$156,原格式费用考核表!$B3,累计考核费用!V$107:V$156)/10000</f>
        <v>6.4905979999999994</v>
      </c>
      <c r="X3" s="279">
        <f>SUMIF(累计考核费用!$B$107:$B$156,原格式费用考核表!$B3,累计考核费用!W$107:W$156)/10000</f>
        <v>0.92574299999999998</v>
      </c>
      <c r="Y3" s="279">
        <f>SUMIF(累计考核费用!$B$107:$B$156,原格式费用考核表!$B3,累计考核费用!X$107:X$156)/10000</f>
        <v>0.83017299999999994</v>
      </c>
      <c r="Z3" s="279">
        <f>SUMIF(累计考核费用!$B$107:$B$156,原格式费用考核表!$B3,累计考核费用!Y$107:Y$156)/10000</f>
        <v>9.5570000000000002E-2</v>
      </c>
      <c r="AA3" s="279">
        <f>SUMIF(累计考核费用!$B$107:$B$156,原格式费用考核表!$B3,累计考核费用!Z$107:Z$156)/10000</f>
        <v>2.5324870000000002</v>
      </c>
      <c r="AB3" s="279">
        <f>SUMIF(累计考核费用!$B$107:$B$156,原格式费用考核表!$B3,累计考核费用!AA$107:AA$156)/10000</f>
        <v>9.92E-3</v>
      </c>
    </row>
    <row r="4" spans="1:28" s="27" customFormat="1" ht="12" customHeight="1">
      <c r="A4" s="323"/>
      <c r="B4" s="266" t="s">
        <v>62</v>
      </c>
      <c r="C4" s="266" t="s">
        <v>62</v>
      </c>
      <c r="D4" s="279">
        <f>SUMIF(累计考核费用!$B$107:$B$156,原格式费用考核表!$B4,累计考核费用!C$107:C$156)/10000</f>
        <v>896.76214999999979</v>
      </c>
      <c r="E4" s="279">
        <f>SUMIF(累计考核费用!$B$107:$B$156,原格式费用考核表!$B4,累计考核费用!D$107:D$156)/10000</f>
        <v>0</v>
      </c>
      <c r="F4" s="279">
        <f>SUMIF(累计考核费用!$B$107:$B$156,原格式费用考核表!$B4,累计考核费用!E$107:E$156)/10000</f>
        <v>378.84631100000001</v>
      </c>
      <c r="G4" s="279">
        <f>SUMIF(累计考核费用!$B$107:$B$156,原格式费用考核表!$B4,累计考核费用!F$107:F$156)/10000</f>
        <v>238.61880300000001</v>
      </c>
      <c r="H4" s="279">
        <f>SUMIF(累计考核费用!$B$107:$B$156,原格式费用考核表!$B4,累计考核费用!G$107:G$156)/10000</f>
        <v>12.316654999999999</v>
      </c>
      <c r="I4" s="279">
        <f>SUMIF(累计考核费用!$B$107:$B$156,原格式费用考核表!$B4,累计考核费用!H$107:H$156)/10000</f>
        <v>27.509917999999999</v>
      </c>
      <c r="J4" s="279">
        <f>SUMIF(累计考核费用!$B$107:$B$156,原格式费用考核表!$B4,累计考核费用!I$107:I$156)/10000</f>
        <v>7.7590270000000006</v>
      </c>
      <c r="K4" s="279">
        <f>SUMIF(累计考核费用!$B$107:$B$156,原格式费用考核表!$B4,累计考核费用!J$107:J$156)/10000</f>
        <v>1.212855</v>
      </c>
      <c r="L4" s="279">
        <f>SUMIF(累计考核费用!$B$107:$B$156,原格式费用考核表!$B4,累计考核费用!K$107:K$156)/10000</f>
        <v>5.618296</v>
      </c>
      <c r="M4" s="279">
        <f>SUMIF(累计考核费用!$B$107:$B$156,原格式费用考核表!$B4,累计考核费用!L$107:L$156)/10000</f>
        <v>0</v>
      </c>
      <c r="N4" s="279">
        <f>SUMIF(累计考核费用!$B$107:$B$156,原格式费用考核表!$B4,累计考核费用!M$107:M$156)/10000</f>
        <v>4.2198289999999998</v>
      </c>
      <c r="O4" s="279">
        <f>SUMIF(累计考核费用!$B$107:$B$156,原格式费用考核表!$B4,累计考核费用!N$107:N$156)/10000</f>
        <v>0</v>
      </c>
      <c r="P4" s="279">
        <f>SUMIF(累计考核费用!$B$107:$B$156,原格式费用考核表!$B4,累计考核费用!O$107:O$156)/10000</f>
        <v>2.7607079999999997</v>
      </c>
      <c r="Q4" s="279">
        <f>SUMIF(累计考核费用!$B$107:$B$156,原格式费用考核表!$B4,累计考核费用!P$107:P$156)/10000</f>
        <v>5.9392030000000009</v>
      </c>
      <c r="R4" s="279">
        <f>SUMIF(累计考核费用!$B$107:$B$156,原格式费用考核表!$B4,累计考核费用!Q$107:Q$156)/10000</f>
        <v>14.638488999999998</v>
      </c>
      <c r="S4" s="279">
        <f>SUMIF(累计考核费用!$B$107:$B$156,原格式费用考核表!$B4,累计考核费用!R$107:R$156)/10000</f>
        <v>208.68830599999998</v>
      </c>
      <c r="T4" s="279">
        <f>SUMIF(累计考核费用!$B$107:$B$156,原格式费用考核表!$B4,累计考核费用!S$107:S$156)/10000</f>
        <v>0</v>
      </c>
      <c r="U4" s="279">
        <f>SUMIF(累计考核费用!$B$107:$B$156,原格式费用考核表!$B4,累计考核费用!T$107:T$156)/10000</f>
        <v>163.05486599999998</v>
      </c>
      <c r="V4" s="279">
        <f>SUMIF(累计考核费用!$B$107:$B$156,原格式费用考核表!$B4,累计考核费用!U$107:U$156)/10000</f>
        <v>41.753910000000012</v>
      </c>
      <c r="W4" s="279">
        <f>SUMIF(累计考核费用!$B$107:$B$156,原格式费用考核表!$B4,累计考核费用!V$107:V$156)/10000</f>
        <v>3.8795299999999995</v>
      </c>
      <c r="X4" s="279">
        <f>SUMIF(累计考核费用!$B$107:$B$156,原格式费用考核表!$B4,累计考核费用!W$107:W$156)/10000</f>
        <v>5.7780539999999991</v>
      </c>
      <c r="Y4" s="279">
        <f>SUMIF(累计考核费用!$B$107:$B$156,原格式费用考核表!$B4,累计考核费用!X$107:X$156)/10000</f>
        <v>3.8017750000000001</v>
      </c>
      <c r="Z4" s="279">
        <f>SUMIF(累计考核费用!$B$107:$B$156,原格式费用考核表!$B4,累计考核费用!Y$107:Y$156)/10000</f>
        <v>1.9762789999999997</v>
      </c>
      <c r="AA4" s="279">
        <f>SUMIF(累计考核费用!$B$107:$B$156,原格式费用考核表!$B4,累计考核费用!Z$107:Z$156)/10000</f>
        <v>10.199885</v>
      </c>
      <c r="AB4" s="279">
        <f>SUMIF(累计考核费用!$B$107:$B$156,原格式费用考核表!$B4,累计考核费用!AA$107:AA$156)/10000</f>
        <v>0.16572899999999999</v>
      </c>
    </row>
    <row r="5" spans="1:28" s="27" customFormat="1" ht="12" customHeight="1">
      <c r="A5" s="323"/>
      <c r="B5" s="266" t="s">
        <v>63</v>
      </c>
      <c r="C5" s="266" t="s">
        <v>82</v>
      </c>
      <c r="D5" s="279">
        <f>SUMIF(累计考核费用!$B$107:$B$156,原格式费用考核表!$B5,累计考核费用!C$107:C$156)/10000</f>
        <v>4154.8509079999994</v>
      </c>
      <c r="E5" s="279">
        <f>SUMIF(累计考核费用!$B$107:$B$156,原格式费用考核表!$B5,累计考核费用!D$107:D$156)/10000</f>
        <v>0</v>
      </c>
      <c r="F5" s="279">
        <f>SUMIF(累计考核费用!$B$107:$B$156,原格式费用考核表!$B5,累计考核费用!E$107:E$156)/10000</f>
        <v>789.81765699999994</v>
      </c>
      <c r="G5" s="279">
        <f>SUMIF(累计考核费用!$B$107:$B$156,原格式费用考核表!$B5,累计考核费用!F$107:F$156)/10000</f>
        <v>2320.8910249999994</v>
      </c>
      <c r="H5" s="279">
        <f>SUMIF(累计考核费用!$B$107:$B$156,原格式费用考核表!$B5,累计考核费用!G$107:G$156)/10000</f>
        <v>128.38472099999998</v>
      </c>
      <c r="I5" s="279">
        <f>SUMIF(累计考核费用!$B$107:$B$156,原格式费用考核表!$B5,累计考核费用!H$107:H$156)/10000</f>
        <v>293.28187599999995</v>
      </c>
      <c r="J5" s="279">
        <f>SUMIF(累计考核费用!$B$107:$B$156,原格式费用考核表!$B5,累计考核费用!I$107:I$156)/10000</f>
        <v>86.697400999999999</v>
      </c>
      <c r="K5" s="279">
        <f>SUMIF(累计考核费用!$B$107:$B$156,原格式费用考核表!$B5,累计考核费用!J$107:J$156)/10000</f>
        <v>4.8540999999999994E-2</v>
      </c>
      <c r="L5" s="279">
        <f>SUMIF(累计考核费用!$B$107:$B$156,原格式费用考核表!$B5,累计考核费用!K$107:K$156)/10000</f>
        <v>74.332761000000005</v>
      </c>
      <c r="M5" s="279">
        <f>SUMIF(累计考核费用!$B$107:$B$156,原格式费用考核表!$B5,累计考核费用!L$107:L$156)/10000</f>
        <v>0</v>
      </c>
      <c r="N5" s="279">
        <f>SUMIF(累计考核费用!$B$107:$B$156,原格式费用考核表!$B5,累计考核费用!M$107:M$156)/10000</f>
        <v>41.672835000000006</v>
      </c>
      <c r="O5" s="279">
        <f>SUMIF(累计考核费用!$B$107:$B$156,原格式费用考核表!$B5,累计考核费用!N$107:N$156)/10000</f>
        <v>0</v>
      </c>
      <c r="P5" s="279">
        <f>SUMIF(累计考核费用!$B$107:$B$156,原格式费用考核表!$B5,累计考核费用!O$107:O$156)/10000</f>
        <v>23.862207999999999</v>
      </c>
      <c r="Q5" s="279">
        <f>SUMIF(累计考核费用!$B$107:$B$156,原格式费用考核表!$B5,累计考核费用!P$107:P$156)/10000</f>
        <v>66.668130000000005</v>
      </c>
      <c r="R5" s="279">
        <f>SUMIF(累计考核费用!$B$107:$B$156,原格式费用考核表!$B5,累计考核费用!Q$107:Q$156)/10000</f>
        <v>146.71598799999998</v>
      </c>
      <c r="S5" s="279">
        <f>SUMIF(累计考核费用!$B$107:$B$156,原格式费用考核表!$B5,累计考核费用!R$107:R$156)/10000</f>
        <v>261.45389799999992</v>
      </c>
      <c r="T5" s="279">
        <f>SUMIF(累计考核费用!$B$107:$B$156,原格式费用考核表!$B5,累计考核费用!S$107:S$156)/10000</f>
        <v>0</v>
      </c>
      <c r="U5" s="279">
        <f>SUMIF(累计考核费用!$B$107:$B$156,原格式费用考核表!$B5,累计考核费用!T$107:T$156)/10000</f>
        <v>124.47649199999996</v>
      </c>
      <c r="V5" s="279">
        <f>SUMIF(累计考核费用!$B$107:$B$156,原格式费用考核表!$B5,累计考核费用!U$107:U$156)/10000</f>
        <v>96.59313499999999</v>
      </c>
      <c r="W5" s="279">
        <f>SUMIF(累计考核费用!$B$107:$B$156,原格式费用考核表!$B5,累计考核费用!V$107:V$156)/10000</f>
        <v>40.384270999999998</v>
      </c>
      <c r="X5" s="279">
        <f>SUMIF(累计考核费用!$B$107:$B$156,原格式费用考核表!$B5,累计考核费用!W$107:W$156)/10000</f>
        <v>50.717533999999993</v>
      </c>
      <c r="Y5" s="279">
        <f>SUMIF(累计考核费用!$B$107:$B$156,原格式费用考核表!$B5,累计考核费用!X$107:X$156)/10000</f>
        <v>33.344564999999996</v>
      </c>
      <c r="Z5" s="279">
        <f>SUMIF(累计考核费用!$B$107:$B$156,原格式费用考核表!$B5,累计考核费用!Y$107:Y$156)/10000</f>
        <v>17.372968999999998</v>
      </c>
      <c r="AA5" s="279">
        <f>SUMIF(累计考核费用!$B$107:$B$156,原格式费用考核表!$B5,累计考核费用!Z$107:Z$156)/10000</f>
        <v>161.83218300000001</v>
      </c>
      <c r="AB5" s="279">
        <f>SUMIF(累计考核费用!$B$107:$B$156,原格式费用考核表!$B5,累计考核费用!AA$107:AA$156)/10000</f>
        <v>1.7560259999999999</v>
      </c>
    </row>
    <row r="6" spans="1:28" s="27" customFormat="1" ht="12" customHeight="1">
      <c r="A6" s="323"/>
      <c r="B6" s="266" t="s">
        <v>64</v>
      </c>
      <c r="C6" s="266" t="s">
        <v>63</v>
      </c>
      <c r="D6" s="279">
        <f>SUMIF(累计考核费用!$B$107:$B$156,原格式费用考核表!$B6,累计考核费用!C$107:C$156)/10000</f>
        <v>10.8385</v>
      </c>
      <c r="E6" s="279">
        <f>SUMIF(累计考核费用!$B$107:$B$156,原格式费用考核表!$B6,累计考核费用!D$107:D$156)/10000</f>
        <v>0</v>
      </c>
      <c r="F6" s="279">
        <f>SUMIF(累计考核费用!$B$107:$B$156,原格式费用考核表!$B6,累计考核费用!E$107:E$156)/10000</f>
        <v>0</v>
      </c>
      <c r="G6" s="279">
        <f>SUMIF(累计考核费用!$B$107:$B$156,原格式费用考核表!$B6,累计考核费用!F$107:F$156)/10000</f>
        <v>9.8384999999999998</v>
      </c>
      <c r="H6" s="279">
        <f>SUMIF(累计考核费用!$B$107:$B$156,原格式费用考核表!$B6,累计考核费用!G$107:G$156)/10000</f>
        <v>0</v>
      </c>
      <c r="I6" s="279">
        <f>SUMIF(累计考核费用!$B$107:$B$156,原格式费用考核表!$B6,累计考核费用!H$107:H$156)/10000</f>
        <v>0</v>
      </c>
      <c r="J6" s="279">
        <f>SUMIF(累计考核费用!$B$107:$B$156,原格式费用考核表!$B6,累计考核费用!I$107:I$156)/10000</f>
        <v>0</v>
      </c>
      <c r="K6" s="279">
        <f>SUMIF(累计考核费用!$B$107:$B$156,原格式费用考核表!$B6,累计考核费用!J$107:J$156)/10000</f>
        <v>0</v>
      </c>
      <c r="L6" s="279">
        <f>SUMIF(累计考核费用!$B$107:$B$156,原格式费用考核表!$B6,累计考核费用!K$107:K$156)/10000</f>
        <v>0</v>
      </c>
      <c r="M6" s="279">
        <f>SUMIF(累计考核费用!$B$107:$B$156,原格式费用考核表!$B6,累计考核费用!L$107:L$156)/10000</f>
        <v>0</v>
      </c>
      <c r="N6" s="279">
        <f>SUMIF(累计考核费用!$B$107:$B$156,原格式费用考核表!$B6,累计考核费用!M$107:M$156)/10000</f>
        <v>0</v>
      </c>
      <c r="O6" s="279">
        <f>SUMIF(累计考核费用!$B$107:$B$156,原格式费用考核表!$B6,累计考核费用!N$107:N$156)/10000</f>
        <v>0</v>
      </c>
      <c r="P6" s="279">
        <f>SUMIF(累计考核费用!$B$107:$B$156,原格式费用考核表!$B6,累计考核费用!O$107:O$156)/10000</f>
        <v>0</v>
      </c>
      <c r="Q6" s="279">
        <f>SUMIF(累计考核费用!$B$107:$B$156,原格式费用考核表!$B6,累计考核费用!P$107:P$156)/10000</f>
        <v>0</v>
      </c>
      <c r="R6" s="279">
        <f>SUMIF(累计考核费用!$B$107:$B$156,原格式费用考核表!$B6,累计考核费用!Q$107:Q$156)/10000</f>
        <v>0</v>
      </c>
      <c r="S6" s="279">
        <f>SUMIF(累计考核费用!$B$107:$B$156,原格式费用考核表!$B6,累计考核费用!R$107:R$156)/10000</f>
        <v>1</v>
      </c>
      <c r="T6" s="279">
        <f>SUMIF(累计考核费用!$B$107:$B$156,原格式费用考核表!$B6,累计考核费用!S$107:S$156)/10000</f>
        <v>0</v>
      </c>
      <c r="U6" s="279">
        <f>SUMIF(累计考核费用!$B$107:$B$156,原格式费用考核表!$B6,累计考核费用!T$107:T$156)/10000</f>
        <v>0</v>
      </c>
      <c r="V6" s="279">
        <f>SUMIF(累计考核费用!$B$107:$B$156,原格式费用考核表!$B6,累计考核费用!U$107:U$156)/10000</f>
        <v>0</v>
      </c>
      <c r="W6" s="279">
        <f>SUMIF(累计考核费用!$B$107:$B$156,原格式费用考核表!$B6,累计考核费用!V$107:V$156)/10000</f>
        <v>1</v>
      </c>
      <c r="X6" s="279">
        <f>SUMIF(累计考核费用!$B$107:$B$156,原格式费用考核表!$B6,累计考核费用!W$107:W$156)/10000</f>
        <v>0</v>
      </c>
      <c r="Y6" s="279">
        <f>SUMIF(累计考核费用!$B$107:$B$156,原格式费用考核表!$B6,累计考核费用!X$107:X$156)/10000</f>
        <v>0</v>
      </c>
      <c r="Z6" s="279">
        <f>SUMIF(累计考核费用!$B$107:$B$156,原格式费用考核表!$B6,累计考核费用!Y$107:Y$156)/10000</f>
        <v>0</v>
      </c>
      <c r="AA6" s="279">
        <f>SUMIF(累计考核费用!$B$107:$B$156,原格式费用考核表!$B6,累计考核费用!Z$107:Z$156)/10000</f>
        <v>0</v>
      </c>
      <c r="AB6" s="279">
        <f>SUMIF(累计考核费用!$B$107:$B$156,原格式费用考核表!$B6,累计考核费用!AA$107:AA$156)/10000</f>
        <v>0</v>
      </c>
    </row>
    <row r="7" spans="1:28" s="27" customFormat="1" ht="12" customHeight="1">
      <c r="A7" s="323"/>
      <c r="B7" s="266" t="s">
        <v>65</v>
      </c>
      <c r="C7" s="266" t="s">
        <v>64</v>
      </c>
      <c r="D7" s="279">
        <f>SUMIF(累计考核费用!$B$107:$B$156,原格式费用考核表!$B7,累计考核费用!C$107:C$156)/10000</f>
        <v>22.930417000000002</v>
      </c>
      <c r="E7" s="279">
        <f>SUMIF(累计考核费用!$B$107:$B$156,原格式费用考核表!$B7,累计考核费用!D$107:D$156)/10000</f>
        <v>0</v>
      </c>
      <c r="F7" s="279">
        <f>SUMIF(累计考核费用!$B$107:$B$156,原格式费用考核表!$B7,累计考核费用!E$107:E$156)/10000</f>
        <v>1.8825799999999995</v>
      </c>
      <c r="G7" s="279">
        <f>SUMIF(累计考核费用!$B$107:$B$156,原格式费用考核表!$B7,累计考核费用!F$107:F$156)/10000</f>
        <v>18.016448</v>
      </c>
      <c r="H7" s="279">
        <f>SUMIF(累计考核费用!$B$107:$B$156,原格式费用考核表!$B7,累计考核费用!G$107:G$156)/10000</f>
        <v>-0.12114000000000001</v>
      </c>
      <c r="I7" s="279">
        <f>SUMIF(累计考核费用!$B$107:$B$156,原格式费用考核表!$B7,累计考核费用!H$107:H$156)/10000</f>
        <v>0.16100899999999999</v>
      </c>
      <c r="J7" s="279">
        <f>SUMIF(累计考核费用!$B$107:$B$156,原格式费用考核表!$B7,累计考核费用!I$107:I$156)/10000</f>
        <v>-0.12114100000000001</v>
      </c>
      <c r="K7" s="279">
        <f>SUMIF(累计考核费用!$B$107:$B$156,原格式费用考核表!$B7,累计考核费用!J$107:J$156)/10000</f>
        <v>0</v>
      </c>
      <c r="L7" s="279">
        <f>SUMIF(累计考核费用!$B$107:$B$156,原格式费用考核表!$B7,累计考核费用!K$107:K$156)/10000</f>
        <v>0</v>
      </c>
      <c r="M7" s="279">
        <f>SUMIF(累计考核费用!$B$107:$B$156,原格式费用考核表!$B7,累计考核费用!L$107:L$156)/10000</f>
        <v>0</v>
      </c>
      <c r="N7" s="279">
        <f>SUMIF(累计考核费用!$B$107:$B$156,原格式费用考核表!$B7,累计考核费用!M$107:M$156)/10000</f>
        <v>0.28215000000000001</v>
      </c>
      <c r="O7" s="279">
        <f>SUMIF(累计考核费用!$B$107:$B$156,原格式费用考核表!$B7,累计考核费用!N$107:N$156)/10000</f>
        <v>0</v>
      </c>
      <c r="P7" s="279">
        <f>SUMIF(累计考核费用!$B$107:$B$156,原格式费用考核表!$B7,累计考核费用!O$107:O$156)/10000</f>
        <v>0</v>
      </c>
      <c r="Q7" s="279">
        <f>SUMIF(累计考核费用!$B$107:$B$156,原格式费用考核表!$B7,累计考核费用!P$107:P$156)/10000</f>
        <v>0</v>
      </c>
      <c r="R7" s="279">
        <f>SUMIF(累计考核费用!$B$107:$B$156,原格式费用考核表!$B7,累计考核费用!Q$107:Q$156)/10000</f>
        <v>0</v>
      </c>
      <c r="S7" s="279">
        <f>SUMIF(累计考核费用!$B$107:$B$156,原格式费用考核表!$B7,累计考核费用!R$107:R$156)/10000</f>
        <v>-0.12114000000000001</v>
      </c>
      <c r="T7" s="279">
        <f>SUMIF(累计考核费用!$B$107:$B$156,原格式费用考核表!$B7,累计考核费用!S$107:S$156)/10000</f>
        <v>0</v>
      </c>
      <c r="U7" s="279">
        <f>SUMIF(累计考核费用!$B$107:$B$156,原格式费用考核表!$B7,累计考核费用!T$107:T$156)/10000</f>
        <v>0</v>
      </c>
      <c r="V7" s="279">
        <f>SUMIF(累计考核费用!$B$107:$B$156,原格式费用考核表!$B7,累计考核费用!U$107:U$156)/10000</f>
        <v>0</v>
      </c>
      <c r="W7" s="279">
        <f>SUMIF(累计考核费用!$B$107:$B$156,原格式费用考核表!$B7,累计考核费用!V$107:V$156)/10000</f>
        <v>-0.12114000000000001</v>
      </c>
      <c r="X7" s="279">
        <f>SUMIF(累计考核费用!$B$107:$B$156,原格式费用考核表!$B7,累计考核费用!W$107:W$156)/10000</f>
        <v>0</v>
      </c>
      <c r="Y7" s="279">
        <f>SUMIF(累计考核费用!$B$107:$B$156,原格式费用考核表!$B7,累计考核费用!X$107:X$156)/10000</f>
        <v>0</v>
      </c>
      <c r="Z7" s="279">
        <f>SUMIF(累计考核费用!$B$107:$B$156,原格式费用考核表!$B7,累计考核费用!Y$107:Y$156)/10000</f>
        <v>0</v>
      </c>
      <c r="AA7" s="279">
        <f>SUMIF(累计考核费用!$B$107:$B$156,原格式费用考核表!$B7,累计考核费用!Z$107:Z$156)/10000</f>
        <v>3.11266</v>
      </c>
      <c r="AB7" s="279">
        <f>SUMIF(累计考核费用!$B$107:$B$156,原格式费用考核表!$B7,累计考核费用!AA$107:AA$156)/10000</f>
        <v>0</v>
      </c>
    </row>
    <row r="8" spans="1:28" s="27" customFormat="1" ht="12" customHeight="1">
      <c r="A8" s="323"/>
      <c r="B8" s="266" t="s">
        <v>66</v>
      </c>
      <c r="C8" s="266" t="s">
        <v>65</v>
      </c>
      <c r="D8" s="279">
        <f>SUMIF(累计考核费用!$B$107:$B$156,原格式费用考核表!$B8,累计考核费用!C$107:C$156)/10000</f>
        <v>270.448396</v>
      </c>
      <c r="E8" s="279">
        <f>SUMIF(累计考核费用!$B$107:$B$156,原格式费用考核表!$B8,累计考核费用!D$107:D$156)/10000</f>
        <v>0</v>
      </c>
      <c r="F8" s="279">
        <f>SUMIF(累计考核费用!$B$107:$B$156,原格式费用考核表!$B8,累计考核费用!E$107:E$156)/10000</f>
        <v>65.426000000000002</v>
      </c>
      <c r="G8" s="279">
        <f>SUMIF(累计考核费用!$B$107:$B$156,原格式费用考核表!$B8,累计考核费用!F$107:F$156)/10000</f>
        <v>126.780396</v>
      </c>
      <c r="H8" s="279">
        <f>SUMIF(累计考核费用!$B$107:$B$156,原格式费用考核表!$B8,累计考核费用!G$107:G$156)/10000</f>
        <v>8.9860000000000007</v>
      </c>
      <c r="I8" s="279">
        <f>SUMIF(累计考核费用!$B$107:$B$156,原格式费用考核表!$B8,累计考核费用!H$107:H$156)/10000</f>
        <v>17.628</v>
      </c>
      <c r="J8" s="279">
        <f>SUMIF(累计考核费用!$B$107:$B$156,原格式费用考核表!$B8,累计考核费用!I$107:I$156)/10000</f>
        <v>5.6139999999999999</v>
      </c>
      <c r="K8" s="279">
        <f>SUMIF(累计考核费用!$B$107:$B$156,原格式费用考核表!$B8,累计考核费用!J$107:J$156)/10000</f>
        <v>0</v>
      </c>
      <c r="L8" s="279">
        <f>SUMIF(累计考核费用!$B$107:$B$156,原格式费用考核表!$B8,累计考核费用!K$107:K$156)/10000</f>
        <v>4.4939999999999998</v>
      </c>
      <c r="M8" s="279">
        <f>SUMIF(累计考核费用!$B$107:$B$156,原格式费用考核表!$B8,累计考核费用!L$107:L$156)/10000</f>
        <v>0</v>
      </c>
      <c r="N8" s="279">
        <f>SUMIF(累计考核费用!$B$107:$B$156,原格式费用考核表!$B8,累计考核费用!M$107:M$156)/10000</f>
        <v>2.3519999999999999</v>
      </c>
      <c r="O8" s="279">
        <f>SUMIF(累计考核费用!$B$107:$B$156,原格式费用考核表!$B8,累计考核费用!N$107:N$156)/10000</f>
        <v>0</v>
      </c>
      <c r="P8" s="279">
        <f>SUMIF(累计考核费用!$B$107:$B$156,原格式费用考核表!$B8,累计考核费用!O$107:O$156)/10000</f>
        <v>1.518</v>
      </c>
      <c r="Q8" s="279">
        <f>SUMIF(累计考核费用!$B$107:$B$156,原格式费用考核表!$B8,累计考核费用!P$107:P$156)/10000</f>
        <v>3.65</v>
      </c>
      <c r="R8" s="279">
        <f>SUMIF(累计考核费用!$B$107:$B$156,原格式费用考核表!$B8,累计考核费用!Q$107:Q$156)/10000</f>
        <v>10.818</v>
      </c>
      <c r="S8" s="279">
        <f>SUMIF(累计考核费用!$B$107:$B$156,原格式费用考核表!$B8,累计考核费用!R$107:R$156)/10000</f>
        <v>18.457999999999998</v>
      </c>
      <c r="T8" s="279">
        <f>SUMIF(累计考核费用!$B$107:$B$156,原格式费用考核表!$B8,累计考核费用!S$107:S$156)/10000</f>
        <v>0</v>
      </c>
      <c r="U8" s="279">
        <f>SUMIF(累计考核费用!$B$107:$B$156,原格式费用考核表!$B8,累计考核费用!T$107:T$156)/10000</f>
        <v>8.3640000000000008</v>
      </c>
      <c r="V8" s="279">
        <f>SUMIF(累计考核费用!$B$107:$B$156,原格式费用考核表!$B8,累计考核费用!U$107:U$156)/10000</f>
        <v>7.4560000000000004</v>
      </c>
      <c r="W8" s="279">
        <f>SUMIF(累计考核费用!$B$107:$B$156,原格式费用考核表!$B8,累计考核费用!V$107:V$156)/10000</f>
        <v>2.6379999999999999</v>
      </c>
      <c r="X8" s="279">
        <f>SUMIF(累计考核费用!$B$107:$B$156,原格式费用考核表!$B8,累计考核费用!W$107:W$156)/10000</f>
        <v>5.3840000000000003</v>
      </c>
      <c r="Y8" s="279">
        <f>SUMIF(累计考核费用!$B$107:$B$156,原格式费用考核表!$B8,累计考核费用!X$107:X$156)/10000</f>
        <v>3.3460000000000001</v>
      </c>
      <c r="Z8" s="279">
        <f>SUMIF(累计考核费用!$B$107:$B$156,原格式费用考核表!$B8,累计考核费用!Y$107:Y$156)/10000</f>
        <v>2.0379999999999998</v>
      </c>
      <c r="AA8" s="279">
        <f>SUMIF(累计考核费用!$B$107:$B$156,原格式费用考核表!$B8,累计考核费用!Z$107:Z$156)/10000</f>
        <v>16.702000000000002</v>
      </c>
      <c r="AB8" s="279">
        <f>SUMIF(累计考核费用!$B$107:$B$156,原格式费用考核表!$B8,累计考核费用!AA$107:AA$156)/10000</f>
        <v>0.26600000000000001</v>
      </c>
    </row>
    <row r="9" spans="1:28" s="27" customFormat="1" ht="12" customHeight="1">
      <c r="A9" s="323"/>
      <c r="B9" s="266" t="s">
        <v>67</v>
      </c>
      <c r="C9" s="266" t="s">
        <v>66</v>
      </c>
      <c r="D9" s="267">
        <f>D56</f>
        <v>50.166796999999995</v>
      </c>
      <c r="E9" s="267">
        <f t="shared" ref="E9:J9" si="0">E56</f>
        <v>0</v>
      </c>
      <c r="F9" s="267">
        <f t="shared" si="0"/>
        <v>19.743404000000002</v>
      </c>
      <c r="G9" s="267">
        <f t="shared" si="0"/>
        <v>21.382383000000001</v>
      </c>
      <c r="H9" s="267">
        <f t="shared" si="0"/>
        <v>1.2</v>
      </c>
      <c r="I9" s="267">
        <f t="shared" si="0"/>
        <v>4.3324100000000003</v>
      </c>
      <c r="J9" s="267">
        <f t="shared" si="0"/>
        <v>0.127</v>
      </c>
      <c r="K9" s="267"/>
      <c r="L9" s="267">
        <f>K56</f>
        <v>1.373904</v>
      </c>
      <c r="M9" s="267"/>
      <c r="N9" s="267">
        <f>L56</f>
        <v>0.91659999999999997</v>
      </c>
      <c r="O9" s="267">
        <f t="shared" ref="O9:Q9" si="1">M56</f>
        <v>0</v>
      </c>
      <c r="P9" s="267">
        <f t="shared" si="1"/>
        <v>1.3539060000000001</v>
      </c>
      <c r="Q9" s="267">
        <f t="shared" si="1"/>
        <v>0.56100000000000005</v>
      </c>
      <c r="R9" s="267">
        <f t="shared" ref="R9" si="2">P56</f>
        <v>0.8</v>
      </c>
      <c r="S9" s="267">
        <f t="shared" ref="S9:T9" si="3">Q56</f>
        <v>0.999</v>
      </c>
      <c r="T9" s="267">
        <f t="shared" si="3"/>
        <v>0</v>
      </c>
      <c r="U9" s="267">
        <f t="shared" ref="U9" si="4">S56</f>
        <v>0.16</v>
      </c>
      <c r="V9" s="267">
        <f t="shared" ref="V9:W9" si="5">T56</f>
        <v>0</v>
      </c>
      <c r="W9" s="267">
        <f t="shared" si="5"/>
        <v>0.83899999999999997</v>
      </c>
      <c r="X9" s="267">
        <f t="shared" ref="X9" si="6">V56</f>
        <v>1.7096</v>
      </c>
      <c r="Y9" s="267">
        <f t="shared" ref="Y9" si="7">W56</f>
        <v>1.2290000000000001</v>
      </c>
      <c r="Z9" s="267">
        <f t="shared" ref="Z9" si="8">X56</f>
        <v>0.48060000000000003</v>
      </c>
      <c r="AA9" s="267">
        <f t="shared" ref="AA9" si="9">Y56</f>
        <v>0</v>
      </c>
      <c r="AB9" s="267">
        <f t="shared" ref="AB9" si="10">Z56</f>
        <v>0</v>
      </c>
    </row>
    <row r="10" spans="1:28" s="27" customFormat="1" ht="12" customHeight="1">
      <c r="A10" s="323"/>
      <c r="B10" s="266" t="s">
        <v>68</v>
      </c>
      <c r="C10" s="266" t="s">
        <v>241</v>
      </c>
      <c r="D10" s="279">
        <f>SUMIF(累计考核费用!$B$107:$B$156,原格式费用考核表!$B10,累计考核费用!C$107:C$156)/10000</f>
        <v>14829.094733000002</v>
      </c>
      <c r="E10" s="279">
        <f>SUMIF(累计考核费用!$B$107:$B$156,原格式费用考核表!$B10,累计考核费用!D$107:D$156)/10000</f>
        <v>0</v>
      </c>
      <c r="F10" s="279">
        <f>SUMIF(累计考核费用!$B$107:$B$156,原格式费用考核表!$B10,累计考核费用!E$107:E$156)/10000</f>
        <v>14726.95</v>
      </c>
      <c r="G10" s="279">
        <f>SUMIF(累计考核费用!$B$107:$B$156,原格式费用考核表!$B10,累计考核费用!F$107:F$156)/10000</f>
        <v>0</v>
      </c>
      <c r="H10" s="279">
        <f>SUMIF(累计考核费用!$B$107:$B$156,原格式费用考核表!$B10,累计考核费用!G$107:G$156)/10000</f>
        <v>102.144733</v>
      </c>
      <c r="I10" s="279">
        <f>SUMIF(累计考核费用!$B$107:$B$156,原格式费用考核表!$B10,累计考核费用!H$107:H$156)/10000</f>
        <v>0</v>
      </c>
      <c r="J10" s="279">
        <f>SUMIF(累计考核费用!$B$107:$B$156,原格式费用考核表!$B10,累计考核费用!I$107:I$156)/10000</f>
        <v>0</v>
      </c>
      <c r="K10" s="279">
        <f>SUMIF(累计考核费用!$B$107:$B$156,原格式费用考核表!$B10,累计考核费用!J$107:J$156)/10000</f>
        <v>0</v>
      </c>
      <c r="L10" s="279">
        <f>SUMIF(累计考核费用!$B$107:$B$156,原格式费用考核表!$B10,累计考核费用!K$107:K$156)/10000</f>
        <v>0</v>
      </c>
      <c r="M10" s="279">
        <f>SUMIF(累计考核费用!$B$107:$B$156,原格式费用考核表!$B10,累计考核费用!L$107:L$156)/10000</f>
        <v>0</v>
      </c>
      <c r="N10" s="279">
        <f>SUMIF(累计考核费用!$B$107:$B$156,原格式费用考核表!$B10,累计考核费用!M$107:M$156)/10000</f>
        <v>0</v>
      </c>
      <c r="O10" s="279">
        <f>SUMIF(累计考核费用!$B$107:$B$156,原格式费用考核表!$B10,累计考核费用!N$107:N$156)/10000</f>
        <v>0</v>
      </c>
      <c r="P10" s="279">
        <f>SUMIF(累计考核费用!$B$107:$B$156,原格式费用考核表!$B10,累计考核费用!O$107:O$156)/10000</f>
        <v>0</v>
      </c>
      <c r="Q10" s="279">
        <f>SUMIF(累计考核费用!$B$107:$B$156,原格式费用考核表!$B10,累计考核费用!P$107:P$156)/10000</f>
        <v>0</v>
      </c>
      <c r="R10" s="279">
        <f>SUMIF(累计考核费用!$B$107:$B$156,原格式费用考核表!$B10,累计考核费用!Q$107:Q$156)/10000</f>
        <v>0</v>
      </c>
      <c r="S10" s="279">
        <f>SUMIF(累计考核费用!$B$107:$B$156,原格式费用考核表!$B10,累计考核费用!R$107:R$156)/10000</f>
        <v>0</v>
      </c>
      <c r="T10" s="279">
        <f>SUMIF(累计考核费用!$B$107:$B$156,原格式费用考核表!$B10,累计考核费用!S$107:S$156)/10000</f>
        <v>0</v>
      </c>
      <c r="U10" s="279">
        <f>SUMIF(累计考核费用!$B$107:$B$156,原格式费用考核表!$B10,累计考核费用!T$107:T$156)/10000</f>
        <v>0</v>
      </c>
      <c r="V10" s="279">
        <f>SUMIF(累计考核费用!$B$107:$B$156,原格式费用考核表!$B10,累计考核费用!U$107:U$156)/10000</f>
        <v>0</v>
      </c>
      <c r="W10" s="279">
        <f>SUMIF(累计考核费用!$B$107:$B$156,原格式费用考核表!$B10,累计考核费用!V$107:V$156)/10000</f>
        <v>0</v>
      </c>
      <c r="X10" s="279">
        <f>SUMIF(累计考核费用!$B$107:$B$156,原格式费用考核表!$B10,累计考核费用!W$107:W$156)/10000</f>
        <v>0</v>
      </c>
      <c r="Y10" s="279">
        <f>SUMIF(累计考核费用!$B$107:$B$156,原格式费用考核表!$B10,累计考核费用!X$107:X$156)/10000</f>
        <v>0</v>
      </c>
      <c r="Z10" s="279">
        <f>SUMIF(累计考核费用!$B$107:$B$156,原格式费用考核表!$B10,累计考核费用!Y$107:Y$156)/10000</f>
        <v>0</v>
      </c>
      <c r="AA10" s="279">
        <f>SUMIF(累计考核费用!$B$107:$B$156,原格式费用考核表!$B10,累计考核费用!Z$107:Z$156)/10000</f>
        <v>0</v>
      </c>
      <c r="AB10" s="279">
        <f>SUMIF(累计考核费用!$B$107:$B$156,原格式费用考核表!$B10,累计考核费用!AA$107:AA$156)/10000</f>
        <v>0</v>
      </c>
    </row>
    <row r="11" spans="1:28" s="27" customFormat="1" ht="12" customHeight="1">
      <c r="A11" s="324"/>
      <c r="B11" s="266" t="s">
        <v>69</v>
      </c>
      <c r="C11" s="266" t="s">
        <v>68</v>
      </c>
      <c r="D11" s="268">
        <f t="shared" ref="D11:G11" si="11">SUM(D2:D10)</f>
        <v>37387.177043000003</v>
      </c>
      <c r="E11" s="268">
        <f t="shared" si="11"/>
        <v>-50.5822</v>
      </c>
      <c r="F11" s="268">
        <f t="shared" si="11"/>
        <v>20237.830672000004</v>
      </c>
      <c r="G11" s="268">
        <f t="shared" si="11"/>
        <v>10900.846454999999</v>
      </c>
      <c r="H11" s="268">
        <f>SUM(H2:H10)</f>
        <v>766.69157399999995</v>
      </c>
      <c r="I11" s="268">
        <f t="shared" ref="I11" si="12">SUM(I2:I10)</f>
        <v>1719.7933049999997</v>
      </c>
      <c r="J11" s="268">
        <f t="shared" ref="J11" si="13">SUM(J2:J10)</f>
        <v>490.718704</v>
      </c>
      <c r="K11" s="268">
        <f t="shared" ref="K11" si="14">SUM(K2:K10)</f>
        <v>62.159725999999999</v>
      </c>
      <c r="L11" s="268">
        <f t="shared" ref="L11:M11" si="15">SUM(L2:L10)</f>
        <v>370.14517299999994</v>
      </c>
      <c r="M11" s="268">
        <f t="shared" si="15"/>
        <v>0</v>
      </c>
      <c r="N11" s="268">
        <f t="shared" ref="N11" si="16">SUM(N2:N10)</f>
        <v>220.533637</v>
      </c>
      <c r="O11" s="268">
        <f t="shared" ref="O11" si="17">SUM(O2:O10)</f>
        <v>0</v>
      </c>
      <c r="P11" s="268">
        <f t="shared" ref="P11" si="18">SUM(P2:P10)</f>
        <v>213.85090700000001</v>
      </c>
      <c r="Q11" s="268">
        <f t="shared" ref="Q11:R11" si="19">SUM(Q2:Q10)</f>
        <v>362.38515799999999</v>
      </c>
      <c r="R11" s="268">
        <f t="shared" si="19"/>
        <v>707.34271799999988</v>
      </c>
      <c r="S11" s="268">
        <f t="shared" ref="S11" si="20">SUM(S2:S10)</f>
        <v>2132.5169709999996</v>
      </c>
      <c r="T11" s="268">
        <f t="shared" ref="T11" si="21">SUM(T2:T10)</f>
        <v>0</v>
      </c>
      <c r="U11" s="268">
        <f t="shared" ref="U11" si="22">SUM(U2:U10)</f>
        <v>814.363292</v>
      </c>
      <c r="V11" s="268">
        <f t="shared" ref="V11:W11" si="23">SUM(V2:V10)</f>
        <v>1051.447478</v>
      </c>
      <c r="W11" s="268">
        <f t="shared" si="23"/>
        <v>266.70620099999996</v>
      </c>
      <c r="X11" s="268">
        <f t="shared" ref="X11" si="24">SUM(X2:X10)</f>
        <v>268.54359599999998</v>
      </c>
      <c r="Y11" s="268">
        <f t="shared" ref="Y11" si="25">SUM(Y2:Y10)</f>
        <v>189.80428599999999</v>
      </c>
      <c r="Z11" s="268">
        <f t="shared" ref="Z11" si="26">SUM(Z2:Z10)</f>
        <v>78.739309999999989</v>
      </c>
      <c r="AA11" s="268">
        <f t="shared" ref="AA11:AB11" si="27">SUM(AA2:AA10)</f>
        <v>693.97583900000006</v>
      </c>
      <c r="AB11" s="268">
        <f t="shared" si="27"/>
        <v>10.218113000000001</v>
      </c>
    </row>
    <row r="12" spans="1:28" s="27" customFormat="1" ht="12" customHeight="1">
      <c r="A12" s="325" t="s">
        <v>70</v>
      </c>
      <c r="B12" s="270" t="s">
        <v>71</v>
      </c>
      <c r="C12" s="270" t="s">
        <v>69</v>
      </c>
      <c r="D12" s="279">
        <f>SUMIF(累计考核费用!$B$107:$B$156,原格式费用考核表!$B12,累计考核费用!C$107:C$156)/10000</f>
        <v>8257.8070280000011</v>
      </c>
      <c r="E12" s="279">
        <f>SUMIF(累计考核费用!$B$107:$B$156,原格式费用考核表!$B12,累计考核费用!D$107:D$156)/10000</f>
        <v>0</v>
      </c>
      <c r="F12" s="279">
        <f>SUMIF(累计考核费用!$B$107:$B$156,原格式费用考核表!$B12,累计考核费用!E$107:E$156)/10000</f>
        <v>0</v>
      </c>
      <c r="G12" s="279">
        <f>SUMIF(累计考核费用!$B$107:$B$156,原格式费用考核表!$B12,累计考核费用!F$107:F$156)/10000</f>
        <v>3723.7939580000011</v>
      </c>
      <c r="H12" s="279">
        <f>SUMIF(累计考核费用!$B$107:$B$156,原格式费用考核表!$B12,累计考核费用!G$107:G$156)/10000</f>
        <v>0</v>
      </c>
      <c r="I12" s="279">
        <f>SUMIF(累计考核费用!$B$107:$B$156,原格式费用考核表!$B12,累计考核费用!H$107:H$156)/10000</f>
        <v>33.671303000000002</v>
      </c>
      <c r="J12" s="279">
        <f>SUMIF(累计考核费用!$B$107:$B$156,原格式费用考核表!$B12,累计考核费用!I$107:I$156)/10000</f>
        <v>0</v>
      </c>
      <c r="K12" s="279">
        <f>SUMIF(累计考核费用!$B$107:$B$156,原格式费用考核表!$B12,累计考核费用!J$107:J$156)/10000</f>
        <v>0</v>
      </c>
      <c r="L12" s="279">
        <f>SUMIF(累计考核费用!$B$107:$B$156,原格式费用考核表!$B12,累计考核费用!K$107:K$156)/10000</f>
        <v>0</v>
      </c>
      <c r="M12" s="279">
        <f>SUMIF(累计考核费用!$B$107:$B$156,原格式费用考核表!$B12,累计考核费用!L$107:L$156)/10000</f>
        <v>0</v>
      </c>
      <c r="N12" s="279">
        <f>SUMIF(累计考核费用!$B$107:$B$156,原格式费用考核表!$B12,累计考核费用!M$107:M$156)/10000</f>
        <v>23.997085999999999</v>
      </c>
      <c r="O12" s="279">
        <f>SUMIF(累计考核费用!$B$107:$B$156,原格式费用考核表!$B12,累计考核费用!N$107:N$156)/10000</f>
        <v>0</v>
      </c>
      <c r="P12" s="279">
        <f>SUMIF(累计考核费用!$B$107:$B$156,原格式费用考核表!$B12,累计考核费用!O$107:O$156)/10000</f>
        <v>0</v>
      </c>
      <c r="Q12" s="279">
        <f>SUMIF(累计考核费用!$B$107:$B$156,原格式费用考核表!$B12,累计考核费用!P$107:P$156)/10000</f>
        <v>9.6742170000000005</v>
      </c>
      <c r="R12" s="279">
        <f>SUMIF(累计考核费用!$B$107:$B$156,原格式费用考核表!$B12,累计考核费用!Q$107:Q$156)/10000</f>
        <v>201.55019999999999</v>
      </c>
      <c r="S12" s="279">
        <f>SUMIF(累计考核费用!$B$107:$B$156,原格式费用考核表!$B12,累计考核费用!R$107:R$156)/10000</f>
        <v>4258.7915670000002</v>
      </c>
      <c r="T12" s="279">
        <f>SUMIF(累计考核费用!$B$107:$B$156,原格式费用考核表!$B12,累计考核费用!S$107:S$156)/10000</f>
        <v>0</v>
      </c>
      <c r="U12" s="279">
        <f>SUMIF(累计考核费用!$B$107:$B$156,原格式费用考核表!$B12,累计考核费用!T$107:T$156)/10000</f>
        <v>3483.2437</v>
      </c>
      <c r="V12" s="279">
        <f>SUMIF(累计考核费用!$B$107:$B$156,原格式费用考核表!$B12,累计考核费用!U$107:U$156)/10000</f>
        <v>775.547867</v>
      </c>
      <c r="W12" s="279">
        <f>SUMIF(累计考核费用!$B$107:$B$156,原格式费用考核表!$B12,累计考核费用!V$107:V$156)/10000</f>
        <v>0</v>
      </c>
      <c r="X12" s="279">
        <f>SUMIF(累计考核费用!$B$107:$B$156,原格式费用考核表!$B12,累计考核费用!W$107:W$156)/10000</f>
        <v>40</v>
      </c>
      <c r="Y12" s="279">
        <f>SUMIF(累计考核费用!$B$107:$B$156,原格式费用考核表!$B12,累计考核费用!X$107:X$156)/10000</f>
        <v>40</v>
      </c>
      <c r="Z12" s="279">
        <f>SUMIF(累计考核费用!$B$107:$B$156,原格式费用考核表!$B12,累计考核费用!Y$107:Y$156)/10000</f>
        <v>0</v>
      </c>
      <c r="AA12" s="279">
        <f>SUMIF(累计考核费用!$B$107:$B$156,原格式费用考核表!$B12,累计考核费用!Z$107:Z$156)/10000</f>
        <v>0</v>
      </c>
      <c r="AB12" s="279">
        <f>SUMIF(累计考核费用!$B$107:$B$156,原格式费用考核表!$B12,累计考核费用!AA$107:AA$156)/10000</f>
        <v>0</v>
      </c>
    </row>
    <row r="13" spans="1:28" s="27" customFormat="1" ht="12" customHeight="1">
      <c r="A13" s="326"/>
      <c r="B13" s="270" t="s">
        <v>72</v>
      </c>
      <c r="C13" s="270" t="s">
        <v>71</v>
      </c>
      <c r="D13" s="279">
        <f>累计考核费用!C120/10000</f>
        <v>8245.6267919999991</v>
      </c>
      <c r="E13" s="279">
        <f>累计考核费用!D120/10000</f>
        <v>-7.8</v>
      </c>
      <c r="F13" s="279">
        <f>累计考核费用!E120/10000</f>
        <v>0</v>
      </c>
      <c r="G13" s="279">
        <f>累计考核费用!F120/10000</f>
        <v>3261.695389999999</v>
      </c>
      <c r="H13" s="279">
        <f>累计考核费用!G120/10000</f>
        <v>0</v>
      </c>
      <c r="I13" s="279">
        <f>累计考核费用!H120/10000</f>
        <v>7.8</v>
      </c>
      <c r="J13" s="279">
        <f>累计考核费用!I120/10000</f>
        <v>0</v>
      </c>
      <c r="K13" s="279">
        <f>累计考核费用!J120/10000</f>
        <v>0</v>
      </c>
      <c r="L13" s="279">
        <f>累计考核费用!K120/10000</f>
        <v>3.56E-2</v>
      </c>
      <c r="M13" s="279">
        <f>累计考核费用!L120/10000</f>
        <v>0</v>
      </c>
      <c r="N13" s="279">
        <f>累计考核费用!M120/10000</f>
        <v>0</v>
      </c>
      <c r="O13" s="279">
        <f>累计考核费用!N120/10000</f>
        <v>0</v>
      </c>
      <c r="P13" s="279">
        <f>累计考核费用!O120/10000</f>
        <v>0</v>
      </c>
      <c r="Q13" s="279">
        <f>累计考核费用!P120/10000</f>
        <v>7.8</v>
      </c>
      <c r="R13" s="279">
        <f>累计考核费用!Q120/10000</f>
        <v>232.00790000000001</v>
      </c>
      <c r="S13" s="279">
        <f>累计考核费用!R120/10000</f>
        <v>4731.4489020000001</v>
      </c>
      <c r="T13" s="279">
        <f>累计考核费用!S120/10000</f>
        <v>0</v>
      </c>
      <c r="U13" s="279">
        <f>累计考核费用!T120/10000</f>
        <v>4207.1989020000001</v>
      </c>
      <c r="V13" s="279">
        <f>累计考核费用!U120/10000</f>
        <v>524.25</v>
      </c>
      <c r="W13" s="279">
        <f>累计考核费用!V120/10000</f>
        <v>0</v>
      </c>
      <c r="X13" s="279">
        <f>累计考核费用!W120/10000</f>
        <v>20.474599999999999</v>
      </c>
      <c r="Y13" s="279">
        <f>累计考核费用!X120/10000</f>
        <v>0</v>
      </c>
      <c r="Z13" s="279">
        <f>累计考核费用!Y120/10000</f>
        <v>20.474599999999999</v>
      </c>
      <c r="AA13" s="279">
        <f>累计考核费用!Z120/10000</f>
        <v>0</v>
      </c>
      <c r="AB13" s="279">
        <f>累计考核费用!AA120/10000</f>
        <v>0</v>
      </c>
    </row>
    <row r="14" spans="1:28" s="27" customFormat="1" ht="12" customHeight="1">
      <c r="A14" s="326"/>
      <c r="B14" s="270" t="s">
        <v>73</v>
      </c>
      <c r="C14" s="270" t="s">
        <v>242</v>
      </c>
      <c r="D14" s="279">
        <f>SUMIF(累计考核费用!$B$107:$B$156,原格式费用考核表!$B14,累计考核费用!C$107:C$156)/10000</f>
        <v>1785.5023090000007</v>
      </c>
      <c r="E14" s="279">
        <f>SUMIF(累计考核费用!$B$107:$B$156,原格式费用考核表!$B14,累计考核费用!D$107:D$156)/10000</f>
        <v>-59.010035000000009</v>
      </c>
      <c r="F14" s="279">
        <f>SUMIF(累计考核费用!$B$107:$B$156,原格式费用考核表!$B14,累计考核费用!E$107:E$156)/10000</f>
        <v>-339.27702400000004</v>
      </c>
      <c r="G14" s="279">
        <f>SUMIF(累计考核费用!$B$107:$B$156,原格式费用考核表!$B14,累计考核费用!F$107:F$156)/10000</f>
        <v>1603.7728830000005</v>
      </c>
      <c r="H14" s="279">
        <f>SUMIF(累计考核费用!$B$107:$B$156,原格式费用考核表!$B14,累计考核费用!G$107:G$156)/10000</f>
        <v>-166.85261299999996</v>
      </c>
      <c r="I14" s="279">
        <f>SUMIF(累计考核费用!$B$107:$B$156,原格式费用考核表!$B14,累计考核费用!H$107:H$156)/10000</f>
        <v>83.323048999999969</v>
      </c>
      <c r="J14" s="279">
        <f>SUMIF(累计考核费用!$B$107:$B$156,原格式费用考核表!$B14,累计考核费用!I$107:I$156)/10000</f>
        <v>276.14196099999998</v>
      </c>
      <c r="K14" s="279">
        <f>SUMIF(累计考核费用!$B$107:$B$156,原格式费用考核表!$B14,累计考核费用!J$107:J$156)/10000</f>
        <v>0</v>
      </c>
      <c r="L14" s="279">
        <f>SUMIF(累计考核费用!$B$107:$B$156,原格式费用考核表!$B14,累计考核费用!K$107:K$156)/10000</f>
        <v>-175.13227599999999</v>
      </c>
      <c r="M14" s="279">
        <f>SUMIF(累计考核费用!$B$107:$B$156,原格式费用考核表!$B14,累计考核费用!L$107:L$156)/10000</f>
        <v>0</v>
      </c>
      <c r="N14" s="279">
        <f>SUMIF(累计考核费用!$B$107:$B$156,原格式费用考核表!$B14,累计考核费用!M$107:M$156)/10000</f>
        <v>8.3577270000000006</v>
      </c>
      <c r="O14" s="279">
        <f>SUMIF(累计考核费用!$B$107:$B$156,原格式费用考核表!$B14,累计考核费用!N$107:N$156)/10000</f>
        <v>0</v>
      </c>
      <c r="P14" s="279">
        <f>SUMIF(累计考核费用!$B$107:$B$156,原格式费用考核表!$B14,累计考核费用!O$107:O$156)/10000</f>
        <v>4.3449999999999999E-3</v>
      </c>
      <c r="Q14" s="279">
        <f>SUMIF(累计考核费用!$B$107:$B$156,原格式费用考核表!$B14,累计考核费用!P$107:P$156)/10000</f>
        <v>-26.048708000000001</v>
      </c>
      <c r="R14" s="279">
        <f>SUMIF(累计考核费用!$B$107:$B$156,原格式费用考核表!$B14,累计考核费用!Q$107:Q$156)/10000</f>
        <v>51.643716999999995</v>
      </c>
      <c r="S14" s="279">
        <f>SUMIF(累计考核费用!$B$107:$B$156,原格式费用考核表!$B14,累计考核费用!R$107:R$156)/10000</f>
        <v>610.16394899999989</v>
      </c>
      <c r="T14" s="279">
        <f>SUMIF(累计考核费用!$B$107:$B$156,原格式费用考核表!$B14,累计考核费用!S$107:S$156)/10000</f>
        <v>0</v>
      </c>
      <c r="U14" s="279">
        <f>SUMIF(累计考核费用!$B$107:$B$156,原格式费用考核表!$B14,累计考核费用!T$107:T$156)/10000</f>
        <v>503.97849899999994</v>
      </c>
      <c r="V14" s="279">
        <f>SUMIF(累计考核费用!$B$107:$B$156,原格式费用考核表!$B14,累计考核费用!U$107:U$156)/10000</f>
        <v>98.710482999999982</v>
      </c>
      <c r="W14" s="279">
        <f>SUMIF(累计考核费用!$B$107:$B$156,原格式费用考核表!$B14,累计考核费用!V$107:V$156)/10000</f>
        <v>7.4749669999999995</v>
      </c>
      <c r="X14" s="279">
        <f>SUMIF(累计考核费用!$B$107:$B$156,原格式费用考核表!$B14,累计考核费用!W$107:W$156)/10000</f>
        <v>1.7386540000000001</v>
      </c>
      <c r="Y14" s="279">
        <f>SUMIF(累计考核费用!$B$107:$B$156,原格式费用考核表!$B14,累计考核费用!X$107:X$156)/10000</f>
        <v>2.418E-3</v>
      </c>
      <c r="Z14" s="279">
        <f>SUMIF(累计考核费用!$B$107:$B$156,原格式费用考核表!$B14,累计考核费用!Y$107:Y$156)/10000</f>
        <v>1.7362360000000001</v>
      </c>
      <c r="AA14" s="279">
        <f>SUMIF(累计考核费用!$B$107:$B$156,原格式费用考核表!$B14,累计考核费用!Z$107:Z$156)/10000</f>
        <v>-2.8299999999999999E-4</v>
      </c>
      <c r="AB14" s="279">
        <f>SUMIF(累计考核费用!$B$107:$B$156,原格式费用考核表!$B14,累计考核费用!AA$107:AA$156)/10000</f>
        <v>1.2E-5</v>
      </c>
    </row>
    <row r="15" spans="1:28" s="27" customFormat="1" ht="12" customHeight="1">
      <c r="A15" s="326"/>
      <c r="B15" s="270" t="s">
        <v>74</v>
      </c>
      <c r="C15" s="270" t="s">
        <v>73</v>
      </c>
      <c r="D15" s="279">
        <f>SUMIF(累计考核费用!$B$107:$B$156,原格式费用考核表!$B15,累计考核费用!C$107:C$156)/10000</f>
        <v>1350.2433289999999</v>
      </c>
      <c r="E15" s="279">
        <f>SUMIF(累计考核费用!$B$107:$B$156,原格式费用考核表!$B15,累计考核费用!D$107:D$156)/10000</f>
        <v>0</v>
      </c>
      <c r="F15" s="279">
        <f>SUMIF(累计考核费用!$B$107:$B$156,原格式费用考核表!$B15,累计考核费用!E$107:E$156)/10000</f>
        <v>0</v>
      </c>
      <c r="G15" s="279">
        <f>SUMIF(累计考核费用!$B$107:$B$156,原格式费用考核表!$B15,累计考核费用!F$107:F$156)/10000</f>
        <v>1289.016969</v>
      </c>
      <c r="H15" s="279">
        <f>SUMIF(累计考核费用!$B$107:$B$156,原格式费用考核表!$B15,累计考核费用!G$107:G$156)/10000</f>
        <v>49.265982999999999</v>
      </c>
      <c r="I15" s="279">
        <f>SUMIF(累计考核费用!$B$107:$B$156,原格式费用考核表!$B15,累计考核费用!H$107:H$156)/10000</f>
        <v>11.960377000000001</v>
      </c>
      <c r="J15" s="279">
        <f>SUMIF(累计考核费用!$B$107:$B$156,原格式费用考核表!$B15,累计考核费用!I$107:I$156)/10000</f>
        <v>11.160377000000002</v>
      </c>
      <c r="K15" s="279">
        <f>SUMIF(累计考核费用!$B$107:$B$156,原格式费用考核表!$B15,累计考核费用!J$107:J$156)/10000</f>
        <v>0</v>
      </c>
      <c r="L15" s="279">
        <f>SUMIF(累计考核费用!$B$107:$B$156,原格式费用考核表!$B15,累计考核费用!K$107:K$156)/10000</f>
        <v>0</v>
      </c>
      <c r="M15" s="279">
        <f>SUMIF(累计考核费用!$B$107:$B$156,原格式费用考核表!$B15,累计考核费用!L$107:L$156)/10000</f>
        <v>0</v>
      </c>
      <c r="N15" s="279">
        <f>SUMIF(累计考核费用!$B$107:$B$156,原格式费用考核表!$B15,累计考核费用!M$107:M$156)/10000</f>
        <v>0</v>
      </c>
      <c r="O15" s="279">
        <f>SUMIF(累计考核费用!$B$107:$B$156,原格式费用考核表!$B15,累计考核费用!N$107:N$156)/10000</f>
        <v>0</v>
      </c>
      <c r="P15" s="279">
        <f>SUMIF(累计考核费用!$B$107:$B$156,原格式费用考核表!$B15,累计考核费用!O$107:O$156)/10000</f>
        <v>0.8</v>
      </c>
      <c r="Q15" s="279">
        <f>SUMIF(累计考核费用!$B$107:$B$156,原格式费用考核表!$B15,累计考核费用!P$107:P$156)/10000</f>
        <v>0</v>
      </c>
      <c r="R15" s="279">
        <f>SUMIF(累计考核费用!$B$107:$B$156,原格式费用考核表!$B15,累计考核费用!Q$107:Q$156)/10000</f>
        <v>0</v>
      </c>
      <c r="S15" s="279">
        <f>SUMIF(累计考核费用!$B$107:$B$156,原格式费用考核表!$B15,累计考核费用!R$107:R$156)/10000</f>
        <v>0</v>
      </c>
      <c r="T15" s="279">
        <f>SUMIF(累计考核费用!$B$107:$B$156,原格式费用考核表!$B15,累计考核费用!S$107:S$156)/10000</f>
        <v>0</v>
      </c>
      <c r="U15" s="279">
        <f>SUMIF(累计考核费用!$B$107:$B$156,原格式费用考核表!$B15,累计考核费用!T$107:T$156)/10000</f>
        <v>0</v>
      </c>
      <c r="V15" s="279">
        <f>SUMIF(累计考核费用!$B$107:$B$156,原格式费用考核表!$B15,累计考核费用!U$107:U$156)/10000</f>
        <v>0</v>
      </c>
      <c r="W15" s="279">
        <f>SUMIF(累计考核费用!$B$107:$B$156,原格式费用考核表!$B15,累计考核费用!V$107:V$156)/10000</f>
        <v>0</v>
      </c>
      <c r="X15" s="279">
        <f>SUMIF(累计考核费用!$B$107:$B$156,原格式费用考核表!$B15,累计考核费用!W$107:W$156)/10000</f>
        <v>0</v>
      </c>
      <c r="Y15" s="279">
        <f>SUMIF(累计考核费用!$B$107:$B$156,原格式费用考核表!$B15,累计考核费用!X$107:X$156)/10000</f>
        <v>0</v>
      </c>
      <c r="Z15" s="279">
        <f>SUMIF(累计考核费用!$B$107:$B$156,原格式费用考核表!$B15,累计考核费用!Y$107:Y$156)/10000</f>
        <v>0</v>
      </c>
      <c r="AA15" s="279">
        <f>SUMIF(累计考核费用!$B$107:$B$156,原格式费用考核表!$B15,累计考核费用!Z$107:Z$156)/10000</f>
        <v>0</v>
      </c>
      <c r="AB15" s="279">
        <f>SUMIF(累计考核费用!$B$107:$B$156,原格式费用考核表!$B15,累计考核费用!AA$107:AA$156)/10000</f>
        <v>0</v>
      </c>
    </row>
    <row r="16" spans="1:28" s="27" customFormat="1" ht="12" customHeight="1">
      <c r="A16" s="327"/>
      <c r="B16" s="270" t="s">
        <v>69</v>
      </c>
      <c r="C16" s="270" t="s">
        <v>96</v>
      </c>
      <c r="D16" s="268">
        <f t="shared" ref="D16:AA16" si="28">SUM(D12:D15)</f>
        <v>19639.179457999999</v>
      </c>
      <c r="E16" s="268">
        <f t="shared" si="28"/>
        <v>-66.810035000000013</v>
      </c>
      <c r="F16" s="268">
        <f t="shared" si="28"/>
        <v>-339.27702400000004</v>
      </c>
      <c r="G16" s="268">
        <f t="shared" si="28"/>
        <v>9878.2792000000009</v>
      </c>
      <c r="H16" s="268">
        <f t="shared" si="28"/>
        <v>-117.58662999999996</v>
      </c>
      <c r="I16" s="268">
        <f t="shared" si="28"/>
        <v>136.75472899999997</v>
      </c>
      <c r="J16" s="268">
        <f t="shared" si="28"/>
        <v>287.30233799999996</v>
      </c>
      <c r="K16" s="268">
        <f t="shared" si="28"/>
        <v>0</v>
      </c>
      <c r="L16" s="268">
        <f t="shared" si="28"/>
        <v>-175.096676</v>
      </c>
      <c r="M16" s="268">
        <f t="shared" si="28"/>
        <v>0</v>
      </c>
      <c r="N16" s="268">
        <f t="shared" si="28"/>
        <v>32.354813</v>
      </c>
      <c r="O16" s="268">
        <f t="shared" si="28"/>
        <v>0</v>
      </c>
      <c r="P16" s="268">
        <f t="shared" si="28"/>
        <v>0.80434500000000009</v>
      </c>
      <c r="Q16" s="268">
        <f t="shared" si="28"/>
        <v>-8.5744910000000019</v>
      </c>
      <c r="R16" s="268">
        <f t="shared" si="28"/>
        <v>485.20181699999995</v>
      </c>
      <c r="S16" s="268">
        <f t="shared" si="28"/>
        <v>9600.4044180000001</v>
      </c>
      <c r="T16" s="268">
        <f t="shared" si="28"/>
        <v>0</v>
      </c>
      <c r="U16" s="268">
        <f t="shared" si="28"/>
        <v>8194.4211009999999</v>
      </c>
      <c r="V16" s="268">
        <f t="shared" si="28"/>
        <v>1398.5083500000001</v>
      </c>
      <c r="W16" s="268">
        <f t="shared" si="28"/>
        <v>7.4749669999999995</v>
      </c>
      <c r="X16" s="268">
        <f t="shared" si="28"/>
        <v>62.213253999999992</v>
      </c>
      <c r="Y16" s="268">
        <f t="shared" si="28"/>
        <v>40.002417999999999</v>
      </c>
      <c r="Z16" s="268">
        <f t="shared" si="28"/>
        <v>22.210836</v>
      </c>
      <c r="AA16" s="268">
        <f t="shared" si="28"/>
        <v>-2.8299999999999999E-4</v>
      </c>
      <c r="AB16" s="268">
        <f>SUM(AB12:AB15)</f>
        <v>1.2E-5</v>
      </c>
    </row>
    <row r="17" spans="1:28" s="27" customFormat="1" ht="12" customHeight="1">
      <c r="A17" s="319" t="s">
        <v>75</v>
      </c>
      <c r="B17" s="270" t="s">
        <v>76</v>
      </c>
      <c r="C17" s="270" t="s">
        <v>74</v>
      </c>
      <c r="D17" s="279">
        <f>SUMIF(累计考核费用!$B$107:$B$156,原格式费用考核表!$B17,累计考核费用!C$107:C$156)/10000</f>
        <v>3410.5856309999995</v>
      </c>
      <c r="E17" s="279">
        <f>SUMIF(累计考核费用!$B$107:$B$156,原格式费用考核表!$B17,累计考核费用!D$107:D$156)/10000</f>
        <v>0</v>
      </c>
      <c r="F17" s="279">
        <f>SUMIF(累计考核费用!$B$107:$B$156,原格式费用考核表!$B17,累计考核费用!E$107:E$156)/10000</f>
        <v>478.22593199999994</v>
      </c>
      <c r="G17" s="279">
        <f>SUMIF(累计考核费用!$B$107:$B$156,原格式费用考核表!$B17,累计考核费用!F$107:F$156)/10000</f>
        <v>1290.2933649999998</v>
      </c>
      <c r="H17" s="279">
        <f>SUMIF(累计考核费用!$B$107:$B$156,原格式费用考核表!$B17,累计考核费用!G$107:G$156)/10000</f>
        <v>149.77436299999999</v>
      </c>
      <c r="I17" s="279">
        <f>SUMIF(累计考核费用!$B$107:$B$156,原格式费用考核表!$B17,累计考核费用!H$107:H$156)/10000</f>
        <v>235.37615600000001</v>
      </c>
      <c r="J17" s="279">
        <f>SUMIF(累计考核费用!$B$107:$B$156,原格式费用考核表!$B17,累计考核费用!I$107:I$156)/10000</f>
        <v>72.573579000000009</v>
      </c>
      <c r="K17" s="279">
        <f>SUMIF(累计考核费用!$B$107:$B$156,原格式费用考核表!$B17,累计考核费用!J$107:J$156)/10000</f>
        <v>11.476788000000001</v>
      </c>
      <c r="L17" s="279">
        <f>SUMIF(累计考核费用!$B$107:$B$156,原格式费用考核表!$B17,累计考核费用!K$107:K$156)/10000</f>
        <v>46.186999999999998</v>
      </c>
      <c r="M17" s="279">
        <f>SUMIF(累计考核费用!$B$107:$B$156,原格式费用考核表!$B17,累计考核费用!L$107:L$156)/10000</f>
        <v>0</v>
      </c>
      <c r="N17" s="279">
        <f>SUMIF(累计考核费用!$B$107:$B$156,原格式费用考核表!$B17,累计考核费用!M$107:M$156)/10000</f>
        <v>32.753815000000003</v>
      </c>
      <c r="O17" s="279">
        <f>SUMIF(累计考核费用!$B$107:$B$156,原格式费用考核表!$B17,累计考核费用!N$107:N$156)/10000</f>
        <v>0</v>
      </c>
      <c r="P17" s="279">
        <f>SUMIF(累计考核费用!$B$107:$B$156,原格式费用考核表!$B17,累计考核费用!O$107:O$156)/10000</f>
        <v>24.951712000000001</v>
      </c>
      <c r="Q17" s="279">
        <f>SUMIF(累计考核费用!$B$107:$B$156,原格式费用考核表!$B17,累计考核费用!P$107:P$156)/10000</f>
        <v>47.433261999999999</v>
      </c>
      <c r="R17" s="279">
        <f>SUMIF(累计考核费用!$B$107:$B$156,原格式费用考核表!$B17,累计考核费用!Q$107:Q$156)/10000</f>
        <v>83.161104000000009</v>
      </c>
      <c r="S17" s="279">
        <f>SUMIF(累计考核费用!$B$107:$B$156,原格式费用考核表!$B17,累计考核费用!R$107:R$156)/10000</f>
        <v>1072.014833</v>
      </c>
      <c r="T17" s="279">
        <f>SUMIF(累计考核费用!$B$107:$B$156,原格式费用考核表!$B17,累计考核费用!S$107:S$156)/10000</f>
        <v>0</v>
      </c>
      <c r="U17" s="279">
        <f>SUMIF(累计考核费用!$B$107:$B$156,原格式费用考核表!$B17,累计考核费用!T$107:T$156)/10000</f>
        <v>823.99487799999997</v>
      </c>
      <c r="V17" s="279">
        <f>SUMIF(累计考核费用!$B$107:$B$156,原格式费用考核表!$B17,累计考核费用!U$107:U$156)/10000</f>
        <v>232.980335</v>
      </c>
      <c r="W17" s="279">
        <f>SUMIF(累计考核费用!$B$107:$B$156,原格式费用考核表!$B17,累计考核费用!V$107:V$156)/10000</f>
        <v>15.039619999999998</v>
      </c>
      <c r="X17" s="279">
        <f>SUMIF(累计考核费用!$B$107:$B$156,原格式费用考核表!$B17,累计考核费用!W$107:W$156)/10000</f>
        <v>45.69892999999999</v>
      </c>
      <c r="Y17" s="279">
        <f>SUMIF(累计考核费用!$B$107:$B$156,原格式费用考核表!$B17,累计考核费用!X$107:X$156)/10000</f>
        <v>42.940284999999996</v>
      </c>
      <c r="Z17" s="279">
        <f>SUMIF(累计考核费用!$B$107:$B$156,原格式费用考核表!$B17,累计考核费用!Y$107:Y$156)/10000</f>
        <v>2.758645</v>
      </c>
      <c r="AA17" s="279">
        <f>SUMIF(累计考核费用!$B$107:$B$156,原格式费用考核表!$B17,累计考核费用!Z$107:Z$156)/10000</f>
        <v>54.713219999999993</v>
      </c>
      <c r="AB17" s="279">
        <f>SUMIF(累计考核费用!$B$107:$B$156,原格式费用考核表!$B17,累计考核费用!AA$107:AA$156)/10000</f>
        <v>1.327728</v>
      </c>
    </row>
    <row r="18" spans="1:28" s="27" customFormat="1" ht="12" customHeight="1">
      <c r="A18" s="320"/>
      <c r="B18" s="270" t="s">
        <v>77</v>
      </c>
      <c r="C18" s="270" t="s">
        <v>69</v>
      </c>
      <c r="D18" s="279">
        <f>SUMIF(累计考核费用!$B$107:$B$156,原格式费用考核表!$B18,累计考核费用!C$107:C$156)/10000</f>
        <v>1296.5993989999999</v>
      </c>
      <c r="E18" s="279">
        <f>SUMIF(累计考核费用!$B$107:$B$156,原格式费用考核表!$B18,累计考核费用!D$107:D$156)/10000</f>
        <v>0</v>
      </c>
      <c r="F18" s="279">
        <f>SUMIF(累计考核费用!$B$107:$B$156,原格式费用考核表!$B18,累计考核费用!E$107:E$156)/10000</f>
        <v>213.157321</v>
      </c>
      <c r="G18" s="279">
        <f>SUMIF(累计考核费用!$B$107:$B$156,原格式费用考核表!$B18,累计考核费用!F$107:F$156)/10000</f>
        <v>285.49907399999995</v>
      </c>
      <c r="H18" s="279">
        <f>SUMIF(累计考核费用!$B$107:$B$156,原格式费用考核表!$B18,累计考核费用!G$107:G$156)/10000</f>
        <v>33.209914999999995</v>
      </c>
      <c r="I18" s="279">
        <f>SUMIF(累计考核费用!$B$107:$B$156,原格式费用考核表!$B18,累计考核费用!H$107:H$156)/10000</f>
        <v>162.24549099999999</v>
      </c>
      <c r="J18" s="279">
        <f>SUMIF(累计考核费用!$B$107:$B$156,原格式费用考核表!$B18,累计考核费用!I$107:I$156)/10000</f>
        <v>59.070962000000002</v>
      </c>
      <c r="K18" s="279">
        <f>SUMIF(累计考核费用!$B$107:$B$156,原格式费用考核表!$B18,累计考核费用!J$107:J$156)/10000</f>
        <v>11.458503</v>
      </c>
      <c r="L18" s="279">
        <f>SUMIF(累计考核费用!$B$107:$B$156,原格式费用考核表!$B18,累计考核费用!K$107:K$156)/10000</f>
        <v>34.626407999999998</v>
      </c>
      <c r="M18" s="279">
        <f>SUMIF(累计考核费用!$B$107:$B$156,原格式费用考核表!$B18,累计考核费用!L$107:L$156)/10000</f>
        <v>0</v>
      </c>
      <c r="N18" s="279">
        <f>SUMIF(累计考核费用!$B$107:$B$156,原格式费用考核表!$B18,累计考核费用!M$107:M$156)/10000</f>
        <v>23.201160000000002</v>
      </c>
      <c r="O18" s="279">
        <f>SUMIF(累计考核费用!$B$107:$B$156,原格式费用考核表!$B18,累计考核费用!N$107:N$156)/10000</f>
        <v>0</v>
      </c>
      <c r="P18" s="279">
        <f>SUMIF(累计考核费用!$B$107:$B$156,原格式费用考核表!$B18,累计考核费用!O$107:O$156)/10000</f>
        <v>8.3212100000000007</v>
      </c>
      <c r="Q18" s="279">
        <f>SUMIF(累计考核费用!$B$107:$B$156,原格式费用考核表!$B18,累计考核费用!P$107:P$156)/10000</f>
        <v>25.567247999999999</v>
      </c>
      <c r="R18" s="279">
        <f>SUMIF(累计考核费用!$B$107:$B$156,原格式费用考核表!$B18,累计考核费用!Q$107:Q$156)/10000</f>
        <v>98.561443000000011</v>
      </c>
      <c r="S18" s="279">
        <f>SUMIF(累计考核费用!$B$107:$B$156,原格式费用考核表!$B18,累计考核费用!R$107:R$156)/10000</f>
        <v>463.33569399999993</v>
      </c>
      <c r="T18" s="279">
        <f>SUMIF(累计考核费用!$B$107:$B$156,原格式费用考核表!$B18,累计考核费用!S$107:S$156)/10000</f>
        <v>0</v>
      </c>
      <c r="U18" s="279">
        <f>SUMIF(累计考核费用!$B$107:$B$156,原格式费用考核表!$B18,累计考核费用!T$107:T$156)/10000</f>
        <v>319.54544599999997</v>
      </c>
      <c r="V18" s="279">
        <f>SUMIF(累计考核费用!$B$107:$B$156,原格式费用考核表!$B18,累计考核费用!U$107:U$156)/10000</f>
        <v>122.90475000000001</v>
      </c>
      <c r="W18" s="279">
        <f>SUMIF(累计考核费用!$B$107:$B$156,原格式费用考核表!$B18,累计考核费用!V$107:V$156)/10000</f>
        <v>20.885497999999998</v>
      </c>
      <c r="X18" s="279">
        <f>SUMIF(累计考核费用!$B$107:$B$156,原格式费用考核表!$B18,累计考核费用!W$107:W$156)/10000</f>
        <v>16.131397</v>
      </c>
      <c r="Y18" s="279">
        <f>SUMIF(累计考核费用!$B$107:$B$156,原格式费用考核表!$B18,累计考核费用!X$107:X$156)/10000</f>
        <v>8.7370199999999993</v>
      </c>
      <c r="Z18" s="279">
        <f>SUMIF(累计考核费用!$B$107:$B$156,原格式费用考核表!$B18,累计考核费用!Y$107:Y$156)/10000</f>
        <v>7.3943770000000004</v>
      </c>
      <c r="AA18" s="279">
        <f>SUMIF(累计考核费用!$B$107:$B$156,原格式费用考核表!$B18,累计考核费用!Z$107:Z$156)/10000</f>
        <v>23.678324</v>
      </c>
      <c r="AB18" s="279">
        <f>SUMIF(累计考核费用!$B$107:$B$156,原格式费用考核表!$B18,累计考核费用!AA$107:AA$156)/10000</f>
        <v>0.78073999999999999</v>
      </c>
    </row>
    <row r="19" spans="1:28" s="27" customFormat="1" ht="12" customHeight="1">
      <c r="A19" s="320"/>
      <c r="B19" s="270" t="s">
        <v>78</v>
      </c>
      <c r="C19" s="270" t="s">
        <v>76</v>
      </c>
      <c r="D19" s="279">
        <f>SUMIF(累计考核费用!$B$107:$B$156,原格式费用考核表!$B19,累计考核费用!C$107:C$156)/10000</f>
        <v>406.62935899999997</v>
      </c>
      <c r="E19" s="279">
        <f>SUMIF(累计考核费用!$B$107:$B$156,原格式费用考核表!$B19,累计考核费用!D$107:D$156)/10000</f>
        <v>0</v>
      </c>
      <c r="F19" s="279">
        <f>SUMIF(累计考核费用!$B$107:$B$156,原格式费用考核表!$B19,累计考核费用!E$107:E$156)/10000</f>
        <v>97.945571000000001</v>
      </c>
      <c r="G19" s="279">
        <f>SUMIF(累计考核费用!$B$107:$B$156,原格式费用考核表!$B19,累计考核费用!F$107:F$156)/10000</f>
        <v>273.88802999999996</v>
      </c>
      <c r="H19" s="279">
        <f>SUMIF(累计考核费用!$B$107:$B$156,原格式费用考核表!$B19,累计考核费用!G$107:G$156)/10000</f>
        <v>2.9544630000000001</v>
      </c>
      <c r="I19" s="279">
        <f>SUMIF(累计考核费用!$B$107:$B$156,原格式费用考核表!$B19,累计考核费用!H$107:H$156)/10000</f>
        <v>15.728436000000002</v>
      </c>
      <c r="J19" s="279">
        <f>SUMIF(累计考核费用!$B$107:$B$156,原格式费用考核表!$B19,累计考核费用!I$107:I$156)/10000</f>
        <v>3.6308370000000001</v>
      </c>
      <c r="K19" s="279">
        <f>SUMIF(累计考核费用!$B$107:$B$156,原格式费用考核表!$B19,累计考核费用!J$107:J$156)/10000</f>
        <v>0</v>
      </c>
      <c r="L19" s="279">
        <f>SUMIF(累计考核费用!$B$107:$B$156,原格式费用考核表!$B19,累计考核费用!K$107:K$156)/10000</f>
        <v>3.6308370000000001</v>
      </c>
      <c r="M19" s="279">
        <f>SUMIF(累计考核费用!$B$107:$B$156,原格式费用考核表!$B19,累计考核费用!L$107:L$156)/10000</f>
        <v>0</v>
      </c>
      <c r="N19" s="279">
        <f>SUMIF(累计考核费用!$B$107:$B$156,原格式费用考核表!$B19,累计考核费用!M$107:M$156)/10000</f>
        <v>3.6308370000000001</v>
      </c>
      <c r="O19" s="279">
        <f>SUMIF(累计考核费用!$B$107:$B$156,原格式费用考核表!$B19,累计考核费用!N$107:N$156)/10000</f>
        <v>0</v>
      </c>
      <c r="P19" s="279">
        <f>SUMIF(累计考核费用!$B$107:$B$156,原格式费用考核表!$B19,累计考核费用!O$107:O$156)/10000</f>
        <v>1.2050880000000002</v>
      </c>
      <c r="Q19" s="279">
        <f>SUMIF(累计考核费用!$B$107:$B$156,原格式费用考核表!$B19,累计考核费用!P$107:P$156)/10000</f>
        <v>3.6308370000000001</v>
      </c>
      <c r="R19" s="279">
        <f>SUMIF(累计考核费用!$B$107:$B$156,原格式费用考核表!$B19,累计考核费用!Q$107:Q$156)/10000</f>
        <v>0</v>
      </c>
      <c r="S19" s="279">
        <f>SUMIF(累计考核费用!$B$107:$B$156,原格式费用考核表!$B19,累计考核费用!R$107:R$156)/10000</f>
        <v>8.3496360000000003</v>
      </c>
      <c r="T19" s="279">
        <f>SUMIF(累计考核费用!$B$107:$B$156,原格式费用考核表!$B19,累计考核费用!S$107:S$156)/10000</f>
        <v>0</v>
      </c>
      <c r="U19" s="279">
        <f>SUMIF(累计考核费用!$B$107:$B$156,原格式费用考核表!$B19,累计考核费用!T$107:T$156)/10000</f>
        <v>2.6088400000000003</v>
      </c>
      <c r="V19" s="279">
        <f>SUMIF(累计考核费用!$B$107:$B$156,原格式费用考核表!$B19,累计考核费用!U$107:U$156)/10000</f>
        <v>3.0871459999999997</v>
      </c>
      <c r="W19" s="279">
        <f>SUMIF(累计考核费用!$B$107:$B$156,原格式费用考核表!$B19,累计考核费用!V$107:V$156)/10000</f>
        <v>2.6536499999999998</v>
      </c>
      <c r="X19" s="279">
        <f>SUMIF(累计考核费用!$B$107:$B$156,原格式费用考核表!$B19,累计考核费用!W$107:W$156)/10000</f>
        <v>3.7414260000000001</v>
      </c>
      <c r="Y19" s="279">
        <f>SUMIF(累计考核费用!$B$107:$B$156,原格式费用考核表!$B19,累计考核费用!X$107:X$156)/10000</f>
        <v>3.7414260000000001</v>
      </c>
      <c r="Z19" s="279">
        <f>SUMIF(累计考核费用!$B$107:$B$156,原格式费用考核表!$B19,累计考核费用!Y$107:Y$156)/10000</f>
        <v>0</v>
      </c>
      <c r="AA19" s="279">
        <f>SUMIF(累计考核费用!$B$107:$B$156,原格式费用考核表!$B19,累计考核费用!Z$107:Z$156)/10000</f>
        <v>3.9770519999999996</v>
      </c>
      <c r="AB19" s="279">
        <f>SUMIF(累计考核费用!$B$107:$B$156,原格式费用考核表!$B19,累计考核费用!AA$107:AA$156)/10000</f>
        <v>4.4745E-2</v>
      </c>
    </row>
    <row r="20" spans="1:28" s="27" customFormat="1" ht="12" customHeight="1">
      <c r="A20" s="320"/>
      <c r="B20" s="270" t="s">
        <v>79</v>
      </c>
      <c r="C20" s="270" t="s">
        <v>77</v>
      </c>
      <c r="D20" s="279">
        <f>SUMIF(累计考核费用!$B$107:$B$156,原格式费用考核表!$B20,累计考核费用!C$107:C$156)/10000</f>
        <v>518.06017499999996</v>
      </c>
      <c r="E20" s="279">
        <f>SUMIF(累计考核费用!$B$107:$B$156,原格式费用考核表!$B20,累计考核费用!D$107:D$156)/10000</f>
        <v>-0.61180000000000001</v>
      </c>
      <c r="F20" s="279">
        <f>SUMIF(累计考核费用!$B$107:$B$156,原格式费用考核表!$B20,累计考核费用!E$107:E$156)/10000</f>
        <v>105.319222</v>
      </c>
      <c r="G20" s="279">
        <f>SUMIF(累计考核费用!$B$107:$B$156,原格式费用考核表!$B20,累计考核费用!F$107:F$156)/10000</f>
        <v>205.68893300000002</v>
      </c>
      <c r="H20" s="279">
        <f>SUMIF(累计考核费用!$B$107:$B$156,原格式费用考核表!$B20,累计考核费用!G$107:G$156)/10000</f>
        <v>8.7161109999999979</v>
      </c>
      <c r="I20" s="279">
        <f>SUMIF(累计考核费用!$B$107:$B$156,原格式费用考核表!$B20,累计考核费用!H$107:H$156)/10000</f>
        <v>43.726519999999994</v>
      </c>
      <c r="J20" s="279">
        <f>SUMIF(累计考核费用!$B$107:$B$156,原格式费用考核表!$B20,累计考核费用!I$107:I$156)/10000</f>
        <v>13.623926999999998</v>
      </c>
      <c r="K20" s="279">
        <f>SUMIF(累计考核费用!$B$107:$B$156,原格式费用考核表!$B20,累计考核费用!J$107:J$156)/10000</f>
        <v>1.3221399999999999</v>
      </c>
      <c r="L20" s="279">
        <f>SUMIF(累计考核费用!$B$107:$B$156,原格式费用考核表!$B20,累计考核费用!K$107:K$156)/10000</f>
        <v>5.6293149999999992</v>
      </c>
      <c r="M20" s="279">
        <f>SUMIF(累计考核费用!$B$107:$B$156,原格式费用考核表!$B20,累计考核费用!L$107:L$156)/10000</f>
        <v>0</v>
      </c>
      <c r="N20" s="279">
        <f>SUMIF(累计考核费用!$B$107:$B$156,原格式费用考核表!$B20,累计考核费用!M$107:M$156)/10000</f>
        <v>5.189838</v>
      </c>
      <c r="O20" s="279">
        <f>SUMIF(累计考核费用!$B$107:$B$156,原格式费用考核表!$B20,累计考核费用!N$107:N$156)/10000</f>
        <v>0</v>
      </c>
      <c r="P20" s="279">
        <f>SUMIF(累计考核费用!$B$107:$B$156,原格式费用考核表!$B20,累计考核费用!O$107:O$156)/10000</f>
        <v>10.270717999999999</v>
      </c>
      <c r="Q20" s="279">
        <f>SUMIF(累计考核费用!$B$107:$B$156,原格式费用考核表!$B20,累计考核费用!P$107:P$156)/10000</f>
        <v>7.6905819999999991</v>
      </c>
      <c r="R20" s="279">
        <f>SUMIF(累计考核费用!$B$107:$B$156,原格式费用考核表!$B20,累计考核费用!Q$107:Q$156)/10000</f>
        <v>9.2179650000000013</v>
      </c>
      <c r="S20" s="279">
        <f>SUMIF(累计考核费用!$B$107:$B$156,原格式费用考核表!$B20,累计考核费用!R$107:R$156)/10000</f>
        <v>132.04042400000003</v>
      </c>
      <c r="T20" s="279">
        <f>SUMIF(累计考核费用!$B$107:$B$156,原格式费用考核表!$B20,累计考核费用!S$107:S$156)/10000</f>
        <v>0</v>
      </c>
      <c r="U20" s="279">
        <f>SUMIF(累计考核费用!$B$107:$B$156,原格式费用考核表!$B20,累计考核费用!T$107:T$156)/10000</f>
        <v>124.578577</v>
      </c>
      <c r="V20" s="279">
        <f>SUMIF(累计考核费用!$B$107:$B$156,原格式费用考核表!$B20,累计考核费用!U$107:U$156)/10000</f>
        <v>4.0672110000000004</v>
      </c>
      <c r="W20" s="279">
        <f>SUMIF(累计考核费用!$B$107:$B$156,原格式费用考核表!$B20,累计考核费用!V$107:V$156)/10000</f>
        <v>3.3946360000000002</v>
      </c>
      <c r="X20" s="279">
        <f>SUMIF(累计考核费用!$B$107:$B$156,原格式费用考核表!$B20,累计考核费用!W$107:W$156)/10000</f>
        <v>3.641572</v>
      </c>
      <c r="Y20" s="279">
        <f>SUMIF(累计考核费用!$B$107:$B$156,原格式费用考核表!$B20,累计考核费用!X$107:X$156)/10000</f>
        <v>2.9416290000000003</v>
      </c>
      <c r="Z20" s="279">
        <f>SUMIF(累计考核费用!$B$107:$B$156,原格式费用考核表!$B20,累计考核费用!Y$107:Y$156)/10000</f>
        <v>0.69994299999999998</v>
      </c>
      <c r="AA20" s="279">
        <f>SUMIF(累计考核费用!$B$107:$B$156,原格式费用考核表!$B20,累计考核费用!Z$107:Z$156)/10000</f>
        <v>10.316827999999999</v>
      </c>
      <c r="AB20" s="279">
        <f>SUMIF(累计考核费用!$B$107:$B$156,原格式费用考核表!$B20,累计考核费用!AA$107:AA$156)/10000</f>
        <v>4.4000000000000003E-3</v>
      </c>
    </row>
    <row r="21" spans="1:28" s="27" customFormat="1" ht="12" customHeight="1">
      <c r="A21" s="320"/>
      <c r="B21" s="270" t="s">
        <v>80</v>
      </c>
      <c r="C21" s="270" t="s">
        <v>80</v>
      </c>
      <c r="D21" s="279">
        <f>SUMIF(累计考核费用!$B$107:$B$156,原格式费用考核表!$B21,累计考核费用!C$107:C$156)/10000</f>
        <v>521.28261500000008</v>
      </c>
      <c r="E21" s="279">
        <f>SUMIF(累计考核费用!$B$107:$B$156,原格式费用考核表!$B21,累计考核费用!D$107:D$156)/10000</f>
        <v>0</v>
      </c>
      <c r="F21" s="279">
        <f>SUMIF(累计考核费用!$B$107:$B$156,原格式费用考核表!$B21,累计考核费用!E$107:E$156)/10000</f>
        <v>107.25046999999999</v>
      </c>
      <c r="G21" s="279">
        <f>SUMIF(累计考核费用!$B$107:$B$156,原格式费用考核表!$B21,累计考核费用!F$107:F$156)/10000</f>
        <v>199.42371200000005</v>
      </c>
      <c r="H21" s="279">
        <f>SUMIF(累计考核费用!$B$107:$B$156,原格式费用考核表!$B21,累计考核费用!G$107:G$156)/10000</f>
        <v>8.5495680000000007</v>
      </c>
      <c r="I21" s="279">
        <f>SUMIF(累计考核费用!$B$107:$B$156,原格式费用考核表!$B21,累计考核费用!H$107:H$156)/10000</f>
        <v>17.681550000000001</v>
      </c>
      <c r="J21" s="279">
        <f>SUMIF(累计考核费用!$B$107:$B$156,原格式费用考核表!$B21,累计考核费用!I$107:I$156)/10000</f>
        <v>2.6762929999999998</v>
      </c>
      <c r="K21" s="279">
        <f>SUMIF(累计考核费用!$B$107:$B$156,原格式费用考核表!$B21,累计考核费用!J$107:J$156)/10000</f>
        <v>0.66965299999999994</v>
      </c>
      <c r="L21" s="279">
        <f>SUMIF(累计考核费用!$B$107:$B$156,原格式费用考核表!$B21,累计考核费用!K$107:K$156)/10000</f>
        <v>2.9882359999999997</v>
      </c>
      <c r="M21" s="279">
        <f>SUMIF(累计考核费用!$B$107:$B$156,原格式费用考核表!$B21,累计考核费用!L$107:L$156)/10000</f>
        <v>0</v>
      </c>
      <c r="N21" s="279">
        <f>SUMIF(累计考核费用!$B$107:$B$156,原格式费用考核表!$B21,累计考核费用!M$107:M$156)/10000</f>
        <v>3.6562010000000003</v>
      </c>
      <c r="O21" s="279">
        <f>SUMIF(累计考核费用!$B$107:$B$156,原格式费用考核表!$B21,累计考核费用!N$107:N$156)/10000</f>
        <v>0</v>
      </c>
      <c r="P21" s="279">
        <f>SUMIF(累计考核费用!$B$107:$B$156,原格式费用考核表!$B21,累计考核费用!O$107:O$156)/10000</f>
        <v>6.2231690000000004</v>
      </c>
      <c r="Q21" s="279">
        <f>SUMIF(累计考核费用!$B$107:$B$156,原格式费用考核表!$B21,累计考核费用!P$107:P$156)/10000</f>
        <v>1.4679979999999999</v>
      </c>
      <c r="R21" s="279">
        <f>SUMIF(累计考核费用!$B$107:$B$156,原格式费用考核表!$B21,累计考核费用!Q$107:Q$156)/10000</f>
        <v>13.472095000000001</v>
      </c>
      <c r="S21" s="279">
        <f>SUMIF(累计考核费用!$B$107:$B$156,原格式费用考核表!$B21,累计考核费用!R$107:R$156)/10000</f>
        <v>166.77304799999999</v>
      </c>
      <c r="T21" s="279">
        <f>SUMIF(累计考核费用!$B$107:$B$156,原格式费用考核表!$B21,累计考核费用!S$107:S$156)/10000</f>
        <v>0</v>
      </c>
      <c r="U21" s="279">
        <f>SUMIF(累计考核费用!$B$107:$B$156,原格式费用考核表!$B21,累计考核费用!T$107:T$156)/10000</f>
        <v>143.33742599999997</v>
      </c>
      <c r="V21" s="279">
        <f>SUMIF(累计考核费用!$B$107:$B$156,原格式费用考核表!$B21,累计考核费用!U$107:U$156)/10000</f>
        <v>20.983652999999997</v>
      </c>
      <c r="W21" s="279">
        <f>SUMIF(累计考核费用!$B$107:$B$156,原格式费用考核表!$B21,累计考核费用!V$107:V$156)/10000</f>
        <v>2.4519690000000001</v>
      </c>
      <c r="X21" s="279">
        <f>SUMIF(累计考核费用!$B$107:$B$156,原格式费用考核表!$B21,累计考核费用!W$107:W$156)/10000</f>
        <v>3.3482119999999997</v>
      </c>
      <c r="Y21" s="279">
        <f>SUMIF(累计考核费用!$B$107:$B$156,原格式费用考核表!$B21,累计考核费用!X$107:X$156)/10000</f>
        <v>3.1858379999999999</v>
      </c>
      <c r="Z21" s="279">
        <f>SUMIF(累计考核费用!$B$107:$B$156,原格式费用考核表!$B21,累计考核费用!Y$107:Y$156)/10000</f>
        <v>0.16237400000000002</v>
      </c>
      <c r="AA21" s="279">
        <f>SUMIF(累计考核费用!$B$107:$B$156,原格式费用考核表!$B21,累计考核费用!Z$107:Z$156)/10000</f>
        <v>4.0321090000000002</v>
      </c>
      <c r="AB21" s="279">
        <f>SUMIF(累计考核费用!$B$107:$B$156,原格式费用考核表!$B21,累计考核费用!AA$107:AA$156)/10000</f>
        <v>0.75185100000000005</v>
      </c>
    </row>
    <row r="22" spans="1:28" s="27" customFormat="1" ht="12" customHeight="1">
      <c r="A22" s="320"/>
      <c r="B22" s="270" t="s">
        <v>81</v>
      </c>
      <c r="C22" s="270" t="s">
        <v>81</v>
      </c>
      <c r="D22" s="279">
        <f>SUMIF(累计考核费用!$B$107:$B$156,原格式费用考核表!$B22,累计考核费用!C$107:C$156)/10000</f>
        <v>210.44870800000001</v>
      </c>
      <c r="E22" s="279">
        <f>SUMIF(累计考核费用!$B$107:$B$156,原格式费用考核表!$B22,累计考核费用!D$107:D$156)/10000</f>
        <v>0</v>
      </c>
      <c r="F22" s="279">
        <f>SUMIF(累计考核费用!$B$107:$B$156,原格式费用考核表!$B22,累计考核费用!E$107:E$156)/10000</f>
        <v>27.113146999999998</v>
      </c>
      <c r="G22" s="279">
        <f>SUMIF(累计考核费用!$B$107:$B$156,原格式费用考核表!$B22,累计考核费用!F$107:F$156)/10000</f>
        <v>111.77741599999999</v>
      </c>
      <c r="H22" s="279">
        <f>SUMIF(累计考核费用!$B$107:$B$156,原格式费用考核表!$B22,累计考核费用!G$107:G$156)/10000</f>
        <v>4.1606730000000001</v>
      </c>
      <c r="I22" s="279">
        <f>SUMIF(累计考核费用!$B$107:$B$156,原格式费用考核表!$B22,累计考核费用!H$107:H$156)/10000</f>
        <v>2.9740119999999997</v>
      </c>
      <c r="J22" s="279">
        <f>SUMIF(累计考核费用!$B$107:$B$156,原格式费用考核表!$B22,累计考核费用!I$107:I$156)/10000</f>
        <v>2.7964910000000001</v>
      </c>
      <c r="K22" s="279">
        <f>SUMIF(累计考核费用!$B$107:$B$156,原格式费用考核表!$B22,累计考核费用!J$107:J$156)/10000</f>
        <v>4.6116999999999998E-2</v>
      </c>
      <c r="L22" s="279">
        <f>SUMIF(累计考核费用!$B$107:$B$156,原格式费用考核表!$B22,累计考核费用!K$107:K$156)/10000</f>
        <v>0.37856599999999996</v>
      </c>
      <c r="M22" s="279">
        <f>SUMIF(累计考核费用!$B$107:$B$156,原格式费用考核表!$B22,累计考核费用!L$107:L$156)/10000</f>
        <v>0</v>
      </c>
      <c r="N22" s="279">
        <f>SUMIF(累计考核费用!$B$107:$B$156,原格式费用考核表!$B22,累计考核费用!M$107:M$156)/10000</f>
        <v>2.3413999999999997E-2</v>
      </c>
      <c r="O22" s="279">
        <f>SUMIF(累计考核费用!$B$107:$B$156,原格式费用考核表!$B22,累计考核费用!N$107:N$156)/10000</f>
        <v>0</v>
      </c>
      <c r="P22" s="279">
        <f>SUMIF(累计考核费用!$B$107:$B$156,原格式费用考核表!$B22,累计考核费用!O$107:O$156)/10000</f>
        <v>-0.64656000000000013</v>
      </c>
      <c r="Q22" s="279">
        <f>SUMIF(累计考核费用!$B$107:$B$156,原格式费用考核表!$B22,累计考核费用!P$107:P$156)/10000</f>
        <v>0.37598399999999998</v>
      </c>
      <c r="R22" s="279">
        <f>SUMIF(累计考核费用!$B$107:$B$156,原格式费用考核表!$B22,累计考核费用!Q$107:Q$156)/10000</f>
        <v>1.9716320000000001</v>
      </c>
      <c r="S22" s="279">
        <f>SUMIF(累计考核费用!$B$107:$B$156,原格式费用考核表!$B22,累计考核费用!R$107:R$156)/10000</f>
        <v>60.138298999999996</v>
      </c>
      <c r="T22" s="279">
        <f>SUMIF(累计考核费用!$B$107:$B$156,原格式费用考核表!$B22,累计考核费用!S$107:S$156)/10000</f>
        <v>0</v>
      </c>
      <c r="U22" s="279">
        <f>SUMIF(累计考核费用!$B$107:$B$156,原格式费用考核表!$B22,累计考核费用!T$107:T$156)/10000</f>
        <v>52.617024000000001</v>
      </c>
      <c r="V22" s="279">
        <f>SUMIF(累计考核费用!$B$107:$B$156,原格式费用考核表!$B22,累计考核费用!U$107:U$156)/10000</f>
        <v>6.1920080000000004</v>
      </c>
      <c r="W22" s="279">
        <f>SUMIF(累计考核费用!$B$107:$B$156,原格式费用考核表!$B22,累计考核费用!V$107:V$156)/10000</f>
        <v>1.329267</v>
      </c>
      <c r="X22" s="279">
        <f>SUMIF(累计考核费用!$B$107:$B$156,原格式费用考核表!$B22,累计考核费用!W$107:W$156)/10000</f>
        <v>1.5695760000000001</v>
      </c>
      <c r="Y22" s="279">
        <f>SUMIF(累计考核费用!$B$107:$B$156,原格式费用考核表!$B22,累计考核费用!X$107:X$156)/10000</f>
        <v>1.5695760000000001</v>
      </c>
      <c r="Z22" s="279">
        <f>SUMIF(累计考核费用!$B$107:$B$156,原格式费用考核表!$B22,累计考核费用!Y$107:Y$156)/10000</f>
        <v>0</v>
      </c>
      <c r="AA22" s="279">
        <f>SUMIF(累计考核费用!$B$107:$B$156,原格式费用考核表!$B22,累计考核费用!Z$107:Z$156)/10000</f>
        <v>0.59893999999999992</v>
      </c>
      <c r="AB22" s="279">
        <f>SUMIF(累计考核费用!$B$107:$B$156,原格式费用考核表!$B22,累计考核费用!AA$107:AA$156)/10000</f>
        <v>0.145013</v>
      </c>
    </row>
    <row r="23" spans="1:28" s="27" customFormat="1" ht="12" customHeight="1">
      <c r="A23" s="320"/>
      <c r="B23" s="266" t="s">
        <v>82</v>
      </c>
      <c r="C23" s="266" t="s">
        <v>84</v>
      </c>
      <c r="D23" s="279">
        <f>SUMIF(累计考核费用!$B$107:$B$156,原格式费用考核表!$B23,累计考核费用!C$107:C$156)/10000</f>
        <v>546.36110099999996</v>
      </c>
      <c r="E23" s="279">
        <f>SUMIF(累计考核费用!$B$107:$B$156,原格式费用考核表!$B23,累计考核费用!D$107:D$156)/10000</f>
        <v>0</v>
      </c>
      <c r="F23" s="279">
        <f>SUMIF(累计考核费用!$B$107:$B$156,原格式费用考核表!$B23,累计考核费用!E$107:E$156)/10000</f>
        <v>222.15723199999999</v>
      </c>
      <c r="G23" s="279">
        <f>SUMIF(累计考核费用!$B$107:$B$156,原格式费用考核表!$B23,累计考核费用!F$107:F$156)/10000</f>
        <v>240.37952099999998</v>
      </c>
      <c r="H23" s="279">
        <f>SUMIF(累计考核费用!$B$107:$B$156,原格式费用考核表!$B23,累计考核费用!G$107:G$156)/10000</f>
        <v>7.3152229999999996</v>
      </c>
      <c r="I23" s="279">
        <f>SUMIF(累计考核费用!$B$107:$B$156,原格式费用考核表!$B23,累计考核费用!H$107:H$156)/10000</f>
        <v>20.722985000000001</v>
      </c>
      <c r="J23" s="279">
        <f>SUMIF(累计考核费用!$B$107:$B$156,原格式费用考核表!$B23,累计考核费用!I$107:I$156)/10000</f>
        <v>5.9273550000000004</v>
      </c>
      <c r="K23" s="279">
        <f>SUMIF(累计考核费用!$B$107:$B$156,原格式费用考核表!$B23,累计考核费用!J$107:J$156)/10000</f>
        <v>0.90964200000000006</v>
      </c>
      <c r="L23" s="279">
        <f>SUMIF(累计考核费用!$B$107:$B$156,原格式费用考核表!$B23,累计考核费用!K$107:K$156)/10000</f>
        <v>4.2137219999999997</v>
      </c>
      <c r="M23" s="279">
        <f>SUMIF(累计考核费用!$B$107:$B$156,原格式费用考核表!$B23,累计考核费用!L$107:L$156)/10000</f>
        <v>0</v>
      </c>
      <c r="N23" s="279">
        <f>SUMIF(累计考核费用!$B$107:$B$156,原格式费用考核表!$B23,累计考核费用!M$107:M$156)/10000</f>
        <v>3.1648719999999999</v>
      </c>
      <c r="O23" s="279">
        <f>SUMIF(累计考核费用!$B$107:$B$156,原格式费用考核表!$B23,累计考核费用!N$107:N$156)/10000</f>
        <v>0</v>
      </c>
      <c r="P23" s="279">
        <f>SUMIF(累计考核费用!$B$107:$B$156,原格式费用考核表!$B23,累计考核费用!O$107:O$156)/10000</f>
        <v>2.0705310000000003</v>
      </c>
      <c r="Q23" s="279">
        <f>SUMIF(累计考核费用!$B$107:$B$156,原格式费用考核表!$B23,累计考核费用!P$107:P$156)/10000</f>
        <v>4.4368629999999998</v>
      </c>
      <c r="R23" s="279">
        <f>SUMIF(累计考核费用!$B$107:$B$156,原格式费用考核表!$B23,累计考核费用!Q$107:Q$156)/10000</f>
        <v>8.8957809999999995</v>
      </c>
      <c r="S23" s="279">
        <f>SUMIF(累计考核费用!$B$107:$B$156,原格式费用考核表!$B23,累计考核费用!R$107:R$156)/10000</f>
        <v>32.312115000000006</v>
      </c>
      <c r="T23" s="279">
        <f>SUMIF(累计考核费用!$B$107:$B$156,原格式费用考核表!$B23,累计考核费用!S$107:S$156)/10000</f>
        <v>0</v>
      </c>
      <c r="U23" s="279">
        <f>SUMIF(累计考核费用!$B$107:$B$156,原格式费用考核表!$B23,累计考核费用!T$107:T$156)/10000</f>
        <v>0.442</v>
      </c>
      <c r="V23" s="279">
        <f>SUMIF(累计考核费用!$B$107:$B$156,原格式费用考核表!$B23,累计考核费用!U$107:U$156)/10000</f>
        <v>29.318383000000001</v>
      </c>
      <c r="W23" s="279">
        <f>SUMIF(累计考核费用!$B$107:$B$156,原格式费用考核表!$B23,累计考核费用!V$107:V$156)/10000</f>
        <v>2.5517319999999999</v>
      </c>
      <c r="X23" s="279">
        <f>SUMIF(累计考核费用!$B$107:$B$156,原格式费用考核表!$B23,累计考核费用!W$107:W$156)/10000</f>
        <v>6.2403779999999998</v>
      </c>
      <c r="Y23" s="279">
        <f>SUMIF(累计考核费用!$B$107:$B$156,原格式费用考核表!$B23,累计考核费用!X$107:X$156)/10000</f>
        <v>2.858832</v>
      </c>
      <c r="Z23" s="279">
        <f>SUMIF(累计考核费用!$B$107:$B$156,原格式费用考核表!$B23,累计考核费用!Y$107:Y$156)/10000</f>
        <v>3.3815459999999997</v>
      </c>
      <c r="AA23" s="279">
        <f>SUMIF(累计考核费用!$B$107:$B$156,原格式费用考核表!$B23,累计考核费用!Z$107:Z$156)/10000</f>
        <v>8.2135689999999997</v>
      </c>
      <c r="AB23" s="279">
        <f>SUMIF(累计考核费用!$B$107:$B$156,原格式费用考核表!$B23,累计考核费用!AA$107:AA$156)/10000</f>
        <v>0.124297</v>
      </c>
    </row>
    <row r="24" spans="1:28" s="27" customFormat="1" ht="12" customHeight="1">
      <c r="A24" s="320"/>
      <c r="B24" s="270" t="s">
        <v>83</v>
      </c>
      <c r="C24" s="270" t="s">
        <v>86</v>
      </c>
      <c r="D24" s="279">
        <f>SUMIF(累计考核费用!$B$107:$B$156,原格式费用考核表!$B24,累计考核费用!C$107:C$156)/10000</f>
        <v>163.06842599999999</v>
      </c>
      <c r="E24" s="279">
        <f>SUMIF(累计考核费用!$B$107:$B$156,原格式费用考核表!$B24,累计考核费用!D$107:D$156)/10000</f>
        <v>0</v>
      </c>
      <c r="F24" s="279">
        <f>SUMIF(累计考核费用!$B$107:$B$156,原格式费用考核表!$B24,累计考核费用!E$107:E$156)/10000</f>
        <v>158.41706299999998</v>
      </c>
      <c r="G24" s="279">
        <f>SUMIF(累计考核费用!$B$107:$B$156,原格式费用考核表!$B24,累计考核费用!F$107:F$156)/10000</f>
        <v>0.87777799999999984</v>
      </c>
      <c r="H24" s="279">
        <f>SUMIF(累计考核费用!$B$107:$B$156,原格式费用考核表!$B24,累计考核费用!G$107:G$156)/10000</f>
        <v>0</v>
      </c>
      <c r="I24" s="279">
        <f>SUMIF(累计考核费用!$B$107:$B$156,原格式费用考核表!$B24,累计考核费用!H$107:H$156)/10000</f>
        <v>0</v>
      </c>
      <c r="J24" s="279">
        <f>SUMIF(累计考核费用!$B$107:$B$156,原格式费用考核表!$B24,累计考核费用!I$107:I$156)/10000</f>
        <v>0</v>
      </c>
      <c r="K24" s="279">
        <f>SUMIF(累计考核费用!$B$107:$B$156,原格式费用考核表!$B24,累计考核费用!J$107:J$156)/10000</f>
        <v>0</v>
      </c>
      <c r="L24" s="279">
        <f>SUMIF(累计考核费用!$B$107:$B$156,原格式费用考核表!$B24,累计考核费用!K$107:K$156)/10000</f>
        <v>0</v>
      </c>
      <c r="M24" s="279">
        <f>SUMIF(累计考核费用!$B$107:$B$156,原格式费用考核表!$B24,累计考核费用!L$107:L$156)/10000</f>
        <v>0</v>
      </c>
      <c r="N24" s="279">
        <f>SUMIF(累计考核费用!$B$107:$B$156,原格式费用考核表!$B24,累计考核费用!M$107:M$156)/10000</f>
        <v>0</v>
      </c>
      <c r="O24" s="279">
        <f>SUMIF(累计考核费用!$B$107:$B$156,原格式费用考核表!$B24,累计考核费用!N$107:N$156)/10000</f>
        <v>0</v>
      </c>
      <c r="P24" s="279">
        <f>SUMIF(累计考核费用!$B$107:$B$156,原格式费用考核表!$B24,累计考核费用!O$107:O$156)/10000</f>
        <v>0</v>
      </c>
      <c r="Q24" s="279">
        <f>SUMIF(累计考核费用!$B$107:$B$156,原格式费用考核表!$B24,累计考核费用!P$107:P$156)/10000</f>
        <v>0</v>
      </c>
      <c r="R24" s="279">
        <f>SUMIF(累计考核费用!$B$107:$B$156,原格式费用考核表!$B24,累计考核费用!Q$107:Q$156)/10000</f>
        <v>3.7735849999999997</v>
      </c>
      <c r="S24" s="279">
        <f>SUMIF(累计考核费用!$B$107:$B$156,原格式费用考核表!$B24,累计考核费用!R$107:R$156)/10000</f>
        <v>0</v>
      </c>
      <c r="T24" s="279">
        <f>SUMIF(累计考核费用!$B$107:$B$156,原格式费用考核表!$B24,累计考核费用!S$107:S$156)/10000</f>
        <v>0</v>
      </c>
      <c r="U24" s="279">
        <f>SUMIF(累计考核费用!$B$107:$B$156,原格式费用考核表!$B24,累计考核费用!T$107:T$156)/10000</f>
        <v>0</v>
      </c>
      <c r="V24" s="279">
        <f>SUMIF(累计考核费用!$B$107:$B$156,原格式费用考核表!$B24,累计考核费用!U$107:U$156)/10000</f>
        <v>0</v>
      </c>
      <c r="W24" s="279">
        <f>SUMIF(累计考核费用!$B$107:$B$156,原格式费用考核表!$B24,累计考核费用!V$107:V$156)/10000</f>
        <v>0</v>
      </c>
      <c r="X24" s="279">
        <f>SUMIF(累计考核费用!$B$107:$B$156,原格式费用考核表!$B24,累计考核费用!W$107:W$156)/10000</f>
        <v>0</v>
      </c>
      <c r="Y24" s="279">
        <f>SUMIF(累计考核费用!$B$107:$B$156,原格式费用考核表!$B24,累计考核费用!X$107:X$156)/10000</f>
        <v>0</v>
      </c>
      <c r="Z24" s="279">
        <f>SUMIF(累计考核费用!$B$107:$B$156,原格式费用考核表!$B24,累计考核费用!Y$107:Y$156)/10000</f>
        <v>0</v>
      </c>
      <c r="AA24" s="279">
        <f>SUMIF(累计考核费用!$B$107:$B$156,原格式费用考核表!$B24,累计考核费用!Z$107:Z$156)/10000</f>
        <v>0</v>
      </c>
      <c r="AB24" s="279">
        <f>SUMIF(累计考核费用!$B$107:$B$156,原格式费用考核表!$B24,累计考核费用!AA$107:AA$156)/10000</f>
        <v>0</v>
      </c>
    </row>
    <row r="25" spans="1:28" s="27" customFormat="1" ht="12" customHeight="1">
      <c r="A25" s="320"/>
      <c r="B25" s="270" t="s">
        <v>84</v>
      </c>
      <c r="C25" s="270" t="s">
        <v>88</v>
      </c>
      <c r="D25" s="279">
        <f>SUMIF(累计考核费用!$B$107:$B$156,原格式费用考核表!$B25,累计考核费用!C$107:C$156)/10000</f>
        <v>836.46872899999983</v>
      </c>
      <c r="E25" s="279">
        <f>SUMIF(累计考核费用!$B$107:$B$156,原格式费用考核表!$B25,累计考核费用!D$107:D$156)/10000</f>
        <v>-2880.9643679999999</v>
      </c>
      <c r="F25" s="279">
        <f>SUMIF(累计考核费用!$B$107:$B$156,原格式费用考核表!$B25,累计考核费用!E$107:E$156)/10000</f>
        <v>98.469672000000003</v>
      </c>
      <c r="G25" s="279">
        <f>SUMIF(累计考核费用!$B$107:$B$156,原格式费用考核表!$B25,累计考核费用!F$107:F$156)/10000</f>
        <v>3617.7593859999997</v>
      </c>
      <c r="H25" s="279">
        <f>SUMIF(累计考核费用!$B$107:$B$156,原格式费用考核表!$B25,累计考核费用!G$107:G$156)/10000</f>
        <v>0</v>
      </c>
      <c r="I25" s="279">
        <f>SUMIF(累计考核费用!$B$107:$B$156,原格式费用考核表!$B25,累计考核费用!H$107:H$156)/10000</f>
        <v>0</v>
      </c>
      <c r="J25" s="279">
        <f>SUMIF(累计考核费用!$B$107:$B$156,原格式费用考核表!$B25,累计考核费用!I$107:I$156)/10000</f>
        <v>0</v>
      </c>
      <c r="K25" s="279">
        <f>SUMIF(累计考核费用!$B$107:$B$156,原格式费用考核表!$B25,累计考核费用!J$107:J$156)/10000</f>
        <v>0</v>
      </c>
      <c r="L25" s="279">
        <f>SUMIF(累计考核费用!$B$107:$B$156,原格式费用考核表!$B25,累计考核费用!K$107:K$156)/10000</f>
        <v>0</v>
      </c>
      <c r="M25" s="279">
        <f>SUMIF(累计考核费用!$B$107:$B$156,原格式费用考核表!$B25,累计考核费用!L$107:L$156)/10000</f>
        <v>0</v>
      </c>
      <c r="N25" s="279">
        <f>SUMIF(累计考核费用!$B$107:$B$156,原格式费用考核表!$B25,累计考核费用!M$107:M$156)/10000</f>
        <v>0</v>
      </c>
      <c r="O25" s="279">
        <f>SUMIF(累计考核费用!$B$107:$B$156,原格式费用考核表!$B25,累计考核费用!N$107:N$156)/10000</f>
        <v>0</v>
      </c>
      <c r="P25" s="279">
        <f>SUMIF(累计考核费用!$B$107:$B$156,原格式费用考核表!$B25,累计考核费用!O$107:O$156)/10000</f>
        <v>0</v>
      </c>
      <c r="Q25" s="279">
        <f>SUMIF(累计考核费用!$B$107:$B$156,原格式费用考核表!$B25,累计考核费用!P$107:P$156)/10000</f>
        <v>0</v>
      </c>
      <c r="R25" s="279">
        <f>SUMIF(累计考核费用!$B$107:$B$156,原格式费用考核表!$B25,累计考核费用!Q$107:Q$156)/10000</f>
        <v>0</v>
      </c>
      <c r="S25" s="279">
        <f>SUMIF(累计考核费用!$B$107:$B$156,原格式费用考核表!$B25,累计考核费用!R$107:R$156)/10000</f>
        <v>0.53200000000000003</v>
      </c>
      <c r="T25" s="279">
        <f>SUMIF(累计考核费用!$B$107:$B$156,原格式费用考核表!$B25,累计考核费用!S$107:S$156)/10000</f>
        <v>0</v>
      </c>
      <c r="U25" s="279">
        <f>SUMIF(累计考核费用!$B$107:$B$156,原格式费用考核表!$B25,累计考核费用!T$107:T$156)/10000</f>
        <v>0.152</v>
      </c>
      <c r="V25" s="279">
        <f>SUMIF(累计考核费用!$B$107:$B$156,原格式费用考核表!$B25,累计考核费用!U$107:U$156)/10000</f>
        <v>0</v>
      </c>
      <c r="W25" s="279">
        <f>SUMIF(累计考核费用!$B$107:$B$156,原格式费用考核表!$B25,累计考核费用!V$107:V$156)/10000</f>
        <v>0.38</v>
      </c>
      <c r="X25" s="279">
        <f>SUMIF(累计考核费用!$B$107:$B$156,原格式费用考核表!$B25,累计考核费用!W$107:W$156)/10000</f>
        <v>0.67203900000000005</v>
      </c>
      <c r="Y25" s="279">
        <f>SUMIF(累计考核费用!$B$107:$B$156,原格式费用考核表!$B25,累计考核费用!X$107:X$156)/10000</f>
        <v>0.67203900000000005</v>
      </c>
      <c r="Z25" s="279">
        <f>SUMIF(累计考核费用!$B$107:$B$156,原格式费用考核表!$B25,累计考核费用!Y$107:Y$156)/10000</f>
        <v>0</v>
      </c>
      <c r="AA25" s="279">
        <f>SUMIF(累计考核费用!$B$107:$B$156,原格式费用考核表!$B25,累计考核费用!Z$107:Z$156)/10000</f>
        <v>0</v>
      </c>
      <c r="AB25" s="279">
        <f>SUMIF(累计考核费用!$B$107:$B$156,原格式费用考核表!$B25,累计考核费用!AA$107:AA$156)/10000</f>
        <v>0</v>
      </c>
    </row>
    <row r="26" spans="1:28" s="27" customFormat="1" ht="12" customHeight="1">
      <c r="A26" s="320"/>
      <c r="B26" s="270" t="s">
        <v>85</v>
      </c>
      <c r="C26" s="270" t="s">
        <v>89</v>
      </c>
      <c r="D26" s="279">
        <f>SUMIF(累计考核费用!$B$107:$B$156,原格式费用考核表!$B26,累计考核费用!C$107:C$156)/10000</f>
        <v>633.94622000000015</v>
      </c>
      <c r="E26" s="279">
        <f>SUMIF(累计考核费用!$B$107:$B$156,原格式费用考核表!$B26,累计考核费用!D$107:D$156)/10000</f>
        <v>0</v>
      </c>
      <c r="F26" s="279">
        <f>SUMIF(累计考核费用!$B$107:$B$156,原格式费用考核表!$B26,累计考核费用!E$107:E$156)/10000</f>
        <v>0</v>
      </c>
      <c r="G26" s="279">
        <f>SUMIF(累计考核费用!$B$107:$B$156,原格式费用考核表!$B26,累计考核费用!F$107:F$156)/10000</f>
        <v>620.03438200000016</v>
      </c>
      <c r="H26" s="279">
        <f>SUMIF(累计考核费用!$B$107:$B$156,原格式费用考核表!$B26,累计考核费用!G$107:G$156)/10000</f>
        <v>0</v>
      </c>
      <c r="I26" s="279">
        <f>SUMIF(累计考核费用!$B$107:$B$156,原格式费用考核表!$B26,累计考核费用!H$107:H$156)/10000</f>
        <v>13.712138000000001</v>
      </c>
      <c r="J26" s="279">
        <f>SUMIF(累计考核费用!$B$107:$B$156,原格式费用考核表!$B26,累计考核费用!I$107:I$156)/10000</f>
        <v>0</v>
      </c>
      <c r="K26" s="279">
        <f>SUMIF(累计考核费用!$B$107:$B$156,原格式费用考核表!$B26,累计考核费用!J$107:J$156)/10000</f>
        <v>0</v>
      </c>
      <c r="L26" s="279">
        <f>SUMIF(累计考核费用!$B$107:$B$156,原格式费用考核表!$B26,累计考核费用!K$107:K$156)/10000</f>
        <v>0</v>
      </c>
      <c r="M26" s="279">
        <f>SUMIF(累计考核费用!$B$107:$B$156,原格式费用考核表!$B26,累计考核费用!L$107:L$156)/10000</f>
        <v>0</v>
      </c>
      <c r="N26" s="279">
        <f>SUMIF(累计考核费用!$B$107:$B$156,原格式费用考核表!$B26,累计考核费用!M$107:M$156)/10000</f>
        <v>13.712138000000001</v>
      </c>
      <c r="O26" s="279">
        <f>SUMIF(累计考核费用!$B$107:$B$156,原格式费用考核表!$B26,累计考核费用!N$107:N$156)/10000</f>
        <v>0</v>
      </c>
      <c r="P26" s="279">
        <f>SUMIF(累计考核费用!$B$107:$B$156,原格式费用考核表!$B26,累计考核费用!O$107:O$156)/10000</f>
        <v>0</v>
      </c>
      <c r="Q26" s="279">
        <f>SUMIF(累计考核费用!$B$107:$B$156,原格式费用考核表!$B26,累计考核费用!P$107:P$156)/10000</f>
        <v>0</v>
      </c>
      <c r="R26" s="279">
        <f>SUMIF(累计考核费用!$B$107:$B$156,原格式费用考核表!$B26,累计考核费用!Q$107:Q$156)/10000</f>
        <v>0</v>
      </c>
      <c r="S26" s="279">
        <f>SUMIF(累计考核费用!$B$107:$B$156,原格式费用考核表!$B26,累计考核费用!R$107:R$156)/10000</f>
        <v>0.19969999999999999</v>
      </c>
      <c r="T26" s="279">
        <f>SUMIF(累计考核费用!$B$107:$B$156,原格式费用考核表!$B26,累计考核费用!S$107:S$156)/10000</f>
        <v>0</v>
      </c>
      <c r="U26" s="279">
        <f>SUMIF(累计考核费用!$B$107:$B$156,原格式费用考核表!$B26,累计考核费用!T$107:T$156)/10000</f>
        <v>0</v>
      </c>
      <c r="V26" s="279">
        <f>SUMIF(累计考核费用!$B$107:$B$156,原格式费用考核表!$B26,累计考核费用!U$107:U$156)/10000</f>
        <v>0.19969999999999999</v>
      </c>
      <c r="W26" s="279">
        <f>SUMIF(累计考核费用!$B$107:$B$156,原格式费用考核表!$B26,累计考核费用!V$107:V$156)/10000</f>
        <v>0</v>
      </c>
      <c r="X26" s="279">
        <f>SUMIF(累计考核费用!$B$107:$B$156,原格式费用考核表!$B26,累计考核费用!W$107:W$156)/10000</f>
        <v>0</v>
      </c>
      <c r="Y26" s="279">
        <f>SUMIF(累计考核费用!$B$107:$B$156,原格式费用考核表!$B26,累计考核费用!X$107:X$156)/10000</f>
        <v>0</v>
      </c>
      <c r="Z26" s="279">
        <f>SUMIF(累计考核费用!$B$107:$B$156,原格式费用考核表!$B26,累计考核费用!Y$107:Y$156)/10000</f>
        <v>0</v>
      </c>
      <c r="AA26" s="279">
        <f>SUMIF(累计考核费用!$B$107:$B$156,原格式费用考核表!$B26,累计考核费用!Z$107:Z$156)/10000</f>
        <v>0</v>
      </c>
      <c r="AB26" s="279">
        <f>SUMIF(累计考核费用!$B$107:$B$156,原格式费用考核表!$B26,累计考核费用!AA$107:AA$156)/10000</f>
        <v>0</v>
      </c>
    </row>
    <row r="27" spans="1:28" s="27" customFormat="1" ht="12" customHeight="1">
      <c r="A27" s="320"/>
      <c r="B27" s="270" t="s">
        <v>86</v>
      </c>
      <c r="C27" s="270" t="s">
        <v>93</v>
      </c>
      <c r="D27" s="279">
        <f>SUMIF(累计考核费用!$B$107:$B$156,原格式费用考核表!$B27,累计考核费用!C$107:C$156)/10000</f>
        <v>398.98657900000001</v>
      </c>
      <c r="E27" s="279">
        <f>SUMIF(累计考核费用!$B$107:$B$156,原格式费用考核表!$B27,累计考核费用!D$107:D$156)/10000</f>
        <v>0</v>
      </c>
      <c r="F27" s="279">
        <f>SUMIF(累计考核费用!$B$107:$B$156,原格式费用考核表!$B27,累计考核费用!E$107:E$156)/10000</f>
        <v>36.885580000000004</v>
      </c>
      <c r="G27" s="279">
        <f>SUMIF(累计考核费用!$B$107:$B$156,原格式费用考核表!$B27,累计考核费用!F$107:F$156)/10000</f>
        <v>180.25320499999998</v>
      </c>
      <c r="H27" s="279">
        <f>SUMIF(累计考核费用!$B$107:$B$156,原格式费用考核表!$B27,累计考核费用!G$107:G$156)/10000</f>
        <v>21.754742999999998</v>
      </c>
      <c r="I27" s="279">
        <f>SUMIF(累计考核费用!$B$107:$B$156,原格式费用考核表!$B27,累计考核费用!H$107:H$156)/10000</f>
        <v>83.227025999999995</v>
      </c>
      <c r="J27" s="279">
        <f>SUMIF(累计考核费用!$B$107:$B$156,原格式费用考核表!$B27,累计考核费用!I$107:I$156)/10000</f>
        <v>17.838794</v>
      </c>
      <c r="K27" s="279">
        <f>SUMIF(累计考核费用!$B$107:$B$156,原格式费用考核表!$B27,累计考核费用!J$107:J$156)/10000</f>
        <v>0</v>
      </c>
      <c r="L27" s="279">
        <f>SUMIF(累计考核费用!$B$107:$B$156,原格式费用考核表!$B27,累计考核费用!K$107:K$156)/10000</f>
        <v>18.463642999999998</v>
      </c>
      <c r="M27" s="279">
        <f>SUMIF(累计考核费用!$B$107:$B$156,原格式费用考核表!$B27,累计考核费用!L$107:L$156)/10000</f>
        <v>0</v>
      </c>
      <c r="N27" s="279">
        <f>SUMIF(累计考核费用!$B$107:$B$156,原格式费用考核表!$B27,累计考核费用!M$107:M$156)/10000</f>
        <v>12.016163000000001</v>
      </c>
      <c r="O27" s="279">
        <f>SUMIF(累计考核费用!$B$107:$B$156,原格式费用考核表!$B27,累计考核费用!N$107:N$156)/10000</f>
        <v>0</v>
      </c>
      <c r="P27" s="279">
        <f>SUMIF(累计考核费用!$B$107:$B$156,原格式费用考核表!$B27,累计考核费用!O$107:O$156)/10000</f>
        <v>2.8264999999999998</v>
      </c>
      <c r="Q27" s="279">
        <f>SUMIF(累计考核费用!$B$107:$B$156,原格式费用考核表!$B27,累计考核费用!P$107:P$156)/10000</f>
        <v>32.081926000000003</v>
      </c>
      <c r="R27" s="279">
        <f>SUMIF(累计考核费用!$B$107:$B$156,原格式费用考核表!$B27,累计考核费用!Q$107:Q$156)/10000</f>
        <v>2.2965</v>
      </c>
      <c r="S27" s="279">
        <f>SUMIF(累计考核费用!$B$107:$B$156,原格式费用考核表!$B27,累计考核费用!R$107:R$156)/10000</f>
        <v>6.9164000000000003</v>
      </c>
      <c r="T27" s="279">
        <f>SUMIF(累计考核费用!$B$107:$B$156,原格式费用考核表!$B27,累计考核费用!S$107:S$156)/10000</f>
        <v>0</v>
      </c>
      <c r="U27" s="279">
        <f>SUMIF(累计考核费用!$B$107:$B$156,原格式费用考核表!$B27,累计考核费用!T$107:T$156)/10000</f>
        <v>2.4500999999999999</v>
      </c>
      <c r="V27" s="279">
        <f>SUMIF(累计考核费用!$B$107:$B$156,原格式费用考核表!$B27,累计考核费用!U$107:U$156)/10000</f>
        <v>2.4500999999999999</v>
      </c>
      <c r="W27" s="279">
        <f>SUMIF(累计考核费用!$B$107:$B$156,原格式费用考核表!$B27,累计考核费用!V$107:V$156)/10000</f>
        <v>2.0162</v>
      </c>
      <c r="X27" s="279">
        <f>SUMIF(累计考核费用!$B$107:$B$156,原格式费用考核表!$B27,累计考核费用!W$107:W$156)/10000</f>
        <v>1.5822000000000001</v>
      </c>
      <c r="Y27" s="279">
        <f>SUMIF(累计考核费用!$B$107:$B$156,原格式费用考核表!$B27,累计考核费用!X$107:X$156)/10000</f>
        <v>0</v>
      </c>
      <c r="Z27" s="279">
        <f>SUMIF(累计考核费用!$B$107:$B$156,原格式费用考核表!$B27,累计考核费用!Y$107:Y$156)/10000</f>
        <v>1.5822000000000001</v>
      </c>
      <c r="AA27" s="279">
        <f>SUMIF(累计考核费用!$B$107:$B$156,原格式费用考核表!$B27,累计考核费用!Z$107:Z$156)/10000</f>
        <v>66.070925000000003</v>
      </c>
      <c r="AB27" s="279">
        <f>SUMIF(累计考核费用!$B$107:$B$156,原格式费用考核表!$B27,累计考核费用!AA$107:AA$156)/10000</f>
        <v>0</v>
      </c>
    </row>
    <row r="28" spans="1:28" s="27" customFormat="1" ht="12" customHeight="1">
      <c r="A28" s="320"/>
      <c r="B28" s="270" t="s">
        <v>87</v>
      </c>
      <c r="C28" s="270" t="s">
        <v>94</v>
      </c>
      <c r="D28" s="279">
        <f>SUMIF(累计考核费用!$B$107:$B$156,原格式费用考核表!$B28,累计考核费用!C$107:C$156)/10000</f>
        <v>234.11108199999998</v>
      </c>
      <c r="E28" s="279">
        <f>SUMIF(累计考核费用!$B$107:$B$156,原格式费用考核表!$B28,累计考核费用!D$107:D$156)/10000</f>
        <v>0</v>
      </c>
      <c r="F28" s="279">
        <f>SUMIF(累计考核费用!$B$107:$B$156,原格式费用考核表!$B28,累计考核费用!E$107:E$156)/10000</f>
        <v>28.402479</v>
      </c>
      <c r="G28" s="279">
        <f>SUMIF(累计考核费用!$B$107:$B$156,原格式费用考核表!$B28,累计考核费用!F$107:F$156)/10000</f>
        <v>191.60936799999996</v>
      </c>
      <c r="H28" s="279">
        <f>SUMIF(累计考核费用!$B$107:$B$156,原格式费用考核表!$B28,累计考核费用!G$107:G$156)/10000</f>
        <v>1.6935719999999999</v>
      </c>
      <c r="I28" s="279">
        <f>SUMIF(累计考核费用!$B$107:$B$156,原格式费用考核表!$B28,累计考核费用!H$107:H$156)/10000</f>
        <v>7.7835479999999997</v>
      </c>
      <c r="J28" s="279">
        <f>SUMIF(累计考核费用!$B$107:$B$156,原格式费用考核表!$B28,累计考核费用!I$107:I$156)/10000</f>
        <v>1.8926199999999997</v>
      </c>
      <c r="K28" s="279">
        <f>SUMIF(累计考核费用!$B$107:$B$156,原格式费用考核表!$B28,累计考核费用!J$107:J$156)/10000</f>
        <v>0</v>
      </c>
      <c r="L28" s="279">
        <f>SUMIF(累计考核费用!$B$107:$B$156,原格式费用考核表!$B28,累计考核费用!K$107:K$156)/10000</f>
        <v>2.1494119999999999</v>
      </c>
      <c r="M28" s="279">
        <f>SUMIF(累计考核费用!$B$107:$B$156,原格式费用考核表!$B28,累计考核费用!L$107:L$156)/10000</f>
        <v>0</v>
      </c>
      <c r="N28" s="279">
        <f>SUMIF(累计考核费用!$B$107:$B$156,原格式费用考核表!$B28,累计考核费用!M$107:M$156)/10000</f>
        <v>1.8926199999999997</v>
      </c>
      <c r="O28" s="279">
        <f>SUMIF(累计考核费用!$B$107:$B$156,原格式费用考核表!$B28,累计考核费用!N$107:N$156)/10000</f>
        <v>0</v>
      </c>
      <c r="P28" s="279">
        <f>SUMIF(累计考核费用!$B$107:$B$156,原格式费用考核表!$B28,累计考核费用!O$107:O$156)/10000</f>
        <v>-0.19786199999999998</v>
      </c>
      <c r="Q28" s="279">
        <f>SUMIF(累计考核费用!$B$107:$B$156,原格式费用考核表!$B28,累计考核费用!P$107:P$156)/10000</f>
        <v>2.0467579999999996</v>
      </c>
      <c r="R28" s="279">
        <f>SUMIF(累计考核费用!$B$107:$B$156,原格式费用考核表!$B28,累计考核费用!Q$107:Q$156)/10000</f>
        <v>0</v>
      </c>
      <c r="S28" s="279">
        <f>SUMIF(累计考核费用!$B$107:$B$156,原格式费用考核表!$B28,累计考核费用!R$107:R$156)/10000</f>
        <v>0</v>
      </c>
      <c r="T28" s="279">
        <f>SUMIF(累计考核费用!$B$107:$B$156,原格式费用考核表!$B28,累计考核费用!S$107:S$156)/10000</f>
        <v>0</v>
      </c>
      <c r="U28" s="279">
        <f>SUMIF(累计考核费用!$B$107:$B$156,原格式费用考核表!$B28,累计考核费用!T$107:T$156)/10000</f>
        <v>0</v>
      </c>
      <c r="V28" s="279">
        <f>SUMIF(累计考核费用!$B$107:$B$156,原格式费用考核表!$B28,累计考核费用!U$107:U$156)/10000</f>
        <v>0</v>
      </c>
      <c r="W28" s="279">
        <f>SUMIF(累计考核费用!$B$107:$B$156,原格式费用考核表!$B28,累计考核费用!V$107:V$156)/10000</f>
        <v>0</v>
      </c>
      <c r="X28" s="279">
        <f>SUMIF(累计考核费用!$B$107:$B$156,原格式费用考核表!$B28,累计考核费用!W$107:W$156)/10000</f>
        <v>3.0053860000000001</v>
      </c>
      <c r="Y28" s="279">
        <f>SUMIF(累计考核费用!$B$107:$B$156,原格式费用考核表!$B28,累计考核费用!X$107:X$156)/10000</f>
        <v>3.0053860000000001</v>
      </c>
      <c r="Z28" s="279">
        <f>SUMIF(累计考核费用!$B$107:$B$156,原格式费用考核表!$B28,累计考核费用!Y$107:Y$156)/10000</f>
        <v>0</v>
      </c>
      <c r="AA28" s="279">
        <f>SUMIF(累计考核费用!$B$107:$B$156,原格式费用考核表!$B28,累计考核费用!Z$107:Z$156)/10000</f>
        <v>1.6167290000000001</v>
      </c>
      <c r="AB28" s="279">
        <f>SUMIF(累计考核费用!$B$107:$B$156,原格式费用考核表!$B28,累计考核费用!AA$107:AA$156)/10000</f>
        <v>0</v>
      </c>
    </row>
    <row r="29" spans="1:28" s="27" customFormat="1" ht="12" customHeight="1">
      <c r="A29" s="320"/>
      <c r="B29" s="270" t="s">
        <v>88</v>
      </c>
      <c r="C29" s="270" t="s">
        <v>90</v>
      </c>
      <c r="D29" s="279">
        <f>SUMIF(累计考核费用!$B$107:$B$156,原格式费用考核表!$B29,累计考核费用!C$107:C$156)/10000</f>
        <v>262.96628799999996</v>
      </c>
      <c r="E29" s="279">
        <f>SUMIF(累计考核费用!$B$107:$B$156,原格式费用考核表!$B29,累计考核费用!D$107:D$156)/10000</f>
        <v>0</v>
      </c>
      <c r="F29" s="279">
        <f>SUMIF(累计考核费用!$B$107:$B$156,原格式费用考核表!$B29,累计考核费用!E$107:E$156)/10000</f>
        <v>85.506582000000009</v>
      </c>
      <c r="G29" s="279">
        <f>SUMIF(累计考核费用!$B$107:$B$156,原格式费用考核表!$B29,累计考核费用!F$107:F$156)/10000</f>
        <v>134.10118099999997</v>
      </c>
      <c r="H29" s="279">
        <f>SUMIF(累计考核费用!$B$107:$B$156,原格式费用考核表!$B29,累计考核费用!G$107:G$156)/10000</f>
        <v>0</v>
      </c>
      <c r="I29" s="279">
        <f>SUMIF(累计考核费用!$B$107:$B$156,原格式费用考核表!$B29,累计考核费用!H$107:H$156)/10000</f>
        <v>38.058679999999995</v>
      </c>
      <c r="J29" s="279">
        <f>SUMIF(累计考核费用!$B$107:$B$156,原格式费用考核表!$B29,累计考核费用!I$107:I$156)/10000</f>
        <v>37.270000000000003</v>
      </c>
      <c r="K29" s="279">
        <f>SUMIF(累计考核费用!$B$107:$B$156,原格式费用考核表!$B29,累计考核费用!J$107:J$156)/10000</f>
        <v>0.6</v>
      </c>
      <c r="L29" s="279">
        <f>SUMIF(累计考核费用!$B$107:$B$156,原格式费用考核表!$B29,累计考核费用!K$107:K$156)/10000</f>
        <v>0.18867999999999999</v>
      </c>
      <c r="M29" s="279">
        <f>SUMIF(累计考核费用!$B$107:$B$156,原格式费用考核表!$B29,累计考核费用!L$107:L$156)/10000</f>
        <v>0</v>
      </c>
      <c r="N29" s="279">
        <f>SUMIF(累计考核费用!$B$107:$B$156,原格式费用考核表!$B29,累计考核费用!M$107:M$156)/10000</f>
        <v>0</v>
      </c>
      <c r="O29" s="279">
        <f>SUMIF(累计考核费用!$B$107:$B$156,原格式费用考核表!$B29,累计考核费用!N$107:N$156)/10000</f>
        <v>0</v>
      </c>
      <c r="P29" s="279">
        <f>SUMIF(累计考核费用!$B$107:$B$156,原格式费用考核表!$B29,累计考核费用!O$107:O$156)/10000</f>
        <v>0</v>
      </c>
      <c r="Q29" s="279">
        <f>SUMIF(累计考核费用!$B$107:$B$156,原格式费用考核表!$B29,累计考核费用!P$107:P$156)/10000</f>
        <v>0</v>
      </c>
      <c r="R29" s="279">
        <f>SUMIF(累计考核费用!$B$107:$B$156,原格式费用考核表!$B29,累计考核费用!Q$107:Q$156)/10000</f>
        <v>0</v>
      </c>
      <c r="S29" s="279">
        <f>SUMIF(累计考核费用!$B$107:$B$156,原格式费用考核表!$B29,累计考核费用!R$107:R$156)/10000</f>
        <v>0.29299999999999998</v>
      </c>
      <c r="T29" s="279">
        <f>SUMIF(累计考核费用!$B$107:$B$156,原格式费用考核表!$B29,累计考核费用!S$107:S$156)/10000</f>
        <v>0</v>
      </c>
      <c r="U29" s="279">
        <f>SUMIF(累计考核费用!$B$107:$B$156,原格式费用考核表!$B29,累计考核费用!T$107:T$156)/10000</f>
        <v>0.29299999999999998</v>
      </c>
      <c r="V29" s="279">
        <f>SUMIF(累计考核费用!$B$107:$B$156,原格式费用考核表!$B29,累计考核费用!U$107:U$156)/10000</f>
        <v>0</v>
      </c>
      <c r="W29" s="279">
        <f>SUMIF(累计考核费用!$B$107:$B$156,原格式费用考核表!$B29,累计考核费用!V$107:V$156)/10000</f>
        <v>0</v>
      </c>
      <c r="X29" s="279">
        <f>SUMIF(累计考核费用!$B$107:$B$156,原格式费用考核表!$B29,累计考核费用!W$107:W$156)/10000</f>
        <v>0.72547200000000001</v>
      </c>
      <c r="Y29" s="279">
        <f>SUMIF(累计考核费用!$B$107:$B$156,原格式费用考核表!$B29,累计考核费用!X$107:X$156)/10000</f>
        <v>0</v>
      </c>
      <c r="Z29" s="279">
        <f>SUMIF(累计考核费用!$B$107:$B$156,原格式费用考核表!$B29,累计考核费用!Y$107:Y$156)/10000</f>
        <v>0.72547200000000001</v>
      </c>
      <c r="AA29" s="279">
        <f>SUMIF(累计考核费用!$B$107:$B$156,原格式费用考核表!$B29,累计考核费用!Z$107:Z$156)/10000</f>
        <v>4.2813730000000003</v>
      </c>
      <c r="AB29" s="279">
        <f>SUMIF(累计考核费用!$B$107:$B$156,原格式费用考核表!$B29,累计考核费用!AA$107:AA$156)/10000</f>
        <v>0</v>
      </c>
    </row>
    <row r="30" spans="1:28" s="27" customFormat="1" ht="12" customHeight="1">
      <c r="A30" s="320"/>
      <c r="B30" s="270" t="s">
        <v>89</v>
      </c>
      <c r="C30" s="270" t="s">
        <v>85</v>
      </c>
      <c r="D30" s="279">
        <f>SUMIF(累计考核费用!$B$107:$B$156,原格式费用考核表!$B30,累计考核费用!C$107:C$156)/10000</f>
        <v>109.22375999999998</v>
      </c>
      <c r="E30" s="279">
        <f>SUMIF(累计考核费用!$B$107:$B$156,原格式费用考核表!$B30,累计考核费用!D$107:D$156)/10000</f>
        <v>0</v>
      </c>
      <c r="F30" s="279">
        <f>SUMIF(累计考核费用!$B$107:$B$156,原格式费用考核表!$B30,累计考核费用!E$107:E$156)/10000</f>
        <v>12.956904999999999</v>
      </c>
      <c r="G30" s="279">
        <f>SUMIF(累计考核费用!$B$107:$B$156,原格式费用考核表!$B30,累计考核费用!F$107:F$156)/10000</f>
        <v>65.302250999999998</v>
      </c>
      <c r="H30" s="279">
        <f>SUMIF(累计考核费用!$B$107:$B$156,原格式费用考核表!$B30,累计考核费用!G$107:G$156)/10000</f>
        <v>0.75488700000000009</v>
      </c>
      <c r="I30" s="279">
        <f>SUMIF(累计考核费用!$B$107:$B$156,原格式费用考核表!$B30,累计考核费用!H$107:H$156)/10000</f>
        <v>1.3862099999999999</v>
      </c>
      <c r="J30" s="279">
        <f>SUMIF(累计考核费用!$B$107:$B$156,原格式费用考核表!$B30,累计考核费用!I$107:I$156)/10000</f>
        <v>1.0126999999999999</v>
      </c>
      <c r="K30" s="279">
        <f>SUMIF(累计考核费用!$B$107:$B$156,原格式费用考核表!$B30,累计考核费用!J$107:J$156)/10000</f>
        <v>0</v>
      </c>
      <c r="L30" s="279">
        <f>SUMIF(累计考核费用!$B$107:$B$156,原格式费用考核表!$B30,累计考核费用!K$107:K$156)/10000</f>
        <v>3.6600000000000001E-2</v>
      </c>
      <c r="M30" s="279">
        <f>SUMIF(累计考核费用!$B$107:$B$156,原格式费用考核表!$B30,累计考核费用!L$107:L$156)/10000</f>
        <v>0</v>
      </c>
      <c r="N30" s="279">
        <f>SUMIF(累计考核费用!$B$107:$B$156,原格式费用考核表!$B30,累计考核费用!M$107:M$156)/10000</f>
        <v>0.1273</v>
      </c>
      <c r="O30" s="279">
        <f>SUMIF(累计考核费用!$B$107:$B$156,原格式费用考核表!$B30,累计考核费用!N$107:N$156)/10000</f>
        <v>0</v>
      </c>
      <c r="P30" s="279">
        <f>SUMIF(累计考核费用!$B$107:$B$156,原格式费用考核表!$B30,累计考核费用!O$107:O$156)/10000</f>
        <v>-1.0190000000000001E-2</v>
      </c>
      <c r="Q30" s="279">
        <f>SUMIF(累计考核费用!$B$107:$B$156,原格式费用考核表!$B30,累计考核费用!P$107:P$156)/10000</f>
        <v>0.2198</v>
      </c>
      <c r="R30" s="279">
        <f>SUMIF(累计考核费用!$B$107:$B$156,原格式费用考核表!$B30,累计考核费用!Q$107:Q$156)/10000</f>
        <v>4.1479439999999999</v>
      </c>
      <c r="S30" s="279">
        <f>SUMIF(累计考核费用!$B$107:$B$156,原格式费用考核表!$B30,累计考核费用!R$107:R$156)/10000</f>
        <v>23.332233000000002</v>
      </c>
      <c r="T30" s="279">
        <f>SUMIF(累计考核费用!$B$107:$B$156,原格式费用考核表!$B30,累计考核费用!S$107:S$156)/10000</f>
        <v>0</v>
      </c>
      <c r="U30" s="279">
        <f>SUMIF(累计考核费用!$B$107:$B$156,原格式费用考核表!$B30,累计考核费用!T$107:T$156)/10000</f>
        <v>18.072427999999999</v>
      </c>
      <c r="V30" s="279">
        <f>SUMIF(累计考核费用!$B$107:$B$156,原格式费用考核表!$B30,累计考核费用!U$107:U$156)/10000</f>
        <v>4.3085319999999996</v>
      </c>
      <c r="W30" s="279">
        <f>SUMIF(累计考核费用!$B$107:$B$156,原格式费用考核表!$B30,累计考核费用!V$107:V$156)/10000</f>
        <v>0.95127299999999992</v>
      </c>
      <c r="X30" s="279">
        <f>SUMIF(累计考核费用!$B$107:$B$156,原格式费用考核表!$B30,累计考核费用!W$107:W$156)/10000</f>
        <v>1.2768389999999998</v>
      </c>
      <c r="Y30" s="279">
        <f>SUMIF(累计考核费用!$B$107:$B$156,原格式费用考核表!$B30,累计考核费用!X$107:X$156)/10000</f>
        <v>1.256839</v>
      </c>
      <c r="Z30" s="279">
        <f>SUMIF(累计考核费用!$B$107:$B$156,原格式费用考核表!$B30,累计考核费用!Y$107:Y$156)/10000</f>
        <v>0.02</v>
      </c>
      <c r="AA30" s="279">
        <f>SUMIF(累计考核费用!$B$107:$B$156,原格式费用考核表!$B30,累计考核费用!Z$107:Z$156)/10000</f>
        <v>6.6490999999999995E-2</v>
      </c>
      <c r="AB30" s="279">
        <f>SUMIF(累计考核费用!$B$107:$B$156,原格式费用考核表!$B30,累计考核费用!AA$107:AA$156)/10000</f>
        <v>0</v>
      </c>
    </row>
    <row r="31" spans="1:28" s="27" customFormat="1" ht="12" customHeight="1">
      <c r="A31" s="320"/>
      <c r="B31" s="270" t="s">
        <v>90</v>
      </c>
      <c r="C31" s="270" t="s">
        <v>243</v>
      </c>
      <c r="D31" s="279">
        <f>SUMIF(累计考核费用!$B$107:$B$156,原格式费用考核表!$B31,累计考核费用!C$107:C$156)/10000-D9</f>
        <v>334.22944699999999</v>
      </c>
      <c r="E31" s="279">
        <f>SUMIF(累计考核费用!$B$107:$B$156,原格式费用考核表!$B31,累计考核费用!D$107:D$156)/10000</f>
        <v>1.8</v>
      </c>
      <c r="F31" s="279">
        <f>SUMIF(累计考核费用!$B$107:$B$156,原格式费用考核表!$B31,累计考核费用!E$107:E$156)/10000-F9</f>
        <v>126.53048499999997</v>
      </c>
      <c r="G31" s="279">
        <f>SUMIF(累计考核费用!$B$107:$B$156,原格式费用考核表!$B31,累计考核费用!F$107:F$156)/10000-G9</f>
        <v>162.18666899999999</v>
      </c>
      <c r="H31" s="279">
        <f>SUMIF(累计考核费用!$B$107:$B$156,原格式费用考核表!$B31,累计考核费用!G$107:G$156)/10000-H9</f>
        <v>1.314964</v>
      </c>
      <c r="I31" s="279">
        <f>SUMIF(累计考核费用!$B$107:$B$156,原格式费用考核表!$B31,累计考核费用!H$107:H$156)/10000-I9</f>
        <v>18.448902999999998</v>
      </c>
      <c r="J31" s="279">
        <f>SUMIF(累计考核费用!$B$107:$B$156,原格式费用考核表!$B31,累计考核费用!I$107:I$156)/10000-J9</f>
        <v>3.3937999999999997</v>
      </c>
      <c r="K31" s="279">
        <f>SUMIF(累计考核费用!$B$107:$B$156,原格式费用考核表!$B31,累计考核费用!J$107:J$156)/10000-K9</f>
        <v>0</v>
      </c>
      <c r="L31" s="279">
        <f>SUMIF(累计考核费用!$B$107:$B$156,原格式费用考核表!$B31,累计考核费用!K$107:K$156)/10000-L9</f>
        <v>-1.1255040000000001</v>
      </c>
      <c r="M31" s="279">
        <f>SUMIF(累计考核费用!$B$107:$B$156,原格式费用考核表!$B31,累计考核费用!L$107:L$156)/10000-M9</f>
        <v>0</v>
      </c>
      <c r="N31" s="279">
        <f>SUMIF(累计考核费用!$B$107:$B$156,原格式费用考核表!$B31,累计考核费用!M$107:M$156)/10000-N9</f>
        <v>0.3050750000000001</v>
      </c>
      <c r="O31" s="279">
        <f>SUMIF(累计考核费用!$B$107:$B$156,原格式费用考核表!$B31,累计考核费用!N$107:N$156)/10000-O9</f>
        <v>0</v>
      </c>
      <c r="P31" s="279">
        <f>SUMIF(累计考核费用!$B$107:$B$156,原格式费用考核表!$B31,累计考核费用!O$107:O$156)/10000-P9</f>
        <v>15.250131999999999</v>
      </c>
      <c r="Q31" s="279">
        <f>SUMIF(累计考核费用!$B$107:$B$156,原格式费用考核表!$B31,累计考核费用!P$107:P$156)/10000-Q9</f>
        <v>0.62539999999999984</v>
      </c>
      <c r="R31" s="279">
        <f>SUMIF(累计考核费用!$B$107:$B$156,原格式费用考核表!$B31,累计考核费用!Q$107:Q$156)/10000-R9</f>
        <v>0.3214999999999999</v>
      </c>
      <c r="S31" s="279">
        <f>SUMIF(累计考核费用!$B$107:$B$156,原格式费用考核表!$B31,累计考核费用!R$107:R$156)/10000-S9</f>
        <v>6.1857000000000006</v>
      </c>
      <c r="T31" s="279">
        <f>SUMIF(累计考核费用!$B$107:$B$156,原格式费用考核表!$B31,累计考核费用!S$107:S$156)/10000-T9</f>
        <v>0</v>
      </c>
      <c r="U31" s="279">
        <f>SUMIF(累计考核费用!$B$107:$B$156,原格式费用考核表!$B31,累计考核费用!T$107:T$156)/10000-U9</f>
        <v>1.9263000000000001</v>
      </c>
      <c r="V31" s="279">
        <f>SUMIF(累计考核费用!$B$107:$B$156,原格式费用考核表!$B31,累计考核费用!U$107:U$156)/10000-V9</f>
        <v>0.61460000000000004</v>
      </c>
      <c r="W31" s="279">
        <f>SUMIF(累计考核费用!$B$107:$B$156,原格式费用考核表!$B31,累计考核费用!V$107:V$156)/10000-W9</f>
        <v>3.6447999999999996</v>
      </c>
      <c r="X31" s="279">
        <f>SUMIF(累计考核费用!$B$107:$B$156,原格式费用考核表!$B31,累计考核费用!W$107:W$156)/10000-X9</f>
        <v>14.816265999999997</v>
      </c>
      <c r="Y31" s="279">
        <f>SUMIF(累计考核费用!$B$107:$B$156,原格式费用考核表!$B31,累计考核费用!X$107:X$156)/10000-Y9</f>
        <v>14.786086000000001</v>
      </c>
      <c r="Z31" s="279">
        <f>SUMIF(累计考核费用!$B$107:$B$156,原格式费用考核表!$B31,累计考核费用!Y$107:Y$156)/10000-Z9</f>
        <v>3.0179999999999985E-2</v>
      </c>
      <c r="AA31" s="279">
        <f>SUMIF(累计考核费用!$B$107:$B$156,原格式费用考核表!$B31,累计考核费用!Z$107:Z$156)/10000-AA9</f>
        <v>2.6249599999999997</v>
      </c>
      <c r="AB31" s="279">
        <f>SUMIF(累计考核费用!$B$107:$B$156,原格式费用考核表!$B31,累计考核费用!AA$107:AA$156)/10000-AB9</f>
        <v>0</v>
      </c>
    </row>
    <row r="32" spans="1:28" s="27" customFormat="1" ht="12" customHeight="1">
      <c r="A32" s="320"/>
      <c r="B32" s="270" t="s">
        <v>91</v>
      </c>
      <c r="C32" s="270" t="s">
        <v>69</v>
      </c>
      <c r="D32" s="279">
        <f>SUMIF(累计考核费用!$B$107:$B$156,原格式费用考核表!$B32,累计考核费用!C$107:C$156)/10000</f>
        <v>14.869280999999999</v>
      </c>
      <c r="E32" s="279">
        <f>SUMIF(累计考核费用!$B$107:$B$156,原格式费用考核表!$B32,累计考核费用!D$107:D$156)/10000</f>
        <v>0</v>
      </c>
      <c r="F32" s="279">
        <f>SUMIF(累计考核费用!$B$107:$B$156,原格式费用考核表!$B32,累计考核费用!E$107:E$156)/10000</f>
        <v>14.869280999999999</v>
      </c>
      <c r="G32" s="279">
        <f>SUMIF(累计考核费用!$B$107:$B$156,原格式费用考核表!$B32,累计考核费用!F$107:F$156)/10000</f>
        <v>0</v>
      </c>
      <c r="H32" s="279">
        <f>SUMIF(累计考核费用!$B$107:$B$156,原格式费用考核表!$B32,累计考核费用!G$107:G$156)/10000</f>
        <v>0</v>
      </c>
      <c r="I32" s="279">
        <f>SUMIF(累计考核费用!$B$107:$B$156,原格式费用考核表!$B32,累计考核费用!H$107:H$156)/10000</f>
        <v>0</v>
      </c>
      <c r="J32" s="279">
        <f>SUMIF(累计考核费用!$B$107:$B$156,原格式费用考核表!$B32,累计考核费用!I$107:I$156)/10000</f>
        <v>0</v>
      </c>
      <c r="K32" s="279">
        <f>SUMIF(累计考核费用!$B$107:$B$156,原格式费用考核表!$B32,累计考核费用!J$107:J$156)/10000</f>
        <v>0</v>
      </c>
      <c r="L32" s="279">
        <f>SUMIF(累计考核费用!$B$107:$B$156,原格式费用考核表!$B32,累计考核费用!K$107:K$156)/10000</f>
        <v>0</v>
      </c>
      <c r="M32" s="279">
        <f>SUMIF(累计考核费用!$B$107:$B$156,原格式费用考核表!$B32,累计考核费用!L$107:L$156)/10000</f>
        <v>0</v>
      </c>
      <c r="N32" s="279">
        <f>SUMIF(累计考核费用!$B$107:$B$156,原格式费用考核表!$B32,累计考核费用!M$107:M$156)/10000</f>
        <v>0</v>
      </c>
      <c r="O32" s="279">
        <f>SUMIF(累计考核费用!$B$107:$B$156,原格式费用考核表!$B32,累计考核费用!N$107:N$156)/10000</f>
        <v>0</v>
      </c>
      <c r="P32" s="279">
        <f>SUMIF(累计考核费用!$B$107:$B$156,原格式费用考核表!$B32,累计考核费用!O$107:O$156)/10000</f>
        <v>0</v>
      </c>
      <c r="Q32" s="279">
        <f>SUMIF(累计考核费用!$B$107:$B$156,原格式费用考核表!$B32,累计考核费用!P$107:P$156)/10000</f>
        <v>0</v>
      </c>
      <c r="R32" s="279">
        <f>SUMIF(累计考核费用!$B$107:$B$156,原格式费用考核表!$B32,累计考核费用!Q$107:Q$156)/10000</f>
        <v>0</v>
      </c>
      <c r="S32" s="279">
        <f>SUMIF(累计考核费用!$B$107:$B$156,原格式费用考核表!$B32,累计考核费用!R$107:R$156)/10000</f>
        <v>0</v>
      </c>
      <c r="T32" s="279">
        <f>SUMIF(累计考核费用!$B$107:$B$156,原格式费用考核表!$B32,累计考核费用!S$107:S$156)/10000</f>
        <v>0</v>
      </c>
      <c r="U32" s="279">
        <f>SUMIF(累计考核费用!$B$107:$B$156,原格式费用考核表!$B32,累计考核费用!T$107:T$156)/10000</f>
        <v>0</v>
      </c>
      <c r="V32" s="279">
        <f>SUMIF(累计考核费用!$B$107:$B$156,原格式费用考核表!$B32,累计考核费用!U$107:U$156)/10000</f>
        <v>0</v>
      </c>
      <c r="W32" s="279">
        <f>SUMIF(累计考核费用!$B$107:$B$156,原格式费用考核表!$B32,累计考核费用!V$107:V$156)/10000</f>
        <v>0</v>
      </c>
      <c r="X32" s="279">
        <f>SUMIF(累计考核费用!$B$107:$B$156,原格式费用考核表!$B32,累计考核费用!W$107:W$156)/10000</f>
        <v>0</v>
      </c>
      <c r="Y32" s="279">
        <f>SUMIF(累计考核费用!$B$107:$B$156,原格式费用考核表!$B32,累计考核费用!X$107:X$156)/10000</f>
        <v>0</v>
      </c>
      <c r="Z32" s="279">
        <f>SUMIF(累计考核费用!$B$107:$B$156,原格式费用考核表!$B32,累计考核费用!Y$107:Y$156)/10000</f>
        <v>0</v>
      </c>
      <c r="AA32" s="279">
        <f>SUMIF(累计考核费用!$B$107:$B$156,原格式费用考核表!$B32,累计考核费用!Z$107:Z$156)/10000</f>
        <v>0</v>
      </c>
      <c r="AB32" s="279">
        <f>SUMIF(累计考核费用!$B$107:$B$156,原格式费用考核表!$B32,累计考核费用!AA$107:AA$156)/10000</f>
        <v>0</v>
      </c>
    </row>
    <row r="33" spans="1:28" s="27" customFormat="1" ht="12" customHeight="1">
      <c r="A33" s="320"/>
      <c r="B33" s="270" t="s">
        <v>92</v>
      </c>
      <c r="C33" s="270" t="s">
        <v>78</v>
      </c>
      <c r="D33" s="279">
        <f>SUMIF(累计考核费用!$B$107:$B$156,原格式费用考核表!$B33,累计考核费用!C$107:C$156)/10000</f>
        <v>65.151127000000002</v>
      </c>
      <c r="E33" s="279">
        <f>SUMIF(累计考核费用!$B$107:$B$156,原格式费用考核表!$B33,累计考核费用!D$107:D$156)/10000</f>
        <v>0</v>
      </c>
      <c r="F33" s="279">
        <f>SUMIF(累计考核费用!$B$107:$B$156,原格式费用考核表!$B33,累计考核费用!E$107:E$156)/10000</f>
        <v>17.894249000000002</v>
      </c>
      <c r="G33" s="279">
        <f>SUMIF(累计考核费用!$B$107:$B$156,原格式费用考核表!$B33,累计考核费用!F$107:F$156)/10000</f>
        <v>40.351877999999999</v>
      </c>
      <c r="H33" s="279">
        <f>SUMIF(累计考核费用!$B$107:$B$156,原格式费用考核表!$B33,累计考核费用!G$107:G$156)/10000</f>
        <v>0</v>
      </c>
      <c r="I33" s="279">
        <f>SUMIF(累计考核费用!$B$107:$B$156,原格式费用考核表!$B33,累计考核费用!H$107:H$156)/10000</f>
        <v>2.309688</v>
      </c>
      <c r="J33" s="279">
        <f>SUMIF(累计考核费用!$B$107:$B$156,原格式费用考核表!$B33,累计考核费用!I$107:I$156)/10000</f>
        <v>0.47820000000000001</v>
      </c>
      <c r="K33" s="279">
        <f>SUMIF(累计考核费用!$B$107:$B$156,原格式费用考核表!$B33,累计考核费用!J$107:J$156)/10000</f>
        <v>0</v>
      </c>
      <c r="L33" s="279">
        <f>SUMIF(累计考核费用!$B$107:$B$156,原格式费用考核表!$B33,累计考核费用!K$107:K$156)/10000</f>
        <v>0.47820000000000001</v>
      </c>
      <c r="M33" s="279">
        <f>SUMIF(累计考核费用!$B$107:$B$156,原格式费用考核表!$B33,累计考核费用!L$107:L$156)/10000</f>
        <v>0</v>
      </c>
      <c r="N33" s="279">
        <f>SUMIF(累计考核费用!$B$107:$B$156,原格式费用考核表!$B33,累计考核费用!M$107:M$156)/10000</f>
        <v>0.47820000000000001</v>
      </c>
      <c r="O33" s="279">
        <f>SUMIF(累计考核费用!$B$107:$B$156,原格式费用考核表!$B33,累计考核费用!N$107:N$156)/10000</f>
        <v>0</v>
      </c>
      <c r="P33" s="279">
        <f>SUMIF(累计考核费用!$B$107:$B$156,原格式费用考核表!$B33,累计考核费用!O$107:O$156)/10000</f>
        <v>0.39688800000000002</v>
      </c>
      <c r="Q33" s="279">
        <f>SUMIF(累计考核费用!$B$107:$B$156,原格式费用考核表!$B33,累计考核费用!P$107:P$156)/10000</f>
        <v>0.47820000000000001</v>
      </c>
      <c r="R33" s="279">
        <f>SUMIF(累计考核费用!$B$107:$B$156,原格式费用考核表!$B33,累计考核费用!Q$107:Q$156)/10000</f>
        <v>0</v>
      </c>
      <c r="S33" s="279">
        <f>SUMIF(累计考核费用!$B$107:$B$156,原格式费用考核表!$B33,累计考核费用!R$107:R$156)/10000</f>
        <v>4.5362</v>
      </c>
      <c r="T33" s="279">
        <f>SUMIF(累计考核费用!$B$107:$B$156,原格式费用考核表!$B33,累计考核费用!S$107:S$156)/10000</f>
        <v>0</v>
      </c>
      <c r="U33" s="279">
        <f>SUMIF(累计考核费用!$B$107:$B$156,原格式费用考核表!$B33,累计考核费用!T$107:T$156)/10000</f>
        <v>0.27610000000000001</v>
      </c>
      <c r="V33" s="279">
        <f>SUMIF(累计考核费用!$B$107:$B$156,原格式费用考核表!$B33,累计考核费用!U$107:U$156)/10000</f>
        <v>0.39910000000000001</v>
      </c>
      <c r="W33" s="279">
        <f>SUMIF(累计考核费用!$B$107:$B$156,原格式费用考核表!$B33,累计考核费用!V$107:V$156)/10000</f>
        <v>3.8610000000000002</v>
      </c>
      <c r="X33" s="279">
        <f>SUMIF(累计考核费用!$B$107:$B$156,原格式费用考核表!$B33,累计考核费用!W$107:W$156)/10000</f>
        <v>0.03</v>
      </c>
      <c r="Y33" s="279">
        <f>SUMIF(累计考核费用!$B$107:$B$156,原格式费用考核表!$B33,累计考核费用!X$107:X$156)/10000</f>
        <v>0.03</v>
      </c>
      <c r="Z33" s="279">
        <f>SUMIF(累计考核费用!$B$107:$B$156,原格式费用考核表!$B33,累计考核费用!Y$107:Y$156)/10000</f>
        <v>0</v>
      </c>
      <c r="AA33" s="279">
        <f>SUMIF(累计考核费用!$B$107:$B$156,原格式费用考核表!$B33,累计考核费用!Z$107:Z$156)/10000</f>
        <v>0</v>
      </c>
      <c r="AB33" s="279">
        <f>SUMIF(累计考核费用!$B$107:$B$156,原格式费用考核表!$B33,累计考核费用!AA$107:AA$156)/10000</f>
        <v>2.9111999999999999E-2</v>
      </c>
    </row>
    <row r="34" spans="1:28" s="27" customFormat="1" ht="12" customHeight="1">
      <c r="A34" s="320"/>
      <c r="B34" s="270" t="s">
        <v>93</v>
      </c>
      <c r="C34" s="270" t="s">
        <v>79</v>
      </c>
      <c r="D34" s="279">
        <f>SUMIF(累计考核费用!$B$107:$B$156,原格式费用考核表!$B34,累计考核费用!C$107:C$156)/10000</f>
        <v>25.18807</v>
      </c>
      <c r="E34" s="279">
        <f>SUMIF(累计考核费用!$B$107:$B$156,原格式费用考核表!$B34,累计考核费用!D$107:D$156)/10000</f>
        <v>0</v>
      </c>
      <c r="F34" s="279">
        <f>SUMIF(累计考核费用!$B$107:$B$156,原格式费用考核表!$B34,累计考核费用!E$107:E$156)/10000</f>
        <v>5.5296930000000009</v>
      </c>
      <c r="G34" s="279">
        <f>SUMIF(累计考核费用!$B$107:$B$156,原格式费用考核表!$B34,累计考核费用!F$107:F$156)/10000</f>
        <v>17.391131000000001</v>
      </c>
      <c r="H34" s="279">
        <f>SUMIF(累计考核费用!$B$107:$B$156,原格式费用考核表!$B34,累计考核费用!G$107:G$156)/10000</f>
        <v>0.378</v>
      </c>
      <c r="I34" s="279">
        <f>SUMIF(累计考核费用!$B$107:$B$156,原格式费用考核表!$B34,累计考核费用!H$107:H$156)/10000</f>
        <v>1.0452360000000001</v>
      </c>
      <c r="J34" s="279">
        <f>SUMIF(累计考核费用!$B$107:$B$156,原格式费用考核表!$B34,累计考核费用!I$107:I$156)/10000</f>
        <v>0.2737</v>
      </c>
      <c r="K34" s="279">
        <f>SUMIF(累计考核费用!$B$107:$B$156,原格式费用考核表!$B34,累计考核费用!J$107:J$156)/10000</f>
        <v>7.4689999999999993E-2</v>
      </c>
      <c r="L34" s="279">
        <f>SUMIF(累计考核费用!$B$107:$B$156,原格式费用考核表!$B34,累计考核费用!K$107:K$156)/10000</f>
        <v>0.14879999999999999</v>
      </c>
      <c r="M34" s="279">
        <f>SUMIF(累计考核费用!$B$107:$B$156,原格式费用考核表!$B34,累计考核费用!L$107:L$156)/10000</f>
        <v>0</v>
      </c>
      <c r="N34" s="279">
        <f>SUMIF(累计考核费用!$B$107:$B$156,原格式费用考核表!$B34,累计考核费用!M$107:M$156)/10000</f>
        <v>4.3999999999999997E-2</v>
      </c>
      <c r="O34" s="279">
        <f>SUMIF(累计考核费用!$B$107:$B$156,原格式费用考核表!$B34,累计考核费用!N$107:N$156)/10000</f>
        <v>0</v>
      </c>
      <c r="P34" s="279">
        <f>SUMIF(累计考核费用!$B$107:$B$156,原格式费用考核表!$B34,累计考核费用!O$107:O$156)/10000</f>
        <v>0.32998</v>
      </c>
      <c r="Q34" s="279">
        <f>SUMIF(累计考核费用!$B$107:$B$156,原格式费用考核表!$B34,累计考核费用!P$107:P$156)/10000</f>
        <v>0.174066</v>
      </c>
      <c r="R34" s="279">
        <f>SUMIF(累计考核费用!$B$107:$B$156,原格式费用考核表!$B34,累计考核费用!Q$107:Q$156)/10000</f>
        <v>0.1726</v>
      </c>
      <c r="S34" s="279">
        <f>SUMIF(累计考核费用!$B$107:$B$156,原格式费用考核表!$B34,累计考核费用!R$107:R$156)/10000</f>
        <v>0.60940000000000005</v>
      </c>
      <c r="T34" s="279">
        <f>SUMIF(累计考核费用!$B$107:$B$156,原格式费用考核表!$B34,累计考核费用!S$107:S$156)/10000</f>
        <v>0</v>
      </c>
      <c r="U34" s="279">
        <f>SUMIF(累计考核费用!$B$107:$B$156,原格式费用考核表!$B34,累计考核费用!T$107:T$156)/10000</f>
        <v>0.4486</v>
      </c>
      <c r="V34" s="279">
        <f>SUMIF(累计考核费用!$B$107:$B$156,原格式费用考核表!$B34,累计考核费用!U$107:U$156)/10000</f>
        <v>0.1608</v>
      </c>
      <c r="W34" s="279">
        <f>SUMIF(累计考核费用!$B$107:$B$156,原格式费用考核表!$B34,累计考核费用!V$107:V$156)/10000</f>
        <v>0</v>
      </c>
      <c r="X34" s="279">
        <f>SUMIF(累计考核费用!$B$107:$B$156,原格式费用考核表!$B34,累计考核费用!W$107:W$156)/10000</f>
        <v>3.5720000000000002E-2</v>
      </c>
      <c r="Y34" s="279">
        <f>SUMIF(累计考核费用!$B$107:$B$156,原格式费用考核表!$B34,累计考核费用!X$107:X$156)/10000</f>
        <v>3.5720000000000002E-2</v>
      </c>
      <c r="Z34" s="279">
        <f>SUMIF(累计考核费用!$B$107:$B$156,原格式费用考核表!$B34,累计考核费用!Y$107:Y$156)/10000</f>
        <v>0</v>
      </c>
      <c r="AA34" s="279">
        <f>SUMIF(累计考核费用!$B$107:$B$156,原格式费用考核表!$B34,累计考核费用!Z$107:Z$156)/10000</f>
        <v>2.6289999999999997E-2</v>
      </c>
      <c r="AB34" s="279">
        <f>SUMIF(累计考核费用!$B$107:$B$156,原格式费用考核表!$B34,累计考核费用!AA$107:AA$156)/10000</f>
        <v>0</v>
      </c>
    </row>
    <row r="35" spans="1:28" s="27" customFormat="1" ht="12" customHeight="1">
      <c r="A35" s="320"/>
      <c r="B35" s="270" t="s">
        <v>94</v>
      </c>
      <c r="C35" s="270" t="s">
        <v>83</v>
      </c>
      <c r="D35" s="279">
        <f>SUMIF(累计考核费用!$B$107:$B$156,原格式费用考核表!$B35,累计考核费用!C$107:C$156)/10000</f>
        <v>105.14980700000001</v>
      </c>
      <c r="E35" s="279">
        <f>SUMIF(累计考核费用!$B$107:$B$156,原格式费用考核表!$B35,累计考核费用!D$107:D$156)/10000</f>
        <v>0</v>
      </c>
      <c r="F35" s="279">
        <f>SUMIF(累计考核费用!$B$107:$B$156,原格式费用考核表!$B35,累计考核费用!E$107:E$156)/10000</f>
        <v>15.050960000000003</v>
      </c>
      <c r="G35" s="279">
        <f>SUMIF(累计考核费用!$B$107:$B$156,原格式费用考核表!$B35,累计考核费用!F$107:F$156)/10000</f>
        <v>37.042940000000009</v>
      </c>
      <c r="H35" s="279">
        <f>SUMIF(累计考核费用!$B$107:$B$156,原格式费用考核表!$B35,累计考核费用!G$107:G$156)/10000</f>
        <v>0.183196</v>
      </c>
      <c r="I35" s="279">
        <f>SUMIF(累计考核费用!$B$107:$B$156,原格式费用考核表!$B35,累计考核费用!H$107:H$156)/10000</f>
        <v>11.195013000000001</v>
      </c>
      <c r="J35" s="279">
        <f>SUMIF(累计考核费用!$B$107:$B$156,原格式费用考核表!$B35,累计考核费用!I$107:I$156)/10000</f>
        <v>1.4327859999999999</v>
      </c>
      <c r="K35" s="279">
        <f>SUMIF(累计考核费用!$B$107:$B$156,原格式费用考核表!$B35,累计考核费用!J$107:J$156)/10000</f>
        <v>0.44688</v>
      </c>
      <c r="L35" s="279">
        <f>SUMIF(累计考核费用!$B$107:$B$156,原格式费用考核表!$B35,累计考核费用!K$107:K$156)/10000</f>
        <v>1.1740539999999999</v>
      </c>
      <c r="M35" s="279">
        <f>SUMIF(累计考核费用!$B$107:$B$156,原格式费用考核表!$B35,累计考核费用!L$107:L$156)/10000</f>
        <v>0</v>
      </c>
      <c r="N35" s="279">
        <f>SUMIF(累计考核费用!$B$107:$B$156,原格式费用考核表!$B35,累计考核费用!M$107:M$156)/10000</f>
        <v>5.5347570000000008</v>
      </c>
      <c r="O35" s="279">
        <f>SUMIF(累计考核费用!$B$107:$B$156,原格式费用考核表!$B35,累计考核费用!N$107:N$156)/10000</f>
        <v>0</v>
      </c>
      <c r="P35" s="279">
        <f>SUMIF(累计考核费用!$B$107:$B$156,原格式费用考核表!$B35,累计考核费用!O$107:O$156)/10000</f>
        <v>0.80402300000000015</v>
      </c>
      <c r="Q35" s="279">
        <f>SUMIF(累计考核费用!$B$107:$B$156,原格式费用考核表!$B35,累计考核费用!P$107:P$156)/10000</f>
        <v>1.802513</v>
      </c>
      <c r="R35" s="279">
        <f>SUMIF(累计考核费用!$B$107:$B$156,原格式费用考核表!$B35,累计考核费用!Q$107:Q$156)/10000</f>
        <v>14.531683999999997</v>
      </c>
      <c r="S35" s="279">
        <f>SUMIF(累计考核费用!$B$107:$B$156,原格式费用考核表!$B35,累计考核费用!R$107:R$156)/10000</f>
        <v>23.783638999999997</v>
      </c>
      <c r="T35" s="279">
        <f>SUMIF(累计考核费用!$B$107:$B$156,原格式费用考核表!$B35,累计考核费用!S$107:S$156)/10000</f>
        <v>0</v>
      </c>
      <c r="U35" s="279">
        <f>SUMIF(累计考核费用!$B$107:$B$156,原格式费用考核表!$B35,累计考核费用!T$107:T$156)/10000</f>
        <v>16.108691</v>
      </c>
      <c r="V35" s="279">
        <f>SUMIF(累计考核费用!$B$107:$B$156,原格式费用考核表!$B35,累计考核费用!U$107:U$156)/10000</f>
        <v>5.621308</v>
      </c>
      <c r="W35" s="279">
        <f>SUMIF(累计考核费用!$B$107:$B$156,原格式费用考核表!$B35,累计考核费用!V$107:V$156)/10000</f>
        <v>2.0536400000000001</v>
      </c>
      <c r="X35" s="279">
        <f>SUMIF(累计考核费用!$B$107:$B$156,原格式费用考核表!$B35,累计考核费用!W$107:W$156)/10000</f>
        <v>1.5011060000000001</v>
      </c>
      <c r="Y35" s="279">
        <f>SUMIF(累计考核费用!$B$107:$B$156,原格式费用考核表!$B35,累计考核费用!X$107:X$156)/10000</f>
        <v>0.90835100000000002</v>
      </c>
      <c r="Z35" s="279">
        <f>SUMIF(累计考核费用!$B$107:$B$156,原格式费用考核表!$B35,累计考核费用!Y$107:Y$156)/10000</f>
        <v>0.59275500000000003</v>
      </c>
      <c r="AA35" s="279">
        <f>SUMIF(累计考核费用!$B$107:$B$156,原格式费用考核表!$B35,累计考核费用!Z$107:Z$156)/10000</f>
        <v>1.839129</v>
      </c>
      <c r="AB35" s="279">
        <f>SUMIF(累计考核费用!$B$107:$B$156,原格式费用考核表!$B35,累计考核费用!AA$107:AA$156)/10000</f>
        <v>2.214E-2</v>
      </c>
    </row>
    <row r="36" spans="1:28" s="27" customFormat="1" ht="12" customHeight="1">
      <c r="A36" s="320"/>
      <c r="B36" s="270" t="s">
        <v>95</v>
      </c>
      <c r="C36" s="270" t="s">
        <v>87</v>
      </c>
      <c r="D36" s="279">
        <f>SUMIF(累计考核费用!$B$107:$B$156,原格式费用考核表!$B36,累计考核费用!C$107:C$156)/10000</f>
        <v>232.557267</v>
      </c>
      <c r="E36" s="279">
        <f>SUMIF(累计考核费用!$B$107:$B$156,原格式费用考核表!$B36,累计考核费用!D$107:D$156)/10000</f>
        <v>0</v>
      </c>
      <c r="F36" s="279">
        <f>SUMIF(累计考核费用!$B$107:$B$156,原格式费用考核表!$B36,累计考核费用!E$107:E$156)/10000</f>
        <v>159.7217</v>
      </c>
      <c r="G36" s="279">
        <f>SUMIF(累计考核费用!$B$107:$B$156,原格式费用考核表!$B36,累计考核费用!F$107:F$156)/10000</f>
        <v>29.713000000000001</v>
      </c>
      <c r="H36" s="279">
        <f>SUMIF(累计考核费用!$B$107:$B$156,原格式费用考核表!$B36,累计考核费用!G$107:G$156)/10000</f>
        <v>42.622566999999997</v>
      </c>
      <c r="I36" s="279">
        <f>SUMIF(累计考核费用!$B$107:$B$156,原格式费用考核表!$B36,累计考核费用!H$107:H$156)/10000</f>
        <v>0</v>
      </c>
      <c r="J36" s="279">
        <f>SUMIF(累计考核费用!$B$107:$B$156,原格式费用考核表!$B36,累计考核费用!I$107:I$156)/10000</f>
        <v>0</v>
      </c>
      <c r="K36" s="279">
        <f>SUMIF(累计考核费用!$B$107:$B$156,原格式费用考核表!$B36,累计考核费用!J$107:J$156)/10000</f>
        <v>0</v>
      </c>
      <c r="L36" s="279">
        <f>SUMIF(累计考核费用!$B$107:$B$156,原格式费用考核表!$B36,累计考核费用!K$107:K$156)/10000</f>
        <v>0</v>
      </c>
      <c r="M36" s="279">
        <f>SUMIF(累计考核费用!$B$107:$B$156,原格式费用考核表!$B36,累计考核费用!L$107:L$156)/10000</f>
        <v>0</v>
      </c>
      <c r="N36" s="279">
        <f>SUMIF(累计考核费用!$B$107:$B$156,原格式费用考核表!$B36,累计考核费用!M$107:M$156)/10000</f>
        <v>0</v>
      </c>
      <c r="O36" s="279">
        <f>SUMIF(累计考核费用!$B$107:$B$156,原格式费用考核表!$B36,累计考核费用!N$107:N$156)/10000</f>
        <v>0</v>
      </c>
      <c r="P36" s="279">
        <f>SUMIF(累计考核费用!$B$107:$B$156,原格式费用考核表!$B36,累计考核费用!O$107:O$156)/10000</f>
        <v>0</v>
      </c>
      <c r="Q36" s="279">
        <f>SUMIF(累计考核费用!$B$107:$B$156,原格式费用考核表!$B36,累计考核费用!P$107:P$156)/10000</f>
        <v>0</v>
      </c>
      <c r="R36" s="279">
        <f>SUMIF(累计考核费用!$B$107:$B$156,原格式费用考核表!$B36,累计考核费用!Q$107:Q$156)/10000</f>
        <v>0</v>
      </c>
      <c r="S36" s="279">
        <f>SUMIF(累计考核费用!$B$107:$B$156,原格式费用考核表!$B36,累计考核费用!R$107:R$156)/10000</f>
        <v>0</v>
      </c>
      <c r="T36" s="279">
        <f>SUMIF(累计考核费用!$B$107:$B$156,原格式费用考核表!$B36,累计考核费用!S$107:S$156)/10000</f>
        <v>0</v>
      </c>
      <c r="U36" s="279">
        <f>SUMIF(累计考核费用!$B$107:$B$156,原格式费用考核表!$B36,累计考核费用!T$107:T$156)/10000</f>
        <v>0</v>
      </c>
      <c r="V36" s="279">
        <f>SUMIF(累计考核费用!$B$107:$B$156,原格式费用考核表!$B36,累计考核费用!U$107:U$156)/10000</f>
        <v>0</v>
      </c>
      <c r="W36" s="279">
        <f>SUMIF(累计考核费用!$B$107:$B$156,原格式费用考核表!$B36,累计考核费用!V$107:V$156)/10000</f>
        <v>0</v>
      </c>
      <c r="X36" s="279">
        <f>SUMIF(累计考核费用!$B$107:$B$156,原格式费用考核表!$B36,累计考核费用!W$107:W$156)/10000</f>
        <v>0.5</v>
      </c>
      <c r="Y36" s="279">
        <f>SUMIF(累计考核费用!$B$107:$B$156,原格式费用考核表!$B36,累计考核费用!X$107:X$156)/10000</f>
        <v>0.5</v>
      </c>
      <c r="Z36" s="279">
        <f>SUMIF(累计考核费用!$B$107:$B$156,原格式费用考核表!$B36,累计考核费用!Y$107:Y$156)/10000</f>
        <v>0</v>
      </c>
      <c r="AA36" s="279">
        <f>SUMIF(累计考核费用!$B$107:$B$156,原格式费用考核表!$B36,累计考核费用!Z$107:Z$156)/10000</f>
        <v>0</v>
      </c>
      <c r="AB36" s="279">
        <f>SUMIF(累计考核费用!$B$107:$B$156,原格式费用考核表!$B36,累计考核费用!AA$107:AA$156)/10000</f>
        <v>0</v>
      </c>
    </row>
    <row r="37" spans="1:28" s="27" customFormat="1" ht="12" customHeight="1">
      <c r="A37" s="320"/>
      <c r="B37" s="270" t="s">
        <v>96</v>
      </c>
      <c r="C37" s="270" t="s">
        <v>91</v>
      </c>
      <c r="D37" s="279">
        <f>SUMIF(累计考核费用!$B$107:$B$156,原格式费用考核表!$B37,累计考核费用!C$107:C$156)/10000</f>
        <v>63.394445999999995</v>
      </c>
      <c r="E37" s="279">
        <f>SUMIF(累计考核费用!$B$107:$B$156,原格式费用考核表!$B37,累计考核费用!D$107:D$156)/10000</f>
        <v>0</v>
      </c>
      <c r="F37" s="279">
        <f>SUMIF(累计考核费用!$B$107:$B$156,原格式费用考核表!$B37,累计考核费用!E$107:E$156)/10000</f>
        <v>0</v>
      </c>
      <c r="G37" s="279">
        <f>SUMIF(累计考核费用!$B$107:$B$156,原格式费用考核表!$B37,累计考核费用!F$107:F$156)/10000</f>
        <v>61.044435</v>
      </c>
      <c r="H37" s="279">
        <f>SUMIF(累计考核费用!$B$107:$B$156,原格式费用考核表!$B37,累计考核费用!G$107:G$156)/10000</f>
        <v>0</v>
      </c>
      <c r="I37" s="279">
        <f>SUMIF(累计考核费用!$B$107:$B$156,原格式费用考核表!$B37,累计考核费用!H$107:H$156)/10000</f>
        <v>2.3500109999999999</v>
      </c>
      <c r="J37" s="279">
        <f>SUMIF(累计考核费用!$B$107:$B$156,原格式费用考核表!$B37,累计考核费用!I$107:I$156)/10000</f>
        <v>0</v>
      </c>
      <c r="K37" s="279">
        <f>SUMIF(累计考核费用!$B$107:$B$156,原格式费用考核表!$B37,累计考核费用!J$107:J$156)/10000</f>
        <v>0</v>
      </c>
      <c r="L37" s="279">
        <f>SUMIF(累计考核费用!$B$107:$B$156,原格式费用考核表!$B37,累计考核费用!K$107:K$156)/10000</f>
        <v>0</v>
      </c>
      <c r="M37" s="279">
        <f>SUMIF(累计考核费用!$B$107:$B$156,原格式费用考核表!$B37,累计考核费用!L$107:L$156)/10000</f>
        <v>0</v>
      </c>
      <c r="N37" s="279">
        <f>SUMIF(累计考核费用!$B$107:$B$156,原格式费用考核表!$B37,累计考核费用!M$107:M$156)/10000</f>
        <v>0</v>
      </c>
      <c r="O37" s="279">
        <f>SUMIF(累计考核费用!$B$107:$B$156,原格式费用考核表!$B37,累计考核费用!N$107:N$156)/10000</f>
        <v>0</v>
      </c>
      <c r="P37" s="279">
        <f>SUMIF(累计考核费用!$B$107:$B$156,原格式费用考核表!$B37,累计考核费用!O$107:O$156)/10000</f>
        <v>2.3500109999999999</v>
      </c>
      <c r="Q37" s="279">
        <f>SUMIF(累计考核费用!$B$107:$B$156,原格式费用考核表!$B37,累计考核费用!P$107:P$156)/10000</f>
        <v>0</v>
      </c>
      <c r="R37" s="279">
        <f>SUMIF(累计考核费用!$B$107:$B$156,原格式费用考核表!$B37,累计考核费用!Q$107:Q$156)/10000</f>
        <v>0</v>
      </c>
      <c r="S37" s="279">
        <f>SUMIF(累计考核费用!$B$107:$B$156,原格式费用考核表!$B37,累计考核费用!R$107:R$156)/10000</f>
        <v>0</v>
      </c>
      <c r="T37" s="279">
        <f>SUMIF(累计考核费用!$B$107:$B$156,原格式费用考核表!$B37,累计考核费用!S$107:S$156)/10000</f>
        <v>0</v>
      </c>
      <c r="U37" s="279">
        <f>SUMIF(累计考核费用!$B$107:$B$156,原格式费用考核表!$B37,累计考核费用!T$107:T$156)/10000</f>
        <v>0</v>
      </c>
      <c r="V37" s="279">
        <f>SUMIF(累计考核费用!$B$107:$B$156,原格式费用考核表!$B37,累计考核费用!U$107:U$156)/10000</f>
        <v>0</v>
      </c>
      <c r="W37" s="279">
        <f>SUMIF(累计考核费用!$B$107:$B$156,原格式费用考核表!$B37,累计考核费用!V$107:V$156)/10000</f>
        <v>0</v>
      </c>
      <c r="X37" s="279">
        <f>SUMIF(累计考核费用!$B$107:$B$156,原格式费用考核表!$B37,累计考核费用!W$107:W$156)/10000</f>
        <v>0</v>
      </c>
      <c r="Y37" s="279">
        <f>SUMIF(累计考核费用!$B$107:$B$156,原格式费用考核表!$B37,累计考核费用!X$107:X$156)/10000</f>
        <v>0</v>
      </c>
      <c r="Z37" s="279">
        <f>SUMIF(累计考核费用!$B$107:$B$156,原格式费用考核表!$B37,累计考核费用!Y$107:Y$156)/10000</f>
        <v>0</v>
      </c>
      <c r="AA37" s="279">
        <f>SUMIF(累计考核费用!$B$107:$B$156,原格式费用考核表!$B37,累计考核费用!Z$107:Z$156)/10000</f>
        <v>0</v>
      </c>
      <c r="AB37" s="279">
        <f>SUMIF(累计考核费用!$B$107:$B$156,原格式费用考核表!$B37,累计考核费用!AA$107:AA$156)/10000</f>
        <v>0</v>
      </c>
    </row>
    <row r="38" spans="1:28" s="27" customFormat="1" ht="12" customHeight="1">
      <c r="A38" s="320"/>
      <c r="B38" s="270" t="s">
        <v>97</v>
      </c>
      <c r="C38" s="270" t="s">
        <v>92</v>
      </c>
      <c r="D38" s="279">
        <f>SUMIF(累计考核费用!$B$107:$B$156,原格式费用考核表!$B38,累计考核费用!C$107:C$156)/10000</f>
        <v>41.294813999999995</v>
      </c>
      <c r="E38" s="279">
        <f>SUMIF(累计考核费用!$B$107:$B$156,原格式费用考核表!$B38,累计考核费用!D$107:D$156)/10000</f>
        <v>0</v>
      </c>
      <c r="F38" s="279">
        <f>SUMIF(累计考核费用!$B$107:$B$156,原格式费用考核表!$B38,累计考核费用!E$107:E$156)/10000</f>
        <v>27.946582999999997</v>
      </c>
      <c r="G38" s="279">
        <f>SUMIF(累计考核费用!$B$107:$B$156,原格式费用考核表!$B38,累计考核费用!F$107:F$156)/10000</f>
        <v>0</v>
      </c>
      <c r="H38" s="279">
        <f>SUMIF(累计考核费用!$B$107:$B$156,原格式费用考核表!$B38,累计考核费用!G$107:G$156)/10000</f>
        <v>0</v>
      </c>
      <c r="I38" s="279">
        <f>SUMIF(累计考核费用!$B$107:$B$156,原格式费用考核表!$B38,累计考核费用!H$107:H$156)/10000</f>
        <v>0</v>
      </c>
      <c r="J38" s="279">
        <f>SUMIF(累计考核费用!$B$107:$B$156,原格式费用考核表!$B38,累计考核费用!I$107:I$156)/10000</f>
        <v>0</v>
      </c>
      <c r="K38" s="279">
        <f>SUMIF(累计考核费用!$B$107:$B$156,原格式费用考核表!$B38,累计考核费用!J$107:J$156)/10000</f>
        <v>0</v>
      </c>
      <c r="L38" s="279">
        <f>SUMIF(累计考核费用!$B$107:$B$156,原格式费用考核表!$B38,累计考核费用!K$107:K$156)/10000</f>
        <v>0</v>
      </c>
      <c r="M38" s="279">
        <f>SUMIF(累计考核费用!$B$107:$B$156,原格式费用考核表!$B38,累计考核费用!L$107:L$156)/10000</f>
        <v>0</v>
      </c>
      <c r="N38" s="279">
        <f>SUMIF(累计考核费用!$B$107:$B$156,原格式费用考核表!$B38,累计考核费用!M$107:M$156)/10000</f>
        <v>0</v>
      </c>
      <c r="O38" s="279">
        <f>SUMIF(累计考核费用!$B$107:$B$156,原格式费用考核表!$B38,累计考核费用!N$107:N$156)/10000</f>
        <v>0</v>
      </c>
      <c r="P38" s="279">
        <f>SUMIF(累计考核费用!$B$107:$B$156,原格式费用考核表!$B38,累计考核费用!O$107:O$156)/10000</f>
        <v>0</v>
      </c>
      <c r="Q38" s="279">
        <f>SUMIF(累计考核费用!$B$107:$B$156,原格式费用考核表!$B38,累计考核费用!P$107:P$156)/10000</f>
        <v>0</v>
      </c>
      <c r="R38" s="279">
        <f>SUMIF(累计考核费用!$B$107:$B$156,原格式费用考核表!$B38,累计考核费用!Q$107:Q$156)/10000</f>
        <v>2.8301889999999998</v>
      </c>
      <c r="S38" s="279">
        <f>SUMIF(累计考核费用!$B$107:$B$156,原格式费用考核表!$B38,累计考核费用!R$107:R$156)/10000</f>
        <v>10.518041999999998</v>
      </c>
      <c r="T38" s="279">
        <f>SUMIF(累计考核费用!$B$107:$B$156,原格式费用考核表!$B38,累计考核费用!S$107:S$156)/10000</f>
        <v>0</v>
      </c>
      <c r="U38" s="279">
        <f>SUMIF(累计考核费用!$B$107:$B$156,原格式费用考核表!$B38,累计考核费用!T$107:T$156)/10000</f>
        <v>6.7169799999999986</v>
      </c>
      <c r="V38" s="279">
        <f>SUMIF(累计考核费用!$B$107:$B$156,原格式费用考核表!$B38,累计考核费用!U$107:U$156)/10000</f>
        <v>3.8010620000000004</v>
      </c>
      <c r="W38" s="279">
        <f>SUMIF(累计考核费用!$B$107:$B$156,原格式费用考核表!$B38,累计考核费用!V$107:V$156)/10000</f>
        <v>0</v>
      </c>
      <c r="X38" s="279">
        <f>SUMIF(累计考核费用!$B$107:$B$156,原格式费用考核表!$B38,累计考核费用!W$107:W$156)/10000</f>
        <v>0</v>
      </c>
      <c r="Y38" s="279">
        <f>SUMIF(累计考核费用!$B$107:$B$156,原格式费用考核表!$B38,累计考核费用!X$107:X$156)/10000</f>
        <v>0</v>
      </c>
      <c r="Z38" s="279">
        <f>SUMIF(累计考核费用!$B$107:$B$156,原格式费用考核表!$B38,累计考核费用!Y$107:Y$156)/10000</f>
        <v>0</v>
      </c>
      <c r="AA38" s="279">
        <f>SUMIF(累计考核费用!$B$107:$B$156,原格式费用考核表!$B38,累计考核费用!Z$107:Z$156)/10000</f>
        <v>0</v>
      </c>
      <c r="AB38" s="279">
        <f>SUMIF(累计考核费用!$B$107:$B$156,原格式费用考核表!$B38,累计考核费用!AA$107:AA$156)/10000</f>
        <v>0</v>
      </c>
    </row>
    <row r="39" spans="1:28" s="27" customFormat="1" ht="12" customHeight="1">
      <c r="A39" s="320"/>
      <c r="B39" s="270" t="s">
        <v>98</v>
      </c>
      <c r="C39" s="270" t="s">
        <v>95</v>
      </c>
      <c r="D39" s="279">
        <f>SUMIF(累计考核费用!$B$107:$B$156,原格式费用考核表!$B39,累计考核费用!C$107:C$156)/10000</f>
        <v>3.5000000000000003E-2</v>
      </c>
      <c r="E39" s="279">
        <f>SUMIF(累计考核费用!$B$107:$B$156,原格式费用考核表!$B39,累计考核费用!D$107:D$156)/10000</f>
        <v>0</v>
      </c>
      <c r="F39" s="279">
        <f>SUMIF(累计考核费用!$B$107:$B$156,原格式费用考核表!$B39,累计考核费用!E$107:E$156)/10000</f>
        <v>0</v>
      </c>
      <c r="G39" s="279">
        <f>SUMIF(累计考核费用!$B$107:$B$156,原格式费用考核表!$B39,累计考核费用!F$107:F$156)/10000</f>
        <v>-0.105</v>
      </c>
      <c r="H39" s="279">
        <f>SUMIF(累计考核费用!$B$107:$B$156,原格式费用考核表!$B39,累计考核费用!G$107:G$156)/10000</f>
        <v>0</v>
      </c>
      <c r="I39" s="279">
        <f>SUMIF(累计考核费用!$B$107:$B$156,原格式费用考核表!$B39,累计考核费用!H$107:H$156)/10000</f>
        <v>0.14000000000000001</v>
      </c>
      <c r="J39" s="279">
        <f>SUMIF(累计考核费用!$B$107:$B$156,原格式费用考核表!$B39,累计考核费用!I$107:I$156)/10000</f>
        <v>0.14000000000000001</v>
      </c>
      <c r="K39" s="279">
        <f>SUMIF(累计考核费用!$B$107:$B$156,原格式费用考核表!$B39,累计考核费用!J$107:J$156)/10000</f>
        <v>0</v>
      </c>
      <c r="L39" s="279">
        <f>SUMIF(累计考核费用!$B$107:$B$156,原格式费用考核表!$B39,累计考核费用!K$107:K$156)/10000</f>
        <v>0</v>
      </c>
      <c r="M39" s="279">
        <f>SUMIF(累计考核费用!$B$107:$B$156,原格式费用考核表!$B39,累计考核费用!L$107:L$156)/10000</f>
        <v>0</v>
      </c>
      <c r="N39" s="279">
        <f>SUMIF(累计考核费用!$B$107:$B$156,原格式费用考核表!$B39,累计考核费用!M$107:M$156)/10000</f>
        <v>0</v>
      </c>
      <c r="O39" s="279">
        <f>SUMIF(累计考核费用!$B$107:$B$156,原格式费用考核表!$B39,累计考核费用!N$107:N$156)/10000</f>
        <v>0</v>
      </c>
      <c r="P39" s="279">
        <f>SUMIF(累计考核费用!$B$107:$B$156,原格式费用考核表!$B39,累计考核费用!O$107:O$156)/10000</f>
        <v>0</v>
      </c>
      <c r="Q39" s="279">
        <f>SUMIF(累计考核费用!$B$107:$B$156,原格式费用考核表!$B39,累计考核费用!P$107:P$156)/10000</f>
        <v>0</v>
      </c>
      <c r="R39" s="279">
        <f>SUMIF(累计考核费用!$B$107:$B$156,原格式费用考核表!$B39,累计考核费用!Q$107:Q$156)/10000</f>
        <v>0</v>
      </c>
      <c r="S39" s="279">
        <f>SUMIF(累计考核费用!$B$107:$B$156,原格式费用考核表!$B39,累计考核费用!R$107:R$156)/10000</f>
        <v>0</v>
      </c>
      <c r="T39" s="279">
        <f>SUMIF(累计考核费用!$B$107:$B$156,原格式费用考核表!$B39,累计考核费用!S$107:S$156)/10000</f>
        <v>0</v>
      </c>
      <c r="U39" s="279">
        <f>SUMIF(累计考核费用!$B$107:$B$156,原格式费用考核表!$B39,累计考核费用!T$107:T$156)/10000</f>
        <v>0</v>
      </c>
      <c r="V39" s="279">
        <f>SUMIF(累计考核费用!$B$107:$B$156,原格式费用考核表!$B39,累计考核费用!U$107:U$156)/10000</f>
        <v>0</v>
      </c>
      <c r="W39" s="279">
        <f>SUMIF(累计考核费用!$B$107:$B$156,原格式费用考核表!$B39,累计考核费用!V$107:V$156)/10000</f>
        <v>0</v>
      </c>
      <c r="X39" s="279">
        <f>SUMIF(累计考核费用!$B$107:$B$156,原格式费用考核表!$B39,累计考核费用!W$107:W$156)/10000</f>
        <v>0</v>
      </c>
      <c r="Y39" s="279">
        <f>SUMIF(累计考核费用!$B$107:$B$156,原格式费用考核表!$B39,累计考核费用!X$107:X$156)/10000</f>
        <v>0</v>
      </c>
      <c r="Z39" s="279">
        <f>SUMIF(累计考核费用!$B$107:$B$156,原格式费用考核表!$B39,累计考核费用!Y$107:Y$156)/10000</f>
        <v>0</v>
      </c>
      <c r="AA39" s="279">
        <f>SUMIF(累计考核费用!$B$107:$B$156,原格式费用考核表!$B39,累计考核费用!Z$107:Z$156)/10000</f>
        <v>0</v>
      </c>
      <c r="AB39" s="279">
        <f>SUMIF(累计考核费用!$B$107:$B$156,原格式费用考核表!$B39,累计考核费用!AA$107:AA$156)/10000</f>
        <v>0</v>
      </c>
    </row>
    <row r="40" spans="1:28" s="27" customFormat="1" ht="12" customHeight="1">
      <c r="A40" s="320"/>
      <c r="B40" s="270" t="s">
        <v>99</v>
      </c>
      <c r="C40" s="270" t="s">
        <v>97</v>
      </c>
      <c r="D40" s="279">
        <f>累计考核费用!C137/10000</f>
        <v>62.650212000000025</v>
      </c>
      <c r="E40" s="279">
        <f>SUMIF(累计考核费用!$B$107:$B$156,原格式费用考核表!$B40,累计考核费用!D$107:D$156)/10000</f>
        <v>0</v>
      </c>
      <c r="F40" s="279">
        <f>累计考核费用!E137/10000</f>
        <v>25.803204000000026</v>
      </c>
      <c r="G40" s="279">
        <f>累计考核费用!F137/10000</f>
        <v>26.270891000000002</v>
      </c>
      <c r="H40" s="279">
        <f>累计考核费用!G137/10000</f>
        <v>2.2831069999999998</v>
      </c>
      <c r="I40" s="279">
        <f>累计考核费用!H137/10000</f>
        <v>4.3324099999999994</v>
      </c>
      <c r="J40" s="279">
        <f>累计考核费用!I137/10000</f>
        <v>0.127</v>
      </c>
      <c r="K40" s="279">
        <f>累计考核费用!J137/10000</f>
        <v>0</v>
      </c>
      <c r="L40" s="279">
        <f>累计考核费用!K137/10000</f>
        <v>1.373904</v>
      </c>
      <c r="M40" s="279">
        <f>累计考核费用!L137/10000</f>
        <v>0</v>
      </c>
      <c r="N40" s="279">
        <f>累计考核费用!M137/10000</f>
        <v>0.91659999999999997</v>
      </c>
      <c r="O40" s="279">
        <f>累计考核费用!N137/10000</f>
        <v>0</v>
      </c>
      <c r="P40" s="279">
        <f>累计考核费用!O137/10000</f>
        <v>1.3539060000000001</v>
      </c>
      <c r="Q40" s="279">
        <f>累计考核费用!P137/10000</f>
        <v>0.56100000000000005</v>
      </c>
      <c r="R40" s="279">
        <f>累计考核费用!Q137/10000</f>
        <v>0.8</v>
      </c>
      <c r="S40" s="279">
        <f>累计考核费用!R137/10000</f>
        <v>0.999</v>
      </c>
      <c r="T40" s="279">
        <f>累计考核费用!S137/10000</f>
        <v>0</v>
      </c>
      <c r="U40" s="279">
        <f>累计考核费用!T137/10000</f>
        <v>0.16</v>
      </c>
      <c r="V40" s="279">
        <f>累计考核费用!U137/10000</f>
        <v>0</v>
      </c>
      <c r="W40" s="279">
        <f>累计考核费用!V137/10000</f>
        <v>0.83899999999999997</v>
      </c>
      <c r="X40" s="279">
        <f>累计考核费用!W137/10000</f>
        <v>1.7096</v>
      </c>
      <c r="Y40" s="279">
        <f>累计考核费用!X137/10000</f>
        <v>1.2290000000000001</v>
      </c>
      <c r="Z40" s="279">
        <f>累计考核费用!Y137/10000</f>
        <v>0.48060000000000003</v>
      </c>
      <c r="AA40" s="279">
        <f>累计考核费用!Z137/10000</f>
        <v>0.45200000000000001</v>
      </c>
      <c r="AB40" s="279">
        <f>累计考核费用!AA137/10000</f>
        <v>0</v>
      </c>
    </row>
    <row r="41" spans="1:28" s="27" customFormat="1" ht="12" customHeight="1">
      <c r="A41" s="321"/>
      <c r="B41" s="270" t="s">
        <v>69</v>
      </c>
      <c r="C41" s="270" t="s">
        <v>98</v>
      </c>
      <c r="D41" s="280">
        <f>SUM(D17:D40)</f>
        <v>10493.257542999998</v>
      </c>
      <c r="E41" s="280">
        <f>SUM(E17:E40)</f>
        <v>-2879.7761679999999</v>
      </c>
      <c r="F41" s="280">
        <f t="shared" ref="F41:AB41" si="29">SUM(F17:F40)</f>
        <v>2065.1533309999995</v>
      </c>
      <c r="G41" s="280">
        <f t="shared" si="29"/>
        <v>7790.7835460000006</v>
      </c>
      <c r="H41" s="280">
        <f t="shared" si="29"/>
        <v>285.66535199999993</v>
      </c>
      <c r="I41" s="280">
        <f t="shared" si="29"/>
        <v>682.44401300000004</v>
      </c>
      <c r="J41" s="280">
        <f t="shared" si="29"/>
        <v>224.15904399999999</v>
      </c>
      <c r="K41" s="280">
        <f t="shared" si="29"/>
        <v>27.004413000000003</v>
      </c>
      <c r="L41" s="280">
        <f t="shared" si="29"/>
        <v>120.541873</v>
      </c>
      <c r="M41" s="280">
        <f t="shared" si="29"/>
        <v>0</v>
      </c>
      <c r="N41" s="280">
        <f t="shared" si="29"/>
        <v>106.64699</v>
      </c>
      <c r="O41" s="280">
        <f t="shared" si="29"/>
        <v>0</v>
      </c>
      <c r="P41" s="280">
        <f t="shared" si="29"/>
        <v>75.499256000000003</v>
      </c>
      <c r="Q41" s="280">
        <f t="shared" si="29"/>
        <v>128.59243699999999</v>
      </c>
      <c r="R41" s="280">
        <f t="shared" si="29"/>
        <v>244.15402199999997</v>
      </c>
      <c r="S41" s="280">
        <f t="shared" si="29"/>
        <v>2012.8693629999996</v>
      </c>
      <c r="T41" s="280">
        <f t="shared" si="29"/>
        <v>0</v>
      </c>
      <c r="U41" s="280">
        <f t="shared" si="29"/>
        <v>1513.72839</v>
      </c>
      <c r="V41" s="280">
        <f t="shared" si="29"/>
        <v>437.08868799999999</v>
      </c>
      <c r="W41" s="280">
        <f t="shared" si="29"/>
        <v>62.052284999999991</v>
      </c>
      <c r="X41" s="280">
        <f t="shared" si="29"/>
        <v>106.22611899999998</v>
      </c>
      <c r="Y41" s="280">
        <f t="shared" si="29"/>
        <v>88.398026999999985</v>
      </c>
      <c r="Z41" s="280">
        <f t="shared" si="29"/>
        <v>17.828092000000002</v>
      </c>
      <c r="AA41" s="280">
        <f>SUM(AA17:AA40)</f>
        <v>182.50793900000002</v>
      </c>
      <c r="AB41" s="280">
        <f t="shared" si="29"/>
        <v>3.2300259999999996</v>
      </c>
    </row>
    <row r="42" spans="1:28" s="27" customFormat="1" ht="12" customHeight="1">
      <c r="A42" s="319" t="s">
        <v>100</v>
      </c>
      <c r="B42" s="270" t="s">
        <v>101</v>
      </c>
      <c r="C42" s="270" t="s">
        <v>101</v>
      </c>
      <c r="D42" s="279">
        <f>SUMIF(累计考核费用!$B$107:$B$156,原格式费用考核表!$B42,累计考核费用!C$107:C$156)/10000</f>
        <v>1182.7669299999998</v>
      </c>
      <c r="E42" s="279">
        <f>SUMIF(累计考核费用!$B$107:$B$156,原格式费用考核表!$B42,累计考核费用!D$107:D$156)/10000</f>
        <v>0</v>
      </c>
      <c r="F42" s="279">
        <f>SUMIF(累计考核费用!$B$107:$B$156,原格式费用考核表!$B42,累计考核费用!E$107:E$156)/10000</f>
        <v>212.82240099999999</v>
      </c>
      <c r="G42" s="279">
        <f>SUMIF(累计考核费用!$B$107:$B$156,原格式费用考核表!$B42,累计考核费用!F$107:F$156)/10000</f>
        <v>853.70444899999984</v>
      </c>
      <c r="H42" s="279">
        <f>SUMIF(累计考核费用!$B$107:$B$156,原格式费用考核表!$B42,累计考核费用!G$107:G$156)/10000</f>
        <v>4.2871169999999994</v>
      </c>
      <c r="I42" s="279">
        <f>SUMIF(累计考核费用!$B$107:$B$156,原格式费用考核表!$B42,累计考核费用!H$107:H$156)/10000</f>
        <v>90.314813000000001</v>
      </c>
      <c r="J42" s="279">
        <f>SUMIF(累计考核费用!$B$107:$B$156,原格式费用考核表!$B42,累计考核费用!I$107:I$156)/10000</f>
        <v>6.5344930000000003</v>
      </c>
      <c r="K42" s="279">
        <f>SUMIF(累计考核费用!$B$107:$B$156,原格式费用考核表!$B42,累计考核费用!J$107:J$156)/10000</f>
        <v>15.251021</v>
      </c>
      <c r="L42" s="279">
        <f>SUMIF(累计考核费用!$B$107:$B$156,原格式费用考核表!$B42,累计考核费用!K$107:K$156)/10000</f>
        <v>20.948557999999998</v>
      </c>
      <c r="M42" s="279">
        <f>SUMIF(累计考核费用!$B$107:$B$156,原格式费用考核表!$B42,累计考核费用!L$107:L$156)/10000</f>
        <v>0</v>
      </c>
      <c r="N42" s="279">
        <f>SUMIF(累计考核费用!$B$107:$B$156,原格式费用考核表!$B42,累计考核费用!M$107:M$156)/10000</f>
        <v>18.089362000000001</v>
      </c>
      <c r="O42" s="279">
        <f>SUMIF(累计考核费用!$B$107:$B$156,原格式费用考核表!$B42,累计考核费用!N$107:N$156)/10000</f>
        <v>0</v>
      </c>
      <c r="P42" s="279">
        <f>SUMIF(累计考核费用!$B$107:$B$156,原格式费用考核表!$B42,累计考核费用!O$107:O$156)/10000</f>
        <v>0.25</v>
      </c>
      <c r="Q42" s="279">
        <f>SUMIF(累计考核费用!$B$107:$B$156,原格式费用考核表!$B42,累计考核费用!P$107:P$156)/10000</f>
        <v>29.241379000000002</v>
      </c>
      <c r="R42" s="279">
        <f>SUMIF(累计考核费用!$B$107:$B$156,原格式费用考核表!$B42,累计考核费用!Q$107:Q$156)/10000</f>
        <v>0</v>
      </c>
      <c r="S42" s="279">
        <f>SUMIF(累计考核费用!$B$107:$B$156,原格式费用考核表!$B42,累计考核费用!R$107:R$156)/10000</f>
        <v>0</v>
      </c>
      <c r="T42" s="279">
        <f>SUMIF(累计考核费用!$B$107:$B$156,原格式费用考核表!$B42,累计考核费用!S$107:S$156)/10000</f>
        <v>0</v>
      </c>
      <c r="U42" s="279">
        <f>SUMIF(累计考核费用!$B$107:$B$156,原格式费用考核表!$B42,累计考核费用!T$107:T$156)/10000</f>
        <v>0</v>
      </c>
      <c r="V42" s="279">
        <f>SUMIF(累计考核费用!$B$107:$B$156,原格式费用考核表!$B42,累计考核费用!U$107:U$156)/10000</f>
        <v>0</v>
      </c>
      <c r="W42" s="279">
        <f>SUMIF(累计考核费用!$B$107:$B$156,原格式费用考核表!$B42,累计考核费用!V$107:V$156)/10000</f>
        <v>0</v>
      </c>
      <c r="X42" s="279">
        <f>SUMIF(累计考核费用!$B$107:$B$156,原格式费用考核表!$B42,累计考核费用!W$107:W$156)/10000</f>
        <v>0</v>
      </c>
      <c r="Y42" s="279">
        <f>SUMIF(累计考核费用!$B$107:$B$156,原格式费用考核表!$B42,累计考核费用!X$107:X$156)/10000</f>
        <v>0</v>
      </c>
      <c r="Z42" s="279">
        <f>SUMIF(累计考核费用!$B$107:$B$156,原格式费用考核表!$B42,累计考核费用!Y$107:Y$156)/10000</f>
        <v>0</v>
      </c>
      <c r="AA42" s="279">
        <f>SUMIF(累计考核费用!$B$107:$B$156,原格式费用考核表!$B42,累计考核费用!Z$107:Z$156)/10000</f>
        <v>21.238150000000005</v>
      </c>
      <c r="AB42" s="279">
        <f>SUMIF(累计考核费用!$B$107:$B$156,原格式费用考核表!$B42,累计考核费用!AA$107:AA$156)/10000</f>
        <v>0.4</v>
      </c>
    </row>
    <row r="43" spans="1:28" s="27" customFormat="1" ht="12" customHeight="1">
      <c r="A43" s="320"/>
      <c r="B43" s="270" t="s">
        <v>102</v>
      </c>
      <c r="C43" s="270" t="s">
        <v>102</v>
      </c>
      <c r="D43" s="279">
        <f>SUMIF(累计考核费用!$B$107:$B$156,原格式费用考核表!$B43,累计考核费用!C$107:C$156)/10000</f>
        <v>307.22923400000002</v>
      </c>
      <c r="E43" s="279">
        <f>SUMIF(累计考核费用!$B$107:$B$156,原格式费用考核表!$B43,累计考核费用!D$107:D$156)/10000</f>
        <v>0</v>
      </c>
      <c r="F43" s="279">
        <f>SUMIF(累计考核费用!$B$107:$B$156,原格式费用考核表!$B43,累计考核费用!E$107:E$156)/10000</f>
        <v>105.41875800000001</v>
      </c>
      <c r="G43" s="279">
        <f>SUMIF(累计考核费用!$B$107:$B$156,原格式费用考核表!$B43,累计考核费用!F$107:F$156)/10000</f>
        <v>163.109723</v>
      </c>
      <c r="H43" s="279">
        <f>SUMIF(累计考核费用!$B$107:$B$156,原格式费用考核表!$B43,累计考核费用!G$107:G$156)/10000</f>
        <v>0.98932000000000009</v>
      </c>
      <c r="I43" s="279">
        <f>SUMIF(累计考核费用!$B$107:$B$156,原格式费用考核表!$B43,累计考核费用!H$107:H$156)/10000</f>
        <v>33.352173999999998</v>
      </c>
      <c r="J43" s="279">
        <f>SUMIF(累计考核费用!$B$107:$B$156,原格式费用考核表!$B43,累计考核费用!I$107:I$156)/10000</f>
        <v>7.6360000000000001</v>
      </c>
      <c r="K43" s="279">
        <f>SUMIF(累计考核费用!$B$107:$B$156,原格式费用考核表!$B43,累计考核费用!J$107:J$156)/10000</f>
        <v>0</v>
      </c>
      <c r="L43" s="279">
        <f>SUMIF(累计考核费用!$B$107:$B$156,原格式费用考核表!$B43,累计考核费用!K$107:K$156)/10000</f>
        <v>0.23034000000000002</v>
      </c>
      <c r="M43" s="279">
        <f>SUMIF(累计考核费用!$B$107:$B$156,原格式费用考核表!$B43,累计考核费用!L$107:L$156)/10000</f>
        <v>0</v>
      </c>
      <c r="N43" s="279">
        <f>SUMIF(累计考核费用!$B$107:$B$156,原格式费用考核表!$B43,累计考核费用!M$107:M$156)/10000</f>
        <v>11.202036999999999</v>
      </c>
      <c r="O43" s="279">
        <f>SUMIF(累计考核费用!$B$107:$B$156,原格式费用考核表!$B43,累计考核费用!N$107:N$156)/10000</f>
        <v>0</v>
      </c>
      <c r="P43" s="279">
        <f>SUMIF(累计考核费用!$B$107:$B$156,原格式费用考核表!$B43,累计考核费用!O$107:O$156)/10000</f>
        <v>0</v>
      </c>
      <c r="Q43" s="279">
        <f>SUMIF(累计考核费用!$B$107:$B$156,原格式费用考核表!$B43,累计考核费用!P$107:P$156)/10000</f>
        <v>14.283797</v>
      </c>
      <c r="R43" s="279">
        <f>SUMIF(累计考核费用!$B$107:$B$156,原格式费用考核表!$B43,累计考核费用!Q$107:Q$156)/10000</f>
        <v>0.29339700000000002</v>
      </c>
      <c r="S43" s="279">
        <f>SUMIF(累计考核费用!$B$107:$B$156,原格式费用考核表!$B43,累计考核费用!R$107:R$156)/10000</f>
        <v>0.16</v>
      </c>
      <c r="T43" s="279">
        <f>SUMIF(累计考核费用!$B$107:$B$156,原格式费用考核表!$B43,累计考核费用!S$107:S$156)/10000</f>
        <v>0</v>
      </c>
      <c r="U43" s="279">
        <f>SUMIF(累计考核费用!$B$107:$B$156,原格式费用考核表!$B43,累计考核费用!T$107:T$156)/10000</f>
        <v>0.16</v>
      </c>
      <c r="V43" s="279">
        <f>SUMIF(累计考核费用!$B$107:$B$156,原格式费用考核表!$B43,累计考核费用!U$107:U$156)/10000</f>
        <v>0</v>
      </c>
      <c r="W43" s="279">
        <f>SUMIF(累计考核费用!$B$107:$B$156,原格式费用考核表!$B43,累计考核费用!V$107:V$156)/10000</f>
        <v>0</v>
      </c>
      <c r="X43" s="279">
        <f>SUMIF(累计考核费用!$B$107:$B$156,原格式费用考核表!$B43,累计考核费用!W$107:W$156)/10000</f>
        <v>0.28799999999999998</v>
      </c>
      <c r="Y43" s="279">
        <f>SUMIF(累计考核费用!$B$107:$B$156,原格式费用考核表!$B43,累计考核费用!X$107:X$156)/10000</f>
        <v>0.28799999999999998</v>
      </c>
      <c r="Z43" s="279">
        <f>SUMIF(累计考核费用!$B$107:$B$156,原格式费用考核表!$B43,累计考核费用!Y$107:Y$156)/10000</f>
        <v>0</v>
      </c>
      <c r="AA43" s="279">
        <f>SUMIF(累计考核费用!$B$107:$B$156,原格式费用考核表!$B43,累计考核费用!Z$107:Z$156)/10000</f>
        <v>3.6178619999999997</v>
      </c>
      <c r="AB43" s="279">
        <f>SUMIF(累计考核费用!$B$107:$B$156,原格式费用考核表!$B43,累计考核费用!AA$107:AA$156)/10000</f>
        <v>0</v>
      </c>
    </row>
    <row r="44" spans="1:28" s="27" customFormat="1" ht="12" customHeight="1">
      <c r="A44" s="320"/>
      <c r="B44" s="270" t="s">
        <v>103</v>
      </c>
      <c r="C44" s="270" t="s">
        <v>103</v>
      </c>
      <c r="D44" s="279">
        <f>SUMIF(累计考核费用!$B$107:$B$156,原格式费用考核表!$B44,累计考核费用!C$107:C$156)/10000+累计考核费用!C154/10000</f>
        <v>3357.484394000001</v>
      </c>
      <c r="E44" s="279">
        <f>SUMIF(累计考核费用!$B$107:$B$156,原格式费用考核表!$B44,累计考核费用!D$107:D$156)/10000</f>
        <v>34.691023999999999</v>
      </c>
      <c r="F44" s="279">
        <f>SUMIF(累计考核费用!$B$107:$B$156,原格式费用考核表!$B44,累计考核费用!E$107:E$156)/10000+累计考核费用!E154/10000</f>
        <v>382.87214199999994</v>
      </c>
      <c r="G44" s="279">
        <f>SUMIF(累计考核费用!$B$107:$B$156,原格式费用考核表!$B44,累计考核费用!F$107:F$156)/10000+累计考核费用!F154/10000</f>
        <v>2459.5245440000003</v>
      </c>
      <c r="H44" s="279">
        <f>SUMIF(累计考核费用!$B$107:$B$156,原格式费用考核表!$B44,累计考核费用!G$107:G$156)/10000+累计考核费用!G154/10000</f>
        <v>30.061038999999997</v>
      </c>
      <c r="I44" s="279">
        <f>SUMIF(累计考核费用!$B$107:$B$156,原格式费用考核表!$B44,累计考核费用!H$107:H$156)/10000+累计考核费用!H154/10000</f>
        <v>230.14825499999998</v>
      </c>
      <c r="J44" s="279">
        <f>SUMIF(累计考核费用!$B$107:$B$156,原格式费用考核表!$B44,累计考核费用!I$107:I$156)/10000+累计考核费用!I154/10000</f>
        <v>38.439366999999997</v>
      </c>
      <c r="K44" s="279">
        <f>SUMIF(累计考核费用!$B$107:$B$156,原格式费用考核表!$B44,累计考核费用!J$107:J$156)/10000+累计考核费用!J154/10000</f>
        <v>0</v>
      </c>
      <c r="L44" s="279">
        <f>SUMIF(累计考核费用!$B$107:$B$156,原格式费用考核表!$B44,累计考核费用!K$107:K$156)/10000+累计考核费用!K154/10000</f>
        <v>38.438867000000002</v>
      </c>
      <c r="M44" s="279">
        <f>SUMIF(累计考核费用!$B$107:$B$156,原格式费用考核表!$B44,累计考核费用!L$107:L$156)/10000+累计考核费用!L154/10000</f>
        <v>0</v>
      </c>
      <c r="N44" s="279">
        <f>SUMIF(累计考核费用!$B$107:$B$156,原格式费用考核表!$B44,累计考核费用!M$107:M$156)/10000+累计考核费用!M154/10000</f>
        <v>37.497246999999994</v>
      </c>
      <c r="O44" s="279">
        <f>SUMIF(累计考核费用!$B$107:$B$156,原格式费用考核表!$B44,累计考核费用!N$107:N$156)/10000+累计考核费用!N154/10000</f>
        <v>0</v>
      </c>
      <c r="P44" s="279">
        <f>SUMIF(累计考核费用!$B$107:$B$156,原格式费用考核表!$B44,累计考核费用!O$107:O$156)/10000+累计考核费用!O154/10000</f>
        <v>78.429665000000014</v>
      </c>
      <c r="Q44" s="279">
        <f>SUMIF(累计考核费用!$B$107:$B$156,原格式费用考核表!$B44,累计考核费用!P$107:P$156)/10000+累计考核费用!P154/10000</f>
        <v>37.343108999999998</v>
      </c>
      <c r="R44" s="279">
        <f>SUMIF(累计考核费用!$B$107:$B$156,原格式费用考核表!$B44,累计考核费用!Q$107:Q$156)/10000+累计考核费用!Q154/10000</f>
        <v>0</v>
      </c>
      <c r="S44" s="279">
        <f>SUMIF(累计考核费用!$B$107:$B$156,原格式费用考核表!$B44,累计考核费用!R$107:R$156)/10000+累计考核费用!R154/10000</f>
        <v>84.096177000000012</v>
      </c>
      <c r="T44" s="279">
        <f>SUMIF(累计考核费用!$B$107:$B$156,原格式费用考核表!$B44,累计考核费用!S$107:S$156)/10000+累计考核费用!S154/10000</f>
        <v>0</v>
      </c>
      <c r="U44" s="279">
        <f>SUMIF(累计考核费用!$B$107:$B$156,原格式费用考核表!$B44,累计考核费用!T$107:T$156)/10000+累计考核费用!T154/10000</f>
        <v>39.910907999999999</v>
      </c>
      <c r="V44" s="279">
        <f>SUMIF(累计考核费用!$B$107:$B$156,原格式费用考核表!$B44,累计考核费用!U$107:U$156)/10000+累计考核费用!U154/10000</f>
        <v>25.086788000000002</v>
      </c>
      <c r="W44" s="279">
        <f>SUMIF(累计考核费用!$B$107:$B$156,原格式费用考核表!$B44,累计考核费用!V$107:V$156)/10000+累计考核费用!V154/10000</f>
        <v>19.098481000000003</v>
      </c>
      <c r="X44" s="279">
        <f>SUMIF(累计考核费用!$B$107:$B$156,原格式费用考核表!$B44,累计考核费用!W$107:W$156)/10000+累计考核费用!W154/10000</f>
        <v>57.406228000000006</v>
      </c>
      <c r="Y44" s="279">
        <f>SUMIF(累计考核费用!$B$107:$B$156,原格式费用考核表!$B44,累计考核费用!X$107:X$156)/10000+累计考核费用!X154/10000</f>
        <v>57.406228000000006</v>
      </c>
      <c r="Z44" s="279">
        <f>SUMIF(累计考核费用!$B$107:$B$156,原格式费用考核表!$B44,累计考核费用!Y$107:Y$156)/10000+累计考核费用!Y154/10000</f>
        <v>0</v>
      </c>
      <c r="AA44" s="279">
        <f>SUMIF(累计考核费用!$B$107:$B$156,原格式费用考核表!$B44,累计考核费用!Z$107:Z$156)/10000+累计考核费用!Z154/10000</f>
        <v>63.467193000000002</v>
      </c>
      <c r="AB44" s="279">
        <f>SUMIF(累计考核费用!$B$107:$B$156,原格式费用考核表!$B44,累计考核费用!AA$107:AA$156)/10000+累计考核费用!AA154/10000</f>
        <v>15.217792000000001</v>
      </c>
    </row>
    <row r="45" spans="1:28" s="27" customFormat="1" ht="12" customHeight="1">
      <c r="A45" s="320"/>
      <c r="B45" s="270" t="s">
        <v>104</v>
      </c>
      <c r="C45" s="270" t="s">
        <v>104</v>
      </c>
      <c r="D45" s="279">
        <f>SUMIF(累计考核费用!$B$107:$B$156,原格式费用考核表!$B45,累计考核费用!C$107:C$156)/10000</f>
        <v>1590.577501</v>
      </c>
      <c r="E45" s="279">
        <f>SUMIF(累计考核费用!$B$107:$B$156,原格式费用考核表!$B45,累计考核费用!D$107:D$156)/10000</f>
        <v>-1080.2541000000001</v>
      </c>
      <c r="F45" s="279">
        <f>SUMIF(累计考核费用!$B$107:$B$156,原格式费用考核表!$B45,累计考核费用!E$107:E$156)/10000</f>
        <v>1230.3173259999999</v>
      </c>
      <c r="G45" s="279">
        <f>SUMIF(累计考核费用!$B$107:$B$156,原格式费用考核表!$B45,累计考核费用!F$107:F$156)/10000</f>
        <v>1264.3615669999999</v>
      </c>
      <c r="H45" s="279">
        <f>SUMIF(累计考核费用!$B$107:$B$156,原格式费用考核表!$B45,累计考核费用!G$107:G$156)/10000</f>
        <v>80.782217000000003</v>
      </c>
      <c r="I45" s="279">
        <f>SUMIF(累计考核费用!$B$107:$B$156,原格式费用考核表!$B45,累计考核费用!H$107:H$156)/10000</f>
        <v>70.902028000000001</v>
      </c>
      <c r="J45" s="279">
        <f>SUMIF(累计考核费用!$B$107:$B$156,原格式费用考核表!$B45,累计考核费用!I$107:I$156)/10000</f>
        <v>9.3968530000000001</v>
      </c>
      <c r="K45" s="279">
        <f>SUMIF(累计考核费用!$B$107:$B$156,原格式费用考核表!$B45,累计考核费用!J$107:J$156)/10000</f>
        <v>0</v>
      </c>
      <c r="L45" s="279">
        <f>SUMIF(累计考核费用!$B$107:$B$156,原格式费用考核表!$B45,累计考核费用!K$107:K$156)/10000</f>
        <v>7.293755</v>
      </c>
      <c r="M45" s="279">
        <f>SUMIF(累计考核费用!$B$107:$B$156,原格式费用考核表!$B45,累计考核费用!L$107:L$156)/10000</f>
        <v>0</v>
      </c>
      <c r="N45" s="279">
        <f>SUMIF(累计考核费用!$B$107:$B$156,原格式费用考核表!$B45,累计考核费用!M$107:M$156)/10000</f>
        <v>2.7082900000000003</v>
      </c>
      <c r="O45" s="279">
        <f>SUMIF(累计考核费用!$B$107:$B$156,原格式费用考核表!$B45,累计考核费用!N$107:N$156)/10000</f>
        <v>0</v>
      </c>
      <c r="P45" s="279">
        <f>SUMIF(累计考核费用!$B$107:$B$156,原格式费用考核表!$B45,累计考核费用!O$107:O$156)/10000</f>
        <v>46.521280999999995</v>
      </c>
      <c r="Q45" s="279">
        <f>SUMIF(累计考核费用!$B$107:$B$156,原格式费用考核表!$B45,累计考核费用!P$107:P$156)/10000</f>
        <v>4.9818489999999995</v>
      </c>
      <c r="R45" s="279">
        <f>SUMIF(累计考核费用!$B$107:$B$156,原格式费用考核表!$B45,累计考核费用!Q$107:Q$156)/10000</f>
        <v>0</v>
      </c>
      <c r="S45" s="279">
        <f>SUMIF(累计考核费用!$B$107:$B$156,原格式费用考核表!$B45,累计考核费用!R$107:R$156)/10000</f>
        <v>0</v>
      </c>
      <c r="T45" s="279">
        <f>SUMIF(累计考核费用!$B$107:$B$156,原格式费用考核表!$B45,累计考核费用!S$107:S$156)/10000</f>
        <v>0</v>
      </c>
      <c r="U45" s="279">
        <f>SUMIF(累计考核费用!$B$107:$B$156,原格式费用考核表!$B45,累计考核费用!T$107:T$156)/10000</f>
        <v>0</v>
      </c>
      <c r="V45" s="279">
        <f>SUMIF(累计考核费用!$B$107:$B$156,原格式费用考核表!$B45,累计考核费用!U$107:U$156)/10000</f>
        <v>0</v>
      </c>
      <c r="W45" s="279">
        <f>SUMIF(累计考核费用!$B$107:$B$156,原格式费用考核表!$B45,累计考核费用!V$107:V$156)/10000</f>
        <v>0</v>
      </c>
      <c r="X45" s="279">
        <f>SUMIF(累计考核费用!$B$107:$B$156,原格式费用考核表!$B45,累计考核费用!W$107:W$156)/10000</f>
        <v>13.377621000000001</v>
      </c>
      <c r="Y45" s="279">
        <f>SUMIF(累计考核费用!$B$107:$B$156,原格式费用考核表!$B45,累计考核费用!X$107:X$156)/10000</f>
        <v>12.805725000000001</v>
      </c>
      <c r="Z45" s="279">
        <f>SUMIF(累计考核费用!$B$107:$B$156,原格式费用考核表!$B45,累计考核费用!Y$107:Y$156)/10000</f>
        <v>0.57189599999999996</v>
      </c>
      <c r="AA45" s="279">
        <f>SUMIF(累计考核费用!$B$107:$B$156,原格式费用考核表!$B45,累计考核费用!Z$107:Z$156)/10000</f>
        <v>11.01229</v>
      </c>
      <c r="AB45" s="279">
        <f>SUMIF(累计考核费用!$B$107:$B$156,原格式费用考核表!$B45,累计考核费用!AA$107:AA$156)/10000</f>
        <v>7.8551999999999997E-2</v>
      </c>
    </row>
    <row r="46" spans="1:28" s="27" customFormat="1" ht="12" customHeight="1">
      <c r="A46" s="320"/>
      <c r="B46" s="270" t="s">
        <v>105</v>
      </c>
      <c r="C46" s="270" t="s">
        <v>105</v>
      </c>
      <c r="D46" s="279">
        <f>SUMIF(累计考核费用!$B$107:$B$156,原格式费用考核表!$B46,累计考核费用!C$107:C$156)/10000</f>
        <v>513.12398799999994</v>
      </c>
      <c r="E46" s="279">
        <f>SUMIF(累计考核费用!$B$107:$B$156,原格式费用考核表!$B46,累计考核费用!D$107:D$156)/10000</f>
        <v>-177.03460000000001</v>
      </c>
      <c r="F46" s="279">
        <f>SUMIF(累计考核费用!$B$107:$B$156,原格式费用考核表!$B46,累计考核费用!E$107:E$156)/10000</f>
        <v>439.61606399999999</v>
      </c>
      <c r="G46" s="279">
        <f>SUMIF(累计考核费用!$B$107:$B$156,原格式费用考核表!$B46,累计考核费用!F$107:F$156)/10000</f>
        <v>19.000023000000002</v>
      </c>
      <c r="H46" s="279">
        <f>SUMIF(累计考核费用!$B$107:$B$156,原格式费用考核表!$B46,累计考核费用!G$107:G$156)/10000</f>
        <v>0</v>
      </c>
      <c r="I46" s="279">
        <f>SUMIF(累计考核费用!$B$107:$B$156,原格式费用考核表!$B46,累计考核费用!H$107:H$156)/10000</f>
        <v>177.83831999999998</v>
      </c>
      <c r="J46" s="279">
        <f>SUMIF(累计考核费用!$B$107:$B$156,原格式费用考核表!$B46,累计考核费用!I$107:I$156)/10000</f>
        <v>41.471119999999999</v>
      </c>
      <c r="K46" s="279">
        <f>SUMIF(累计考核费用!$B$107:$B$156,原格式费用考核表!$B46,累计考核费用!J$107:J$156)/10000</f>
        <v>25.461300000000001</v>
      </c>
      <c r="L46" s="279">
        <f>SUMIF(累计考核费用!$B$107:$B$156,原格式费用考核表!$B46,累计考核费用!K$107:K$156)/10000</f>
        <v>37.806899999999999</v>
      </c>
      <c r="M46" s="279">
        <f>SUMIF(累计考核费用!$B$107:$B$156,原格式费用考核表!$B46,累计考核费用!L$107:L$156)/10000</f>
        <v>0</v>
      </c>
      <c r="N46" s="279">
        <f>SUMIF(累计考核费用!$B$107:$B$156,原格式费用考核表!$B46,累计考核费用!M$107:M$156)/10000</f>
        <v>34.677700000000002</v>
      </c>
      <c r="O46" s="279">
        <f>SUMIF(累计考核费用!$B$107:$B$156,原格式费用考核表!$B46,累计考核费用!N$107:N$156)/10000</f>
        <v>0</v>
      </c>
      <c r="P46" s="279">
        <f>SUMIF(累计考核费用!$B$107:$B$156,原格式费用考核表!$B46,累计考核费用!O$107:O$156)/10000</f>
        <v>0</v>
      </c>
      <c r="Q46" s="279">
        <f>SUMIF(累计考核费用!$B$107:$B$156,原格式费用考核表!$B46,累计考核费用!P$107:P$156)/10000</f>
        <v>38.421300000000002</v>
      </c>
      <c r="R46" s="279">
        <f>SUMIF(累计考核费用!$B$107:$B$156,原格式费用考核表!$B46,累计考核费用!Q$107:Q$156)/10000</f>
        <v>0</v>
      </c>
      <c r="S46" s="279">
        <f>SUMIF(累计考核费用!$B$107:$B$156,原格式费用考核表!$B46,累计考核费用!R$107:R$156)/10000</f>
        <v>0</v>
      </c>
      <c r="T46" s="279">
        <f>SUMIF(累计考核费用!$B$107:$B$156,原格式费用考核表!$B46,累计考核费用!S$107:S$156)/10000</f>
        <v>0</v>
      </c>
      <c r="U46" s="279">
        <f>SUMIF(累计考核费用!$B$107:$B$156,原格式费用考核表!$B46,累计考核费用!T$107:T$156)/10000</f>
        <v>0</v>
      </c>
      <c r="V46" s="279">
        <f>SUMIF(累计考核费用!$B$107:$B$156,原格式费用考核表!$B46,累计考核费用!U$107:U$156)/10000</f>
        <v>0</v>
      </c>
      <c r="W46" s="279">
        <f>SUMIF(累计考核费用!$B$107:$B$156,原格式费用考核表!$B46,累计考核费用!V$107:V$156)/10000</f>
        <v>0</v>
      </c>
      <c r="X46" s="279">
        <f>SUMIF(累计考核费用!$B$107:$B$156,原格式费用考核表!$B46,累计考核费用!W$107:W$156)/10000</f>
        <v>0</v>
      </c>
      <c r="Y46" s="279">
        <f>SUMIF(累计考核费用!$B$107:$B$156,原格式费用考核表!$B46,累计考核费用!X$107:X$156)/10000</f>
        <v>0</v>
      </c>
      <c r="Z46" s="279">
        <f>SUMIF(累计考核费用!$B$107:$B$156,原格式费用考核表!$B46,累计考核费用!Y$107:Y$156)/10000</f>
        <v>0</v>
      </c>
      <c r="AA46" s="279">
        <f>SUMIF(累计考核费用!$B$107:$B$156,原格式费用考核表!$B46,累计考核费用!Z$107:Z$156)/10000</f>
        <v>53.704180999999991</v>
      </c>
      <c r="AB46" s="279">
        <f>SUMIF(累计考核费用!$B$107:$B$156,原格式费用考核表!$B46,累计考核费用!AA$107:AA$156)/10000</f>
        <v>0</v>
      </c>
    </row>
    <row r="47" spans="1:28" s="27" customFormat="1" ht="12" customHeight="1">
      <c r="A47" s="320"/>
      <c r="B47" s="270" t="s">
        <v>106</v>
      </c>
      <c r="C47" s="270" t="s">
        <v>106</v>
      </c>
      <c r="D47" s="279">
        <f>SUMIF(累计考核费用!$B$107:$B$156,原格式费用考核表!$B47,累计考核费用!C$107:C$156)/10000</f>
        <v>770.25565399999994</v>
      </c>
      <c r="E47" s="279">
        <f>SUMIF(累计考核费用!$B$107:$B$156,原格式费用考核表!$B47,累计考核费用!D$107:D$156)/10000</f>
        <v>-170.80459999999999</v>
      </c>
      <c r="F47" s="279">
        <f>SUMIF(累计考核费用!$B$107:$B$156,原格式费用考核表!$B47,累计考核费用!E$107:E$156)/10000</f>
        <v>289.49251400000003</v>
      </c>
      <c r="G47" s="279">
        <f>SUMIF(累计考核费用!$B$107:$B$156,原格式费用考核表!$B47,累计考核费用!F$107:F$156)/10000</f>
        <v>433.35839599999997</v>
      </c>
      <c r="H47" s="279">
        <f>SUMIF(累计考核费用!$B$107:$B$156,原格式费用考核表!$B47,累计考核费用!G$107:G$156)/10000</f>
        <v>5.0633099999999995</v>
      </c>
      <c r="I47" s="279">
        <f>SUMIF(累计考核费用!$B$107:$B$156,原格式费用考核表!$B47,累计考核费用!H$107:H$156)/10000</f>
        <v>21.187132999999999</v>
      </c>
      <c r="J47" s="279">
        <f>SUMIF(累计考核费用!$B$107:$B$156,原格式费用考核表!$B47,累计考核费用!I$107:I$156)/10000</f>
        <v>4.6208909999999985</v>
      </c>
      <c r="K47" s="279">
        <f>SUMIF(累计考核费用!$B$107:$B$156,原格式费用考核表!$B47,累计考核费用!J$107:J$156)/10000</f>
        <v>0</v>
      </c>
      <c r="L47" s="279">
        <f>SUMIF(累计考核费用!$B$107:$B$156,原格式费用考核表!$B47,累计考核费用!K$107:K$156)/10000</f>
        <v>4.1880869999999994</v>
      </c>
      <c r="M47" s="279">
        <f>SUMIF(累计考核费用!$B$107:$B$156,原格式费用考核表!$B47,累计考核费用!L$107:L$156)/10000</f>
        <v>0</v>
      </c>
      <c r="N47" s="279">
        <f>SUMIF(累计考核费用!$B$107:$B$156,原格式费用考核表!$B47,累计考核费用!M$107:M$156)/10000</f>
        <v>4.0857060000000001</v>
      </c>
      <c r="O47" s="279">
        <f>SUMIF(累计考核费用!$B$107:$B$156,原格式费用考核表!$B47,累计考核费用!N$107:N$156)/10000</f>
        <v>0</v>
      </c>
      <c r="P47" s="279">
        <f>SUMIF(累计考核费用!$B$107:$B$156,原格式费用考核表!$B47,累计考核费用!O$107:O$156)/10000</f>
        <v>4.1843659999999998</v>
      </c>
      <c r="Q47" s="279">
        <f>SUMIF(累计考核费用!$B$107:$B$156,原格式费用考核表!$B47,累计考核费用!P$107:P$156)/10000</f>
        <v>4.1080830000000006</v>
      </c>
      <c r="R47" s="279">
        <f>SUMIF(累计考核费用!$B$107:$B$156,原格式费用考核表!$B47,累计考核费用!Q$107:Q$156)/10000</f>
        <v>48.676000000000002</v>
      </c>
      <c r="S47" s="279">
        <f>SUMIF(累计考核费用!$B$107:$B$156,原格式费用考核表!$B47,累计考核费用!R$107:R$156)/10000</f>
        <v>123.06034699999999</v>
      </c>
      <c r="T47" s="279">
        <f>SUMIF(累计考核费用!$B$107:$B$156,原格式费用考核表!$B47,累计考核费用!S$107:S$156)/10000</f>
        <v>0</v>
      </c>
      <c r="U47" s="279">
        <f>SUMIF(累计考核费用!$B$107:$B$156,原格式费用考核表!$B47,累计考核费用!T$107:T$156)/10000</f>
        <v>62.103053000000003</v>
      </c>
      <c r="V47" s="279">
        <f>SUMIF(累计考核费用!$B$107:$B$156,原格式费用考核表!$B47,累计考核费用!U$107:U$156)/10000</f>
        <v>32.441818999999995</v>
      </c>
      <c r="W47" s="279">
        <f>SUMIF(累计考核费用!$B$107:$B$156,原格式费用考核表!$B47,累计考核费用!V$107:V$156)/10000</f>
        <v>28.515474999999999</v>
      </c>
      <c r="X47" s="279">
        <f>SUMIF(累计考核费用!$B$107:$B$156,原格式费用考核表!$B47,累计考核费用!W$107:W$156)/10000</f>
        <v>10.031008000000002</v>
      </c>
      <c r="Y47" s="279">
        <f>SUMIF(累计考核费用!$B$107:$B$156,原格式费用考核表!$B47,累计考核费用!X$107:X$156)/10000</f>
        <v>10.031008000000002</v>
      </c>
      <c r="Z47" s="279">
        <f>SUMIF(累计考核费用!$B$107:$B$156,原格式费用考核表!$B47,累计考核费用!Y$107:Y$156)/10000</f>
        <v>0</v>
      </c>
      <c r="AA47" s="279">
        <f>SUMIF(累计考核费用!$B$107:$B$156,原格式费用考核表!$B47,累计考核费用!Z$107:Z$156)/10000</f>
        <v>9.9428229999999989</v>
      </c>
      <c r="AB47" s="279">
        <f>SUMIF(累计考核费用!$B$107:$B$156,原格式费用考核表!$B47,累计考核费用!AA$107:AA$156)/10000</f>
        <v>0.248723</v>
      </c>
    </row>
    <row r="48" spans="1:28" s="27" customFormat="1" ht="12" customHeight="1">
      <c r="A48" s="320"/>
      <c r="B48" s="270" t="s">
        <v>107</v>
      </c>
      <c r="C48" s="270" t="s">
        <v>244</v>
      </c>
      <c r="D48" s="279">
        <f>SUMIF(累计考核费用!$B$107:$B$156,原格式费用考核表!$B48,累计考核费用!C$107:C$156)/10000</f>
        <v>0</v>
      </c>
      <c r="E48" s="279">
        <f>SUMIF(累计考核费用!$B$107:$B$156,原格式费用考核表!$B48,累计考核费用!D$107:D$156)/10000</f>
        <v>0</v>
      </c>
      <c r="F48" s="279">
        <f>SUMIF(累计考核费用!$B$107:$B$156,原格式费用考核表!$B48,累计考核费用!E$107:E$156)/10000</f>
        <v>0</v>
      </c>
      <c r="G48" s="279">
        <f>SUMIF(累计考核费用!$B$107:$B$156,原格式费用考核表!$B48,累计考核费用!F$107:F$156)/10000</f>
        <v>0</v>
      </c>
      <c r="H48" s="279">
        <f>SUMIF(累计考核费用!$B$107:$B$156,原格式费用考核表!$B48,累计考核费用!G$107:G$156)/10000</f>
        <v>0</v>
      </c>
      <c r="I48" s="279">
        <f>SUMIF(累计考核费用!$B$107:$B$156,原格式费用考核表!$B48,累计考核费用!H$107:H$156)/10000</f>
        <v>0</v>
      </c>
      <c r="J48" s="279">
        <f>SUMIF(累计考核费用!$B$107:$B$156,原格式费用考核表!$B48,累计考核费用!I$107:I$156)/10000</f>
        <v>0</v>
      </c>
      <c r="K48" s="279">
        <f>SUMIF(累计考核费用!$B$107:$B$156,原格式费用考核表!$B48,累计考核费用!J$107:J$156)/10000</f>
        <v>0</v>
      </c>
      <c r="L48" s="279">
        <f>SUMIF(累计考核费用!$B$107:$B$156,原格式费用考核表!$B48,累计考核费用!K$107:K$156)/10000</f>
        <v>0</v>
      </c>
      <c r="M48" s="279">
        <f>SUMIF(累计考核费用!$B$107:$B$156,原格式费用考核表!$B48,累计考核费用!L$107:L$156)/10000</f>
        <v>0</v>
      </c>
      <c r="N48" s="279">
        <f>SUMIF(累计考核费用!$B$107:$B$156,原格式费用考核表!$B48,累计考核费用!M$107:M$156)/10000</f>
        <v>0</v>
      </c>
      <c r="O48" s="279">
        <f>SUMIF(累计考核费用!$B$107:$B$156,原格式费用考核表!$B48,累计考核费用!N$107:N$156)/10000</f>
        <v>0</v>
      </c>
      <c r="P48" s="279">
        <f>SUMIF(累计考核费用!$B$107:$B$156,原格式费用考核表!$B48,累计考核费用!O$107:O$156)/10000</f>
        <v>0</v>
      </c>
      <c r="Q48" s="279">
        <f>SUMIF(累计考核费用!$B$107:$B$156,原格式费用考核表!$B48,累计考核费用!P$107:P$156)/10000</f>
        <v>0</v>
      </c>
      <c r="R48" s="279">
        <f>SUMIF(累计考核费用!$B$107:$B$156,原格式费用考核表!$B48,累计考核费用!Q$107:Q$156)/10000</f>
        <v>0</v>
      </c>
      <c r="S48" s="279">
        <f>SUMIF(累计考核费用!$B$107:$B$156,原格式费用考核表!$B48,累计考核费用!R$107:R$156)/10000</f>
        <v>0</v>
      </c>
      <c r="T48" s="279">
        <f>SUMIF(累计考核费用!$B$107:$B$156,原格式费用考核表!$B48,累计考核费用!S$107:S$156)/10000</f>
        <v>0</v>
      </c>
      <c r="U48" s="279">
        <f>SUMIF(累计考核费用!$B$107:$B$156,原格式费用考核表!$B48,累计考核费用!T$107:T$156)/10000</f>
        <v>0</v>
      </c>
      <c r="V48" s="279">
        <f>SUMIF(累计考核费用!$B$107:$B$156,原格式费用考核表!$B48,累计考核费用!U$107:U$156)/10000</f>
        <v>0</v>
      </c>
      <c r="W48" s="279">
        <f>SUMIF(累计考核费用!$B$107:$B$156,原格式费用考核表!$B48,累计考核费用!V$107:V$156)/10000</f>
        <v>0</v>
      </c>
      <c r="X48" s="279">
        <f>SUMIF(累计考核费用!$B$107:$B$156,原格式费用考核表!$B48,累计考核费用!W$107:W$156)/10000</f>
        <v>0</v>
      </c>
      <c r="Y48" s="279">
        <f>SUMIF(累计考核费用!$B$107:$B$156,原格式费用考核表!$B48,累计考核费用!X$107:X$156)/10000</f>
        <v>0</v>
      </c>
      <c r="Z48" s="279">
        <f>SUMIF(累计考核费用!$B$107:$B$156,原格式费用考核表!$B48,累计考核费用!Y$107:Y$156)/10000</f>
        <v>0</v>
      </c>
      <c r="AA48" s="279">
        <f>SUMIF(累计考核费用!$B$107:$B$156,原格式费用考核表!$B48,累计考核费用!Z$107:Z$156)/10000</f>
        <v>0</v>
      </c>
      <c r="AB48" s="279">
        <f>SUMIF(累计考核费用!$B$107:$B$156,原格式费用考核表!$B48,累计考核费用!AA$107:AA$156)/10000</f>
        <v>0</v>
      </c>
    </row>
    <row r="49" spans="1:28" s="27" customFormat="1" ht="12" customHeight="1">
      <c r="A49" s="321"/>
      <c r="B49" s="270" t="s">
        <v>69</v>
      </c>
      <c r="C49" s="270" t="s">
        <v>69</v>
      </c>
      <c r="D49" s="269">
        <f t="shared" ref="D49:AA49" si="30">SUM(D42:D48)</f>
        <v>7721.4377010000007</v>
      </c>
      <c r="E49" s="269">
        <f>SUM(E42:E48)</f>
        <v>-1393.402276</v>
      </c>
      <c r="F49" s="269">
        <f t="shared" si="30"/>
        <v>2660.5392049999996</v>
      </c>
      <c r="G49" s="269">
        <f t="shared" si="30"/>
        <v>5193.0587019999994</v>
      </c>
      <c r="H49" s="269">
        <f t="shared" si="30"/>
        <v>121.183003</v>
      </c>
      <c r="I49" s="269">
        <f t="shared" si="30"/>
        <v>623.74272299999996</v>
      </c>
      <c r="J49" s="269">
        <f t="shared" si="30"/>
        <v>108.098724</v>
      </c>
      <c r="K49" s="269">
        <f t="shared" si="30"/>
        <v>40.712321000000003</v>
      </c>
      <c r="L49" s="269">
        <f t="shared" si="30"/>
        <v>108.906507</v>
      </c>
      <c r="M49" s="269">
        <f t="shared" si="30"/>
        <v>0</v>
      </c>
      <c r="N49" s="269">
        <f t="shared" si="30"/>
        <v>108.26034200000001</v>
      </c>
      <c r="O49" s="269">
        <f t="shared" si="30"/>
        <v>0</v>
      </c>
      <c r="P49" s="269">
        <f t="shared" si="30"/>
        <v>129.38531200000003</v>
      </c>
      <c r="Q49" s="269">
        <f t="shared" si="30"/>
        <v>128.37951699999999</v>
      </c>
      <c r="R49" s="269">
        <f t="shared" si="30"/>
        <v>48.969397000000001</v>
      </c>
      <c r="S49" s="269">
        <f t="shared" si="30"/>
        <v>207.31652400000002</v>
      </c>
      <c r="T49" s="269">
        <f t="shared" si="30"/>
        <v>0</v>
      </c>
      <c r="U49" s="269">
        <f t="shared" si="30"/>
        <v>102.17396099999999</v>
      </c>
      <c r="V49" s="269">
        <f t="shared" si="30"/>
        <v>57.528606999999994</v>
      </c>
      <c r="W49" s="269">
        <f t="shared" si="30"/>
        <v>47.613956000000002</v>
      </c>
      <c r="X49" s="269">
        <f t="shared" si="30"/>
        <v>81.102857</v>
      </c>
      <c r="Y49" s="269">
        <f t="shared" si="30"/>
        <v>80.530961000000005</v>
      </c>
      <c r="Z49" s="269">
        <f t="shared" si="30"/>
        <v>0.57189599999999996</v>
      </c>
      <c r="AA49" s="269">
        <f t="shared" si="30"/>
        <v>162.98249899999999</v>
      </c>
      <c r="AB49" s="269">
        <f>SUM(AB42:AB48)</f>
        <v>15.945067000000002</v>
      </c>
    </row>
    <row r="50" spans="1:28" s="27" customFormat="1" ht="12" customHeight="1" thickBot="1">
      <c r="A50" s="271"/>
      <c r="B50" s="271" t="s">
        <v>4</v>
      </c>
      <c r="C50" s="281" t="s">
        <v>4</v>
      </c>
      <c r="D50" s="272">
        <f>D11+D16+D41+D49</f>
        <v>75241.051745000004</v>
      </c>
      <c r="E50" s="272">
        <f>E11+E16+E41+E49</f>
        <v>-4390.5706789999995</v>
      </c>
      <c r="F50" s="272">
        <f t="shared" ref="F50:AB50" si="31">F11+F16+F41+F49</f>
        <v>24624.246184000003</v>
      </c>
      <c r="G50" s="272">
        <f t="shared" si="31"/>
        <v>33762.967903000004</v>
      </c>
      <c r="H50" s="272">
        <f t="shared" si="31"/>
        <v>1055.953299</v>
      </c>
      <c r="I50" s="272">
        <f t="shared" si="31"/>
        <v>3162.7347699999996</v>
      </c>
      <c r="J50" s="272">
        <f t="shared" si="31"/>
        <v>1110.27881</v>
      </c>
      <c r="K50" s="272">
        <f t="shared" si="31"/>
        <v>129.87646000000001</v>
      </c>
      <c r="L50" s="272">
        <f t="shared" si="31"/>
        <v>424.49687699999993</v>
      </c>
      <c r="M50" s="272">
        <f t="shared" si="31"/>
        <v>0</v>
      </c>
      <c r="N50" s="272">
        <f t="shared" si="31"/>
        <v>467.79578200000003</v>
      </c>
      <c r="O50" s="272">
        <f t="shared" si="31"/>
        <v>0</v>
      </c>
      <c r="P50" s="272">
        <f t="shared" si="31"/>
        <v>419.53982000000008</v>
      </c>
      <c r="Q50" s="272">
        <f t="shared" si="31"/>
        <v>610.78262099999995</v>
      </c>
      <c r="R50" s="272">
        <f t="shared" si="31"/>
        <v>1485.6679539999998</v>
      </c>
      <c r="S50" s="272">
        <f t="shared" si="31"/>
        <v>13953.107275999999</v>
      </c>
      <c r="T50" s="272">
        <f t="shared" si="31"/>
        <v>0</v>
      </c>
      <c r="U50" s="272">
        <f t="shared" si="31"/>
        <v>10624.686744000001</v>
      </c>
      <c r="V50" s="272">
        <f t="shared" si="31"/>
        <v>2944.5731230000001</v>
      </c>
      <c r="W50" s="272">
        <f t="shared" si="31"/>
        <v>383.84740899999997</v>
      </c>
      <c r="X50" s="272">
        <f t="shared" si="31"/>
        <v>518.085826</v>
      </c>
      <c r="Y50" s="272">
        <f t="shared" si="31"/>
        <v>398.73569199999997</v>
      </c>
      <c r="Z50" s="272">
        <f t="shared" si="31"/>
        <v>119.35013399999998</v>
      </c>
      <c r="AA50" s="272">
        <f t="shared" si="31"/>
        <v>1039.4659940000001</v>
      </c>
      <c r="AB50" s="272">
        <f t="shared" si="31"/>
        <v>29.393218000000001</v>
      </c>
    </row>
    <row r="51" spans="1:28" ht="12" customHeight="1" thickBot="1"/>
    <row r="52" spans="1:28" s="277" customFormat="1" ht="12" customHeight="1">
      <c r="A52" s="273" t="s">
        <v>57</v>
      </c>
      <c r="B52" s="274" t="s">
        <v>58</v>
      </c>
      <c r="C52" s="273"/>
      <c r="D52" s="275" t="s">
        <v>4</v>
      </c>
      <c r="E52" s="275" t="s">
        <v>5</v>
      </c>
      <c r="F52" s="275" t="s">
        <v>6</v>
      </c>
      <c r="G52" s="275" t="s">
        <v>7</v>
      </c>
      <c r="H52" s="275" t="s">
        <v>8</v>
      </c>
      <c r="I52" s="275" t="s">
        <v>9</v>
      </c>
      <c r="J52" s="276" t="s">
        <v>10</v>
      </c>
      <c r="K52" s="276" t="s">
        <v>275</v>
      </c>
      <c r="L52" s="276" t="s">
        <v>11</v>
      </c>
      <c r="M52" s="276" t="s">
        <v>273</v>
      </c>
      <c r="N52" s="276" t="s">
        <v>12</v>
      </c>
      <c r="O52" s="276" t="s">
        <v>13</v>
      </c>
      <c r="P52" s="276" t="s">
        <v>14</v>
      </c>
      <c r="Q52" s="276" t="s">
        <v>15</v>
      </c>
      <c r="R52" s="275" t="s">
        <v>16</v>
      </c>
      <c r="S52" s="275" t="s">
        <v>17</v>
      </c>
      <c r="T52" s="276" t="s">
        <v>18</v>
      </c>
      <c r="U52" s="276" t="s">
        <v>19</v>
      </c>
      <c r="V52" s="276" t="s">
        <v>20</v>
      </c>
      <c r="W52" s="276" t="s">
        <v>120</v>
      </c>
      <c r="X52" s="275" t="s">
        <v>21</v>
      </c>
      <c r="Y52" s="276" t="s">
        <v>22</v>
      </c>
      <c r="Z52" s="276" t="s">
        <v>23</v>
      </c>
      <c r="AA52" s="275" t="s">
        <v>24</v>
      </c>
      <c r="AB52" s="275" t="s">
        <v>278</v>
      </c>
    </row>
    <row r="54" spans="1:28" ht="12" customHeight="1" thickBot="1"/>
    <row r="55" spans="1:28" s="27" customFormat="1" ht="13.5">
      <c r="A55" s="32" t="s">
        <v>57</v>
      </c>
      <c r="B55" s="33" t="s">
        <v>58</v>
      </c>
      <c r="C55" s="32"/>
      <c r="D55" s="34" t="s">
        <v>4</v>
      </c>
      <c r="E55" s="34" t="s">
        <v>5</v>
      </c>
      <c r="F55" s="34" t="s">
        <v>6</v>
      </c>
      <c r="G55" s="34" t="s">
        <v>7</v>
      </c>
      <c r="H55" s="34" t="s">
        <v>8</v>
      </c>
      <c r="I55" s="34" t="s">
        <v>9</v>
      </c>
      <c r="J55" s="40" t="s">
        <v>10</v>
      </c>
      <c r="K55" s="40" t="s">
        <v>11</v>
      </c>
      <c r="L55" s="40" t="s">
        <v>12</v>
      </c>
      <c r="M55" s="40" t="s">
        <v>13</v>
      </c>
      <c r="N55" s="40" t="s">
        <v>14</v>
      </c>
      <c r="O55" s="40" t="s">
        <v>15</v>
      </c>
      <c r="P55" s="34" t="s">
        <v>16</v>
      </c>
      <c r="Q55" s="34" t="s">
        <v>17</v>
      </c>
      <c r="R55" s="40" t="s">
        <v>18</v>
      </c>
      <c r="S55" s="40" t="s">
        <v>19</v>
      </c>
      <c r="T55" s="40" t="s">
        <v>20</v>
      </c>
      <c r="U55" s="40" t="s">
        <v>120</v>
      </c>
      <c r="V55" s="34" t="s">
        <v>21</v>
      </c>
      <c r="W55" s="40" t="s">
        <v>22</v>
      </c>
      <c r="X55" s="40" t="s">
        <v>23</v>
      </c>
      <c r="Y55" s="40" t="s">
        <v>24</v>
      </c>
      <c r="Z55" s="34">
        <v>0</v>
      </c>
      <c r="AA55" s="34">
        <v>0</v>
      </c>
    </row>
    <row r="56" spans="1:28" ht="12" customHeight="1">
      <c r="A56" s="278" t="s">
        <v>364</v>
      </c>
      <c r="B56" t="s">
        <v>67</v>
      </c>
      <c r="D56">
        <v>50.166796999999995</v>
      </c>
      <c r="E56">
        <v>0</v>
      </c>
      <c r="F56">
        <v>19.743404000000002</v>
      </c>
      <c r="G56">
        <v>21.382383000000001</v>
      </c>
      <c r="H56">
        <v>1.2</v>
      </c>
      <c r="I56">
        <v>4.3324100000000003</v>
      </c>
      <c r="J56">
        <v>0.127</v>
      </c>
      <c r="K56">
        <v>1.373904</v>
      </c>
      <c r="L56">
        <v>0.91659999999999997</v>
      </c>
      <c r="M56">
        <v>0</v>
      </c>
      <c r="N56">
        <v>1.3539060000000001</v>
      </c>
      <c r="O56">
        <v>0.56100000000000005</v>
      </c>
      <c r="P56">
        <v>0.8</v>
      </c>
      <c r="Q56">
        <v>0.999</v>
      </c>
      <c r="R56">
        <v>0</v>
      </c>
      <c r="S56">
        <v>0.16</v>
      </c>
      <c r="T56">
        <v>0</v>
      </c>
      <c r="U56">
        <v>0.83899999999999997</v>
      </c>
      <c r="V56">
        <v>1.7096</v>
      </c>
      <c r="W56">
        <v>1.2290000000000001</v>
      </c>
      <c r="X56">
        <v>0.48060000000000003</v>
      </c>
      <c r="Y56">
        <v>0</v>
      </c>
      <c r="Z56">
        <v>0</v>
      </c>
      <c r="AA56">
        <v>0</v>
      </c>
    </row>
    <row r="57" spans="1:28" ht="12" customHeight="1">
      <c r="D57" t="b">
        <f>D55=D1</f>
        <v>1</v>
      </c>
      <c r="E57" t="b">
        <f t="shared" ref="E57:Y57" si="32">E55=E1</f>
        <v>1</v>
      </c>
      <c r="F57" t="b">
        <f t="shared" si="32"/>
        <v>1</v>
      </c>
      <c r="G57" t="b">
        <f t="shared" si="32"/>
        <v>1</v>
      </c>
      <c r="H57" t="b">
        <f t="shared" si="32"/>
        <v>1</v>
      </c>
      <c r="I57" t="b">
        <f t="shared" si="32"/>
        <v>1</v>
      </c>
      <c r="J57" t="b">
        <f t="shared" si="32"/>
        <v>1</v>
      </c>
      <c r="K57" t="b">
        <f t="shared" si="32"/>
        <v>0</v>
      </c>
      <c r="L57" t="b">
        <f t="shared" si="32"/>
        <v>0</v>
      </c>
      <c r="M57" t="b">
        <f t="shared" si="32"/>
        <v>0</v>
      </c>
      <c r="N57" t="b">
        <f t="shared" si="32"/>
        <v>0</v>
      </c>
      <c r="O57" t="b">
        <f t="shared" si="32"/>
        <v>0</v>
      </c>
      <c r="P57" t="b">
        <f t="shared" si="32"/>
        <v>0</v>
      </c>
      <c r="Q57" t="b">
        <f t="shared" si="32"/>
        <v>0</v>
      </c>
      <c r="R57" t="b">
        <f t="shared" si="32"/>
        <v>0</v>
      </c>
      <c r="S57" t="b">
        <f t="shared" si="32"/>
        <v>0</v>
      </c>
      <c r="T57" t="b">
        <f t="shared" si="32"/>
        <v>0</v>
      </c>
      <c r="U57" t="b">
        <f t="shared" si="32"/>
        <v>0</v>
      </c>
      <c r="V57" t="b">
        <f t="shared" si="32"/>
        <v>0</v>
      </c>
      <c r="W57" t="b">
        <f t="shared" si="32"/>
        <v>0</v>
      </c>
      <c r="X57" t="b">
        <f t="shared" si="32"/>
        <v>0</v>
      </c>
      <c r="Y57" t="b">
        <f t="shared" si="32"/>
        <v>0</v>
      </c>
    </row>
    <row r="58" spans="1:28" ht="12" customHeight="1" thickBot="1"/>
    <row r="59" spans="1:28" s="297" customFormat="1" ht="12" customHeight="1">
      <c r="B59" s="32" t="s">
        <v>57</v>
      </c>
      <c r="C59" s="33" t="s">
        <v>58</v>
      </c>
      <c r="D59" s="34" t="s">
        <v>4</v>
      </c>
      <c r="E59" s="34" t="s">
        <v>5</v>
      </c>
      <c r="F59" s="34" t="s">
        <v>6</v>
      </c>
      <c r="G59" s="34" t="s">
        <v>7</v>
      </c>
      <c r="H59" s="34" t="s">
        <v>8</v>
      </c>
      <c r="I59" s="34" t="s">
        <v>9</v>
      </c>
      <c r="J59" s="40" t="s">
        <v>10</v>
      </c>
      <c r="K59" s="40" t="s">
        <v>11</v>
      </c>
      <c r="L59" s="40" t="s">
        <v>12</v>
      </c>
      <c r="M59" s="40" t="s">
        <v>13</v>
      </c>
      <c r="N59" s="40" t="s">
        <v>14</v>
      </c>
      <c r="O59" s="40" t="s">
        <v>15</v>
      </c>
      <c r="P59" s="34" t="s">
        <v>16</v>
      </c>
      <c r="Q59" s="34" t="s">
        <v>17</v>
      </c>
      <c r="R59" s="40" t="s">
        <v>18</v>
      </c>
      <c r="S59" s="40" t="s">
        <v>19</v>
      </c>
      <c r="T59" s="40" t="s">
        <v>20</v>
      </c>
      <c r="U59" s="40" t="s">
        <v>120</v>
      </c>
      <c r="V59" s="34" t="s">
        <v>21</v>
      </c>
      <c r="W59" s="40" t="s">
        <v>22</v>
      </c>
      <c r="X59" s="40" t="s">
        <v>23</v>
      </c>
      <c r="Y59" s="40" t="s">
        <v>24</v>
      </c>
      <c r="Z59" s="275" t="s">
        <v>278</v>
      </c>
    </row>
    <row r="60" spans="1:28" s="297" customFormat="1" ht="12" customHeight="1">
      <c r="B60" s="322" t="s">
        <v>59</v>
      </c>
      <c r="C60" s="294" t="s">
        <v>60</v>
      </c>
      <c r="D60" s="298">
        <f>D2</f>
        <v>16919.518918000002</v>
      </c>
      <c r="E60" s="298">
        <f>E2+AB2</f>
        <v>-42.561762000000002</v>
      </c>
      <c r="F60" s="298">
        <f t="shared" ref="F60:J60" si="33">F2</f>
        <v>4187.7504670000008</v>
      </c>
      <c r="G60" s="298">
        <f t="shared" si="33"/>
        <v>8050.6168580000003</v>
      </c>
      <c r="H60" s="298">
        <f t="shared" si="33"/>
        <v>504.70221399999997</v>
      </c>
      <c r="I60" s="298">
        <f t="shared" si="33"/>
        <v>1369.29927</v>
      </c>
      <c r="J60" s="298">
        <f t="shared" si="33"/>
        <v>389.687118</v>
      </c>
      <c r="K60" s="298">
        <f>K2+L2</f>
        <v>343.46151899999995</v>
      </c>
      <c r="L60" s="298">
        <f>N2</f>
        <v>170.93022300000001</v>
      </c>
      <c r="M60" s="298">
        <f>O2</f>
        <v>0</v>
      </c>
      <c r="N60" s="298">
        <f>P2</f>
        <v>180.15108499999999</v>
      </c>
      <c r="O60" s="298">
        <f>Q2</f>
        <v>285.06932499999999</v>
      </c>
      <c r="P60" s="298">
        <f t="shared" ref="P60:Y60" si="34">R2</f>
        <v>525.14445000000001</v>
      </c>
      <c r="Q60" s="298">
        <f t="shared" si="34"/>
        <v>1620.9421320000001</v>
      </c>
      <c r="R60" s="298">
        <f t="shared" si="34"/>
        <v>0</v>
      </c>
      <c r="S60" s="298">
        <f t="shared" si="34"/>
        <v>508.00455700000003</v>
      </c>
      <c r="T60" s="298">
        <f t="shared" si="34"/>
        <v>901.341633</v>
      </c>
      <c r="U60" s="298">
        <f t="shared" si="34"/>
        <v>211.59594200000004</v>
      </c>
      <c r="V60" s="298">
        <f t="shared" si="34"/>
        <v>204.02866499999996</v>
      </c>
      <c r="W60" s="298">
        <f t="shared" si="34"/>
        <v>147.25277299999999</v>
      </c>
      <c r="X60" s="298">
        <f t="shared" si="34"/>
        <v>56.775891999999992</v>
      </c>
      <c r="Y60" s="298">
        <f t="shared" si="34"/>
        <v>499.59662400000002</v>
      </c>
      <c r="Z60" s="301">
        <f>AB2</f>
        <v>8.0204380000000004</v>
      </c>
    </row>
    <row r="61" spans="1:28" s="297" customFormat="1" ht="12" customHeight="1">
      <c r="B61" s="323"/>
      <c r="C61" s="294" t="s">
        <v>61</v>
      </c>
      <c r="D61" s="298">
        <f t="shared" ref="D61:D108" si="35">D3</f>
        <v>232.56622400000006</v>
      </c>
      <c r="E61" s="298">
        <f t="shared" ref="E61:E108" si="36">E3+AB3</f>
        <v>9.92E-3</v>
      </c>
      <c r="F61" s="298">
        <f t="shared" ref="F61:J61" si="37">F3</f>
        <v>67.414252999999988</v>
      </c>
      <c r="G61" s="298">
        <f t="shared" si="37"/>
        <v>114.70204200000002</v>
      </c>
      <c r="H61" s="298">
        <f t="shared" si="37"/>
        <v>9.0783909999999999</v>
      </c>
      <c r="I61" s="298">
        <f t="shared" si="37"/>
        <v>7.5808220000000004</v>
      </c>
      <c r="J61" s="298">
        <f t="shared" si="37"/>
        <v>0.95529900000000001</v>
      </c>
      <c r="K61" s="298">
        <f t="shared" ref="K61:K108" si="38">K3+L3</f>
        <v>1.763023</v>
      </c>
      <c r="L61" s="298">
        <f t="shared" ref="L61:O61" si="39">N3</f>
        <v>0.16</v>
      </c>
      <c r="M61" s="298">
        <f t="shared" si="39"/>
        <v>0</v>
      </c>
      <c r="N61" s="298">
        <f t="shared" si="39"/>
        <v>4.2050000000000001</v>
      </c>
      <c r="O61" s="298">
        <f t="shared" si="39"/>
        <v>0.4975</v>
      </c>
      <c r="P61" s="298">
        <f t="shared" ref="P61:P108" si="40">R3</f>
        <v>9.225791000000001</v>
      </c>
      <c r="Q61" s="298">
        <f t="shared" ref="Q61:Q108" si="41">S3</f>
        <v>21.096775000000001</v>
      </c>
      <c r="R61" s="298">
        <f t="shared" ref="R61:R108" si="42">T3</f>
        <v>0</v>
      </c>
      <c r="S61" s="298">
        <f t="shared" ref="S61:S108" si="43">U3</f>
        <v>10.303377000000001</v>
      </c>
      <c r="T61" s="298">
        <f t="shared" ref="T61:T108" si="44">V3</f>
        <v>4.3028000000000004</v>
      </c>
      <c r="U61" s="298">
        <f t="shared" ref="U61:U108" si="45">W3</f>
        <v>6.4905979999999994</v>
      </c>
      <c r="V61" s="298">
        <f t="shared" ref="V61:V108" si="46">X3</f>
        <v>0.92574299999999998</v>
      </c>
      <c r="W61" s="298">
        <f t="shared" ref="W61:W108" si="47">Y3</f>
        <v>0.83017299999999994</v>
      </c>
      <c r="X61" s="298">
        <f t="shared" ref="X61:X108" si="48">Z3</f>
        <v>9.5570000000000002E-2</v>
      </c>
      <c r="Y61" s="298">
        <f t="shared" ref="Y61:Y108" si="49">AA3</f>
        <v>2.5324870000000002</v>
      </c>
      <c r="Z61" s="301">
        <f t="shared" ref="Z61:Z108" si="50">AB3</f>
        <v>9.92E-3</v>
      </c>
    </row>
    <row r="62" spans="1:28" s="297" customFormat="1" ht="12" customHeight="1">
      <c r="B62" s="323"/>
      <c r="C62" s="294" t="s">
        <v>62</v>
      </c>
      <c r="D62" s="298">
        <f t="shared" si="35"/>
        <v>896.76214999999979</v>
      </c>
      <c r="E62" s="298">
        <f t="shared" si="36"/>
        <v>0.16572899999999999</v>
      </c>
      <c r="F62" s="298">
        <f t="shared" ref="F62:J62" si="51">F4</f>
        <v>378.84631100000001</v>
      </c>
      <c r="G62" s="298">
        <f t="shared" si="51"/>
        <v>238.61880300000001</v>
      </c>
      <c r="H62" s="298">
        <f t="shared" si="51"/>
        <v>12.316654999999999</v>
      </c>
      <c r="I62" s="298">
        <f t="shared" si="51"/>
        <v>27.509917999999999</v>
      </c>
      <c r="J62" s="298">
        <f t="shared" si="51"/>
        <v>7.7590270000000006</v>
      </c>
      <c r="K62" s="298">
        <f t="shared" si="38"/>
        <v>6.8311510000000002</v>
      </c>
      <c r="L62" s="298">
        <f t="shared" ref="L62:O62" si="52">N4</f>
        <v>4.2198289999999998</v>
      </c>
      <c r="M62" s="298">
        <f t="shared" si="52"/>
        <v>0</v>
      </c>
      <c r="N62" s="298">
        <f t="shared" si="52"/>
        <v>2.7607079999999997</v>
      </c>
      <c r="O62" s="298">
        <f t="shared" si="52"/>
        <v>5.9392030000000009</v>
      </c>
      <c r="P62" s="298">
        <f t="shared" si="40"/>
        <v>14.638488999999998</v>
      </c>
      <c r="Q62" s="298">
        <f t="shared" si="41"/>
        <v>208.68830599999998</v>
      </c>
      <c r="R62" s="298">
        <f t="shared" si="42"/>
        <v>0</v>
      </c>
      <c r="S62" s="298">
        <f t="shared" si="43"/>
        <v>163.05486599999998</v>
      </c>
      <c r="T62" s="298">
        <f t="shared" si="44"/>
        <v>41.753910000000012</v>
      </c>
      <c r="U62" s="298">
        <f t="shared" si="45"/>
        <v>3.8795299999999995</v>
      </c>
      <c r="V62" s="298">
        <f t="shared" si="46"/>
        <v>5.7780539999999991</v>
      </c>
      <c r="W62" s="298">
        <f t="shared" si="47"/>
        <v>3.8017750000000001</v>
      </c>
      <c r="X62" s="298">
        <f t="shared" si="48"/>
        <v>1.9762789999999997</v>
      </c>
      <c r="Y62" s="298">
        <f t="shared" si="49"/>
        <v>10.199885</v>
      </c>
      <c r="Z62" s="301">
        <f t="shared" si="50"/>
        <v>0.16572899999999999</v>
      </c>
    </row>
    <row r="63" spans="1:28" s="297" customFormat="1" ht="12" customHeight="1">
      <c r="B63" s="323"/>
      <c r="C63" s="294" t="s">
        <v>63</v>
      </c>
      <c r="D63" s="298">
        <f t="shared" si="35"/>
        <v>4154.8509079999994</v>
      </c>
      <c r="E63" s="298">
        <f t="shared" si="36"/>
        <v>1.7560259999999999</v>
      </c>
      <c r="F63" s="298">
        <f t="shared" ref="F63:J63" si="53">F5</f>
        <v>789.81765699999994</v>
      </c>
      <c r="G63" s="298">
        <f t="shared" si="53"/>
        <v>2320.8910249999994</v>
      </c>
      <c r="H63" s="298">
        <f t="shared" si="53"/>
        <v>128.38472099999998</v>
      </c>
      <c r="I63" s="298">
        <f t="shared" si="53"/>
        <v>293.28187599999995</v>
      </c>
      <c r="J63" s="298">
        <f t="shared" si="53"/>
        <v>86.697400999999999</v>
      </c>
      <c r="K63" s="298">
        <f t="shared" si="38"/>
        <v>74.381302000000005</v>
      </c>
      <c r="L63" s="298">
        <f t="shared" ref="L63:O63" si="54">N5</f>
        <v>41.672835000000006</v>
      </c>
      <c r="M63" s="298">
        <f t="shared" si="54"/>
        <v>0</v>
      </c>
      <c r="N63" s="298">
        <f t="shared" si="54"/>
        <v>23.862207999999999</v>
      </c>
      <c r="O63" s="298">
        <f t="shared" si="54"/>
        <v>66.668130000000005</v>
      </c>
      <c r="P63" s="298">
        <f t="shared" si="40"/>
        <v>146.71598799999998</v>
      </c>
      <c r="Q63" s="298">
        <f t="shared" si="41"/>
        <v>261.45389799999992</v>
      </c>
      <c r="R63" s="298">
        <f t="shared" si="42"/>
        <v>0</v>
      </c>
      <c r="S63" s="298">
        <f t="shared" si="43"/>
        <v>124.47649199999996</v>
      </c>
      <c r="T63" s="298">
        <f t="shared" si="44"/>
        <v>96.59313499999999</v>
      </c>
      <c r="U63" s="298">
        <f t="shared" si="45"/>
        <v>40.384270999999998</v>
      </c>
      <c r="V63" s="298">
        <f t="shared" si="46"/>
        <v>50.717533999999993</v>
      </c>
      <c r="W63" s="298">
        <f t="shared" si="47"/>
        <v>33.344564999999996</v>
      </c>
      <c r="X63" s="298">
        <f t="shared" si="48"/>
        <v>17.372968999999998</v>
      </c>
      <c r="Y63" s="298">
        <f t="shared" si="49"/>
        <v>161.83218300000001</v>
      </c>
      <c r="Z63" s="301">
        <f t="shared" si="50"/>
        <v>1.7560259999999999</v>
      </c>
    </row>
    <row r="64" spans="1:28" s="297" customFormat="1" ht="12" customHeight="1">
      <c r="B64" s="323"/>
      <c r="C64" s="294" t="s">
        <v>64</v>
      </c>
      <c r="D64" s="298">
        <f t="shared" si="35"/>
        <v>10.8385</v>
      </c>
      <c r="E64" s="298">
        <f t="shared" si="36"/>
        <v>0</v>
      </c>
      <c r="F64" s="298">
        <f t="shared" ref="F64:J64" si="55">F6</f>
        <v>0</v>
      </c>
      <c r="G64" s="298">
        <f t="shared" si="55"/>
        <v>9.8384999999999998</v>
      </c>
      <c r="H64" s="298">
        <f t="shared" si="55"/>
        <v>0</v>
      </c>
      <c r="I64" s="298">
        <f t="shared" si="55"/>
        <v>0</v>
      </c>
      <c r="J64" s="298">
        <f t="shared" si="55"/>
        <v>0</v>
      </c>
      <c r="K64" s="298">
        <f t="shared" si="38"/>
        <v>0</v>
      </c>
      <c r="L64" s="298">
        <f t="shared" ref="L64:O64" si="56">N6</f>
        <v>0</v>
      </c>
      <c r="M64" s="298">
        <f t="shared" si="56"/>
        <v>0</v>
      </c>
      <c r="N64" s="298">
        <f t="shared" si="56"/>
        <v>0</v>
      </c>
      <c r="O64" s="298">
        <f t="shared" si="56"/>
        <v>0</v>
      </c>
      <c r="P64" s="298">
        <f t="shared" si="40"/>
        <v>0</v>
      </c>
      <c r="Q64" s="298">
        <f t="shared" si="41"/>
        <v>1</v>
      </c>
      <c r="R64" s="298">
        <f t="shared" si="42"/>
        <v>0</v>
      </c>
      <c r="S64" s="298">
        <f t="shared" si="43"/>
        <v>0</v>
      </c>
      <c r="T64" s="298">
        <f t="shared" si="44"/>
        <v>0</v>
      </c>
      <c r="U64" s="298">
        <f t="shared" si="45"/>
        <v>1</v>
      </c>
      <c r="V64" s="298">
        <f t="shared" si="46"/>
        <v>0</v>
      </c>
      <c r="W64" s="298">
        <f t="shared" si="47"/>
        <v>0</v>
      </c>
      <c r="X64" s="298">
        <f t="shared" si="48"/>
        <v>0</v>
      </c>
      <c r="Y64" s="298">
        <f t="shared" si="49"/>
        <v>0</v>
      </c>
      <c r="Z64" s="301">
        <f t="shared" si="50"/>
        <v>0</v>
      </c>
    </row>
    <row r="65" spans="2:26" s="297" customFormat="1" ht="12" customHeight="1">
      <c r="B65" s="323"/>
      <c r="C65" s="294" t="s">
        <v>65</v>
      </c>
      <c r="D65" s="298">
        <f t="shared" si="35"/>
        <v>22.930417000000002</v>
      </c>
      <c r="E65" s="298">
        <f t="shared" si="36"/>
        <v>0</v>
      </c>
      <c r="F65" s="298">
        <f t="shared" ref="F65:J65" si="57">F7</f>
        <v>1.8825799999999995</v>
      </c>
      <c r="G65" s="298">
        <f t="shared" si="57"/>
        <v>18.016448</v>
      </c>
      <c r="H65" s="298">
        <f t="shared" si="57"/>
        <v>-0.12114000000000001</v>
      </c>
      <c r="I65" s="298">
        <f t="shared" si="57"/>
        <v>0.16100899999999999</v>
      </c>
      <c r="J65" s="298">
        <f t="shared" si="57"/>
        <v>-0.12114100000000001</v>
      </c>
      <c r="K65" s="298">
        <f t="shared" si="38"/>
        <v>0</v>
      </c>
      <c r="L65" s="298">
        <f t="shared" ref="L65:O65" si="58">N7</f>
        <v>0.28215000000000001</v>
      </c>
      <c r="M65" s="298">
        <f t="shared" si="58"/>
        <v>0</v>
      </c>
      <c r="N65" s="298">
        <f t="shared" si="58"/>
        <v>0</v>
      </c>
      <c r="O65" s="298">
        <f t="shared" si="58"/>
        <v>0</v>
      </c>
      <c r="P65" s="298">
        <f t="shared" si="40"/>
        <v>0</v>
      </c>
      <c r="Q65" s="298">
        <f t="shared" si="41"/>
        <v>-0.12114000000000001</v>
      </c>
      <c r="R65" s="298">
        <f t="shared" si="42"/>
        <v>0</v>
      </c>
      <c r="S65" s="298">
        <f t="shared" si="43"/>
        <v>0</v>
      </c>
      <c r="T65" s="298">
        <f t="shared" si="44"/>
        <v>0</v>
      </c>
      <c r="U65" s="298">
        <f t="shared" si="45"/>
        <v>-0.12114000000000001</v>
      </c>
      <c r="V65" s="298">
        <f t="shared" si="46"/>
        <v>0</v>
      </c>
      <c r="W65" s="298">
        <f t="shared" si="47"/>
        <v>0</v>
      </c>
      <c r="X65" s="298">
        <f t="shared" si="48"/>
        <v>0</v>
      </c>
      <c r="Y65" s="298">
        <f t="shared" si="49"/>
        <v>3.11266</v>
      </c>
      <c r="Z65" s="301">
        <f t="shared" si="50"/>
        <v>0</v>
      </c>
    </row>
    <row r="66" spans="2:26" s="297" customFormat="1" ht="12" customHeight="1">
      <c r="B66" s="323"/>
      <c r="C66" s="294" t="s">
        <v>66</v>
      </c>
      <c r="D66" s="298">
        <f t="shared" si="35"/>
        <v>270.448396</v>
      </c>
      <c r="E66" s="298">
        <f t="shared" si="36"/>
        <v>0.26600000000000001</v>
      </c>
      <c r="F66" s="298">
        <f t="shared" ref="F66:J66" si="59">F8</f>
        <v>65.426000000000002</v>
      </c>
      <c r="G66" s="298">
        <f t="shared" si="59"/>
        <v>126.780396</v>
      </c>
      <c r="H66" s="298">
        <f t="shared" si="59"/>
        <v>8.9860000000000007</v>
      </c>
      <c r="I66" s="298">
        <f t="shared" si="59"/>
        <v>17.628</v>
      </c>
      <c r="J66" s="298">
        <f t="shared" si="59"/>
        <v>5.6139999999999999</v>
      </c>
      <c r="K66" s="298">
        <f t="shared" si="38"/>
        <v>4.4939999999999998</v>
      </c>
      <c r="L66" s="298">
        <f t="shared" ref="L66:O66" si="60">N8</f>
        <v>2.3519999999999999</v>
      </c>
      <c r="M66" s="298">
        <f t="shared" si="60"/>
        <v>0</v>
      </c>
      <c r="N66" s="298">
        <f t="shared" si="60"/>
        <v>1.518</v>
      </c>
      <c r="O66" s="298">
        <f t="shared" si="60"/>
        <v>3.65</v>
      </c>
      <c r="P66" s="298">
        <f t="shared" si="40"/>
        <v>10.818</v>
      </c>
      <c r="Q66" s="298">
        <f t="shared" si="41"/>
        <v>18.457999999999998</v>
      </c>
      <c r="R66" s="298">
        <f t="shared" si="42"/>
        <v>0</v>
      </c>
      <c r="S66" s="298">
        <f t="shared" si="43"/>
        <v>8.3640000000000008</v>
      </c>
      <c r="T66" s="298">
        <f t="shared" si="44"/>
        <v>7.4560000000000004</v>
      </c>
      <c r="U66" s="298">
        <f t="shared" si="45"/>
        <v>2.6379999999999999</v>
      </c>
      <c r="V66" s="298">
        <f t="shared" si="46"/>
        <v>5.3840000000000003</v>
      </c>
      <c r="W66" s="298">
        <f t="shared" si="47"/>
        <v>3.3460000000000001</v>
      </c>
      <c r="X66" s="298">
        <f t="shared" si="48"/>
        <v>2.0379999999999998</v>
      </c>
      <c r="Y66" s="298">
        <f t="shared" si="49"/>
        <v>16.702000000000002</v>
      </c>
      <c r="Z66" s="301">
        <f t="shared" si="50"/>
        <v>0.26600000000000001</v>
      </c>
    </row>
    <row r="67" spans="2:26" s="297" customFormat="1" ht="12" customHeight="1">
      <c r="B67" s="323"/>
      <c r="C67" s="294" t="s">
        <v>67</v>
      </c>
      <c r="D67" s="298">
        <f t="shared" si="35"/>
        <v>50.166796999999995</v>
      </c>
      <c r="E67" s="298">
        <f t="shared" si="36"/>
        <v>0</v>
      </c>
      <c r="F67" s="298">
        <f t="shared" ref="F67:J67" si="61">F9</f>
        <v>19.743404000000002</v>
      </c>
      <c r="G67" s="298">
        <f t="shared" si="61"/>
        <v>21.382383000000001</v>
      </c>
      <c r="H67" s="298">
        <f t="shared" si="61"/>
        <v>1.2</v>
      </c>
      <c r="I67" s="298">
        <f t="shared" si="61"/>
        <v>4.3324100000000003</v>
      </c>
      <c r="J67" s="298">
        <f t="shared" si="61"/>
        <v>0.127</v>
      </c>
      <c r="K67" s="298">
        <f t="shared" si="38"/>
        <v>1.373904</v>
      </c>
      <c r="L67" s="298">
        <f t="shared" ref="L67:O67" si="62">N9</f>
        <v>0.91659999999999997</v>
      </c>
      <c r="M67" s="298">
        <f t="shared" si="62"/>
        <v>0</v>
      </c>
      <c r="N67" s="298">
        <f t="shared" si="62"/>
        <v>1.3539060000000001</v>
      </c>
      <c r="O67" s="298">
        <f t="shared" si="62"/>
        <v>0.56100000000000005</v>
      </c>
      <c r="P67" s="298">
        <f t="shared" si="40"/>
        <v>0.8</v>
      </c>
      <c r="Q67" s="298">
        <f t="shared" si="41"/>
        <v>0.999</v>
      </c>
      <c r="R67" s="298">
        <f t="shared" si="42"/>
        <v>0</v>
      </c>
      <c r="S67" s="298">
        <f t="shared" si="43"/>
        <v>0.16</v>
      </c>
      <c r="T67" s="298">
        <f t="shared" si="44"/>
        <v>0</v>
      </c>
      <c r="U67" s="298">
        <f t="shared" si="45"/>
        <v>0.83899999999999997</v>
      </c>
      <c r="V67" s="298">
        <f t="shared" si="46"/>
        <v>1.7096</v>
      </c>
      <c r="W67" s="298">
        <f t="shared" si="47"/>
        <v>1.2290000000000001</v>
      </c>
      <c r="X67" s="298">
        <f t="shared" si="48"/>
        <v>0.48060000000000003</v>
      </c>
      <c r="Y67" s="298">
        <f t="shared" si="49"/>
        <v>0</v>
      </c>
      <c r="Z67" s="301">
        <f t="shared" si="50"/>
        <v>0</v>
      </c>
    </row>
    <row r="68" spans="2:26" s="297" customFormat="1" ht="12" customHeight="1">
      <c r="B68" s="323"/>
      <c r="C68" s="294" t="s">
        <v>68</v>
      </c>
      <c r="D68" s="298">
        <f t="shared" si="35"/>
        <v>14829.094733000002</v>
      </c>
      <c r="E68" s="298">
        <f t="shared" si="36"/>
        <v>0</v>
      </c>
      <c r="F68" s="298">
        <f t="shared" ref="F68:J68" si="63">F10</f>
        <v>14726.95</v>
      </c>
      <c r="G68" s="298">
        <f t="shared" si="63"/>
        <v>0</v>
      </c>
      <c r="H68" s="298">
        <f t="shared" si="63"/>
        <v>102.144733</v>
      </c>
      <c r="I68" s="298">
        <f t="shared" si="63"/>
        <v>0</v>
      </c>
      <c r="J68" s="298">
        <f t="shared" si="63"/>
        <v>0</v>
      </c>
      <c r="K68" s="298">
        <f t="shared" si="38"/>
        <v>0</v>
      </c>
      <c r="L68" s="298">
        <f t="shared" ref="L68:O68" si="64">N10</f>
        <v>0</v>
      </c>
      <c r="M68" s="298">
        <f t="shared" si="64"/>
        <v>0</v>
      </c>
      <c r="N68" s="298">
        <f t="shared" si="64"/>
        <v>0</v>
      </c>
      <c r="O68" s="298">
        <f t="shared" si="64"/>
        <v>0</v>
      </c>
      <c r="P68" s="298">
        <f t="shared" si="40"/>
        <v>0</v>
      </c>
      <c r="Q68" s="298">
        <f t="shared" si="41"/>
        <v>0</v>
      </c>
      <c r="R68" s="298">
        <f t="shared" si="42"/>
        <v>0</v>
      </c>
      <c r="S68" s="298">
        <f t="shared" si="43"/>
        <v>0</v>
      </c>
      <c r="T68" s="298">
        <f t="shared" si="44"/>
        <v>0</v>
      </c>
      <c r="U68" s="298">
        <f t="shared" si="45"/>
        <v>0</v>
      </c>
      <c r="V68" s="298">
        <f t="shared" si="46"/>
        <v>0</v>
      </c>
      <c r="W68" s="298">
        <f t="shared" si="47"/>
        <v>0</v>
      </c>
      <c r="X68" s="298">
        <f t="shared" si="48"/>
        <v>0</v>
      </c>
      <c r="Y68" s="298">
        <f t="shared" si="49"/>
        <v>0</v>
      </c>
      <c r="Z68" s="301">
        <f t="shared" si="50"/>
        <v>0</v>
      </c>
    </row>
    <row r="69" spans="2:26" s="297" customFormat="1" ht="12" customHeight="1">
      <c r="B69" s="324"/>
      <c r="C69" s="294" t="s">
        <v>69</v>
      </c>
      <c r="D69" s="298">
        <f t="shared" si="35"/>
        <v>37387.177043000003</v>
      </c>
      <c r="E69" s="298">
        <f t="shared" si="36"/>
        <v>-40.364086999999998</v>
      </c>
      <c r="F69" s="298">
        <f t="shared" ref="F69:J69" si="65">F11</f>
        <v>20237.830672000004</v>
      </c>
      <c r="G69" s="298">
        <f t="shared" si="65"/>
        <v>10900.846454999999</v>
      </c>
      <c r="H69" s="298">
        <f t="shared" si="65"/>
        <v>766.69157399999995</v>
      </c>
      <c r="I69" s="298">
        <f t="shared" si="65"/>
        <v>1719.7933049999997</v>
      </c>
      <c r="J69" s="298">
        <f t="shared" si="65"/>
        <v>490.718704</v>
      </c>
      <c r="K69" s="298">
        <f t="shared" si="38"/>
        <v>432.30489899999992</v>
      </c>
      <c r="L69" s="298">
        <f t="shared" ref="L69:O69" si="66">N11</f>
        <v>220.533637</v>
      </c>
      <c r="M69" s="298">
        <f t="shared" si="66"/>
        <v>0</v>
      </c>
      <c r="N69" s="298">
        <f t="shared" si="66"/>
        <v>213.85090700000001</v>
      </c>
      <c r="O69" s="298">
        <f t="shared" si="66"/>
        <v>362.38515799999999</v>
      </c>
      <c r="P69" s="298">
        <f t="shared" si="40"/>
        <v>707.34271799999988</v>
      </c>
      <c r="Q69" s="298">
        <f t="shared" si="41"/>
        <v>2132.5169709999996</v>
      </c>
      <c r="R69" s="298">
        <f t="shared" si="42"/>
        <v>0</v>
      </c>
      <c r="S69" s="298">
        <f t="shared" si="43"/>
        <v>814.363292</v>
      </c>
      <c r="T69" s="298">
        <f t="shared" si="44"/>
        <v>1051.447478</v>
      </c>
      <c r="U69" s="298">
        <f t="shared" si="45"/>
        <v>266.70620099999996</v>
      </c>
      <c r="V69" s="298">
        <f t="shared" si="46"/>
        <v>268.54359599999998</v>
      </c>
      <c r="W69" s="298">
        <f t="shared" si="47"/>
        <v>189.80428599999999</v>
      </c>
      <c r="X69" s="298">
        <f t="shared" si="48"/>
        <v>78.739309999999989</v>
      </c>
      <c r="Y69" s="298">
        <f t="shared" si="49"/>
        <v>693.97583900000006</v>
      </c>
      <c r="Z69" s="301">
        <f t="shared" si="50"/>
        <v>10.218113000000001</v>
      </c>
    </row>
    <row r="70" spans="2:26" s="297" customFormat="1" ht="12" customHeight="1">
      <c r="B70" s="325" t="s">
        <v>374</v>
      </c>
      <c r="C70" s="295" t="s">
        <v>71</v>
      </c>
      <c r="D70" s="298">
        <f t="shared" si="35"/>
        <v>8257.8070280000011</v>
      </c>
      <c r="E70" s="298">
        <f t="shared" si="36"/>
        <v>0</v>
      </c>
      <c r="F70" s="298">
        <f t="shared" ref="F70:J70" si="67">F12</f>
        <v>0</v>
      </c>
      <c r="G70" s="298">
        <f t="shared" si="67"/>
        <v>3723.7939580000011</v>
      </c>
      <c r="H70" s="298">
        <f t="shared" si="67"/>
        <v>0</v>
      </c>
      <c r="I70" s="298">
        <f t="shared" si="67"/>
        <v>33.671303000000002</v>
      </c>
      <c r="J70" s="298">
        <f t="shared" si="67"/>
        <v>0</v>
      </c>
      <c r="K70" s="298">
        <f t="shared" si="38"/>
        <v>0</v>
      </c>
      <c r="L70" s="298">
        <f t="shared" ref="L70:O70" si="68">N12</f>
        <v>23.997085999999999</v>
      </c>
      <c r="M70" s="298">
        <f t="shared" si="68"/>
        <v>0</v>
      </c>
      <c r="N70" s="298">
        <f t="shared" si="68"/>
        <v>0</v>
      </c>
      <c r="O70" s="298">
        <f t="shared" si="68"/>
        <v>9.6742170000000005</v>
      </c>
      <c r="P70" s="298">
        <f t="shared" si="40"/>
        <v>201.55019999999999</v>
      </c>
      <c r="Q70" s="298">
        <f t="shared" si="41"/>
        <v>4258.7915670000002</v>
      </c>
      <c r="R70" s="298">
        <f t="shared" si="42"/>
        <v>0</v>
      </c>
      <c r="S70" s="298">
        <f t="shared" si="43"/>
        <v>3483.2437</v>
      </c>
      <c r="T70" s="298">
        <f t="shared" si="44"/>
        <v>775.547867</v>
      </c>
      <c r="U70" s="298">
        <f t="shared" si="45"/>
        <v>0</v>
      </c>
      <c r="V70" s="298">
        <f t="shared" si="46"/>
        <v>40</v>
      </c>
      <c r="W70" s="298">
        <f t="shared" si="47"/>
        <v>40</v>
      </c>
      <c r="X70" s="298">
        <f t="shared" si="48"/>
        <v>0</v>
      </c>
      <c r="Y70" s="298">
        <f t="shared" si="49"/>
        <v>0</v>
      </c>
      <c r="Z70" s="301">
        <f t="shared" si="50"/>
        <v>0</v>
      </c>
    </row>
    <row r="71" spans="2:26" s="297" customFormat="1" ht="12" customHeight="1">
      <c r="B71" s="326"/>
      <c r="C71" s="295" t="s">
        <v>72</v>
      </c>
      <c r="D71" s="298">
        <f t="shared" si="35"/>
        <v>8245.6267919999991</v>
      </c>
      <c r="E71" s="298">
        <f t="shared" si="36"/>
        <v>-7.8</v>
      </c>
      <c r="F71" s="298">
        <f t="shared" ref="F71:J71" si="69">F13</f>
        <v>0</v>
      </c>
      <c r="G71" s="298">
        <f t="shared" si="69"/>
        <v>3261.695389999999</v>
      </c>
      <c r="H71" s="298">
        <f t="shared" si="69"/>
        <v>0</v>
      </c>
      <c r="I71" s="298">
        <f t="shared" si="69"/>
        <v>7.8</v>
      </c>
      <c r="J71" s="298">
        <f t="shared" si="69"/>
        <v>0</v>
      </c>
      <c r="K71" s="298">
        <f t="shared" si="38"/>
        <v>3.56E-2</v>
      </c>
      <c r="L71" s="298">
        <f t="shared" ref="L71:O71" si="70">N13</f>
        <v>0</v>
      </c>
      <c r="M71" s="298">
        <f t="shared" si="70"/>
        <v>0</v>
      </c>
      <c r="N71" s="298">
        <f t="shared" si="70"/>
        <v>0</v>
      </c>
      <c r="O71" s="298">
        <f t="shared" si="70"/>
        <v>7.8</v>
      </c>
      <c r="P71" s="298">
        <f t="shared" si="40"/>
        <v>232.00790000000001</v>
      </c>
      <c r="Q71" s="298">
        <f t="shared" si="41"/>
        <v>4731.4489020000001</v>
      </c>
      <c r="R71" s="298">
        <f t="shared" si="42"/>
        <v>0</v>
      </c>
      <c r="S71" s="298">
        <f t="shared" si="43"/>
        <v>4207.1989020000001</v>
      </c>
      <c r="T71" s="298">
        <f t="shared" si="44"/>
        <v>524.25</v>
      </c>
      <c r="U71" s="298">
        <f t="shared" si="45"/>
        <v>0</v>
      </c>
      <c r="V71" s="298">
        <f t="shared" si="46"/>
        <v>20.474599999999999</v>
      </c>
      <c r="W71" s="298">
        <f t="shared" si="47"/>
        <v>0</v>
      </c>
      <c r="X71" s="298">
        <f t="shared" si="48"/>
        <v>20.474599999999999</v>
      </c>
      <c r="Y71" s="298">
        <f t="shared" si="49"/>
        <v>0</v>
      </c>
      <c r="Z71" s="301">
        <f t="shared" si="50"/>
        <v>0</v>
      </c>
    </row>
    <row r="72" spans="2:26" s="297" customFormat="1" ht="12" customHeight="1">
      <c r="B72" s="326"/>
      <c r="C72" s="295" t="s">
        <v>73</v>
      </c>
      <c r="D72" s="298">
        <f t="shared" si="35"/>
        <v>1785.5023090000007</v>
      </c>
      <c r="E72" s="298">
        <f t="shared" si="36"/>
        <v>-59.010023000000011</v>
      </c>
      <c r="F72" s="298">
        <f t="shared" ref="F72:J72" si="71">F14</f>
        <v>-339.27702400000004</v>
      </c>
      <c r="G72" s="298">
        <f t="shared" si="71"/>
        <v>1603.7728830000005</v>
      </c>
      <c r="H72" s="298">
        <f t="shared" si="71"/>
        <v>-166.85261299999996</v>
      </c>
      <c r="I72" s="298">
        <f t="shared" si="71"/>
        <v>83.323048999999969</v>
      </c>
      <c r="J72" s="298">
        <f t="shared" si="71"/>
        <v>276.14196099999998</v>
      </c>
      <c r="K72" s="298">
        <f t="shared" si="38"/>
        <v>-175.13227599999999</v>
      </c>
      <c r="L72" s="298">
        <f t="shared" ref="L72:O72" si="72">N14</f>
        <v>8.3577270000000006</v>
      </c>
      <c r="M72" s="298">
        <f t="shared" si="72"/>
        <v>0</v>
      </c>
      <c r="N72" s="298">
        <f t="shared" si="72"/>
        <v>4.3449999999999999E-3</v>
      </c>
      <c r="O72" s="298">
        <f t="shared" si="72"/>
        <v>-26.048708000000001</v>
      </c>
      <c r="P72" s="298">
        <f t="shared" si="40"/>
        <v>51.643716999999995</v>
      </c>
      <c r="Q72" s="298">
        <f t="shared" si="41"/>
        <v>610.16394899999989</v>
      </c>
      <c r="R72" s="298">
        <f t="shared" si="42"/>
        <v>0</v>
      </c>
      <c r="S72" s="298">
        <f t="shared" si="43"/>
        <v>503.97849899999994</v>
      </c>
      <c r="T72" s="298">
        <f t="shared" si="44"/>
        <v>98.710482999999982</v>
      </c>
      <c r="U72" s="298">
        <f t="shared" si="45"/>
        <v>7.4749669999999995</v>
      </c>
      <c r="V72" s="298">
        <f t="shared" si="46"/>
        <v>1.7386540000000001</v>
      </c>
      <c r="W72" s="298">
        <f t="shared" si="47"/>
        <v>2.418E-3</v>
      </c>
      <c r="X72" s="298">
        <f t="shared" si="48"/>
        <v>1.7362360000000001</v>
      </c>
      <c r="Y72" s="298">
        <f t="shared" si="49"/>
        <v>-2.8299999999999999E-4</v>
      </c>
      <c r="Z72" s="301">
        <f t="shared" si="50"/>
        <v>1.2E-5</v>
      </c>
    </row>
    <row r="73" spans="2:26" s="297" customFormat="1" ht="12" customHeight="1">
      <c r="B73" s="326"/>
      <c r="C73" s="295" t="s">
        <v>74</v>
      </c>
      <c r="D73" s="298">
        <f t="shared" si="35"/>
        <v>1350.2433289999999</v>
      </c>
      <c r="E73" s="298">
        <f t="shared" si="36"/>
        <v>0</v>
      </c>
      <c r="F73" s="298">
        <f t="shared" ref="F73:J73" si="73">F15</f>
        <v>0</v>
      </c>
      <c r="G73" s="298">
        <f t="shared" si="73"/>
        <v>1289.016969</v>
      </c>
      <c r="H73" s="298">
        <f t="shared" si="73"/>
        <v>49.265982999999999</v>
      </c>
      <c r="I73" s="298">
        <f t="shared" si="73"/>
        <v>11.960377000000001</v>
      </c>
      <c r="J73" s="298">
        <f t="shared" si="73"/>
        <v>11.160377000000002</v>
      </c>
      <c r="K73" s="298">
        <f t="shared" si="38"/>
        <v>0</v>
      </c>
      <c r="L73" s="298">
        <f t="shared" ref="L73:O73" si="74">N15</f>
        <v>0</v>
      </c>
      <c r="M73" s="298">
        <f t="shared" si="74"/>
        <v>0</v>
      </c>
      <c r="N73" s="298">
        <f t="shared" si="74"/>
        <v>0.8</v>
      </c>
      <c r="O73" s="298">
        <f t="shared" si="74"/>
        <v>0</v>
      </c>
      <c r="P73" s="298">
        <f t="shared" si="40"/>
        <v>0</v>
      </c>
      <c r="Q73" s="298">
        <f t="shared" si="41"/>
        <v>0</v>
      </c>
      <c r="R73" s="298">
        <f t="shared" si="42"/>
        <v>0</v>
      </c>
      <c r="S73" s="298">
        <f t="shared" si="43"/>
        <v>0</v>
      </c>
      <c r="T73" s="298">
        <f t="shared" si="44"/>
        <v>0</v>
      </c>
      <c r="U73" s="298">
        <f t="shared" si="45"/>
        <v>0</v>
      </c>
      <c r="V73" s="298">
        <f t="shared" si="46"/>
        <v>0</v>
      </c>
      <c r="W73" s="298">
        <f t="shared" si="47"/>
        <v>0</v>
      </c>
      <c r="X73" s="298">
        <f t="shared" si="48"/>
        <v>0</v>
      </c>
      <c r="Y73" s="298">
        <f t="shared" si="49"/>
        <v>0</v>
      </c>
      <c r="Z73" s="301">
        <f t="shared" si="50"/>
        <v>0</v>
      </c>
    </row>
    <row r="74" spans="2:26" s="297" customFormat="1" ht="12" customHeight="1">
      <c r="B74" s="327"/>
      <c r="C74" s="295" t="s">
        <v>69</v>
      </c>
      <c r="D74" s="298">
        <f t="shared" si="35"/>
        <v>19639.179457999999</v>
      </c>
      <c r="E74" s="298">
        <f t="shared" si="36"/>
        <v>-66.810023000000015</v>
      </c>
      <c r="F74" s="298">
        <f t="shared" ref="F74:J74" si="75">F16</f>
        <v>-339.27702400000004</v>
      </c>
      <c r="G74" s="298">
        <f t="shared" si="75"/>
        <v>9878.2792000000009</v>
      </c>
      <c r="H74" s="298">
        <f t="shared" si="75"/>
        <v>-117.58662999999996</v>
      </c>
      <c r="I74" s="298">
        <f t="shared" si="75"/>
        <v>136.75472899999997</v>
      </c>
      <c r="J74" s="298">
        <f t="shared" si="75"/>
        <v>287.30233799999996</v>
      </c>
      <c r="K74" s="298">
        <f t="shared" si="38"/>
        <v>-175.096676</v>
      </c>
      <c r="L74" s="298">
        <f t="shared" ref="L74:O74" si="76">N16</f>
        <v>32.354813</v>
      </c>
      <c r="M74" s="298">
        <f t="shared" si="76"/>
        <v>0</v>
      </c>
      <c r="N74" s="298">
        <f t="shared" si="76"/>
        <v>0.80434500000000009</v>
      </c>
      <c r="O74" s="298">
        <f t="shared" si="76"/>
        <v>-8.5744910000000019</v>
      </c>
      <c r="P74" s="298">
        <f t="shared" si="40"/>
        <v>485.20181699999995</v>
      </c>
      <c r="Q74" s="298">
        <f t="shared" si="41"/>
        <v>9600.4044180000001</v>
      </c>
      <c r="R74" s="298">
        <f t="shared" si="42"/>
        <v>0</v>
      </c>
      <c r="S74" s="298">
        <f t="shared" si="43"/>
        <v>8194.4211009999999</v>
      </c>
      <c r="T74" s="298">
        <f t="shared" si="44"/>
        <v>1398.5083500000001</v>
      </c>
      <c r="U74" s="298">
        <f t="shared" si="45"/>
        <v>7.4749669999999995</v>
      </c>
      <c r="V74" s="298">
        <f t="shared" si="46"/>
        <v>62.213253999999992</v>
      </c>
      <c r="W74" s="298">
        <f t="shared" si="47"/>
        <v>40.002417999999999</v>
      </c>
      <c r="X74" s="298">
        <f t="shared" si="48"/>
        <v>22.210836</v>
      </c>
      <c r="Y74" s="298">
        <f t="shared" si="49"/>
        <v>-2.8299999999999999E-4</v>
      </c>
      <c r="Z74" s="301">
        <f t="shared" si="50"/>
        <v>1.2E-5</v>
      </c>
    </row>
    <row r="75" spans="2:26" s="297" customFormat="1" ht="12" customHeight="1">
      <c r="B75" s="319" t="s">
        <v>75</v>
      </c>
      <c r="C75" s="295" t="s">
        <v>76</v>
      </c>
      <c r="D75" s="298">
        <f t="shared" si="35"/>
        <v>3410.5856309999995</v>
      </c>
      <c r="E75" s="298">
        <f t="shared" si="36"/>
        <v>1.327728</v>
      </c>
      <c r="F75" s="298">
        <f t="shared" ref="F75:J75" si="77">F17</f>
        <v>478.22593199999994</v>
      </c>
      <c r="G75" s="298">
        <f t="shared" si="77"/>
        <v>1290.2933649999998</v>
      </c>
      <c r="H75" s="298">
        <f t="shared" si="77"/>
        <v>149.77436299999999</v>
      </c>
      <c r="I75" s="298">
        <f t="shared" si="77"/>
        <v>235.37615600000001</v>
      </c>
      <c r="J75" s="298">
        <f t="shared" si="77"/>
        <v>72.573579000000009</v>
      </c>
      <c r="K75" s="298">
        <f t="shared" si="38"/>
        <v>57.663787999999997</v>
      </c>
      <c r="L75" s="298">
        <f t="shared" ref="L75:O75" si="78">N17</f>
        <v>32.753815000000003</v>
      </c>
      <c r="M75" s="298">
        <f t="shared" si="78"/>
        <v>0</v>
      </c>
      <c r="N75" s="298">
        <f t="shared" si="78"/>
        <v>24.951712000000001</v>
      </c>
      <c r="O75" s="298">
        <f t="shared" si="78"/>
        <v>47.433261999999999</v>
      </c>
      <c r="P75" s="298">
        <f t="shared" si="40"/>
        <v>83.161104000000009</v>
      </c>
      <c r="Q75" s="298">
        <f t="shared" si="41"/>
        <v>1072.014833</v>
      </c>
      <c r="R75" s="298">
        <f t="shared" si="42"/>
        <v>0</v>
      </c>
      <c r="S75" s="298">
        <f t="shared" si="43"/>
        <v>823.99487799999997</v>
      </c>
      <c r="T75" s="298">
        <f t="shared" si="44"/>
        <v>232.980335</v>
      </c>
      <c r="U75" s="298">
        <f t="shared" si="45"/>
        <v>15.039619999999998</v>
      </c>
      <c r="V75" s="298">
        <f t="shared" si="46"/>
        <v>45.69892999999999</v>
      </c>
      <c r="W75" s="298">
        <f t="shared" si="47"/>
        <v>42.940284999999996</v>
      </c>
      <c r="X75" s="298">
        <f t="shared" si="48"/>
        <v>2.758645</v>
      </c>
      <c r="Y75" s="298">
        <f t="shared" si="49"/>
        <v>54.713219999999993</v>
      </c>
      <c r="Z75" s="301">
        <f t="shared" si="50"/>
        <v>1.327728</v>
      </c>
    </row>
    <row r="76" spans="2:26" s="297" customFormat="1" ht="12" customHeight="1">
      <c r="B76" s="320"/>
      <c r="C76" s="295" t="s">
        <v>77</v>
      </c>
      <c r="D76" s="298">
        <f t="shared" si="35"/>
        <v>1296.5993989999999</v>
      </c>
      <c r="E76" s="298">
        <f t="shared" si="36"/>
        <v>0.78073999999999999</v>
      </c>
      <c r="F76" s="298">
        <f t="shared" ref="F76:J76" si="79">F18</f>
        <v>213.157321</v>
      </c>
      <c r="G76" s="298">
        <f t="shared" si="79"/>
        <v>285.49907399999995</v>
      </c>
      <c r="H76" s="298">
        <f t="shared" si="79"/>
        <v>33.209914999999995</v>
      </c>
      <c r="I76" s="298">
        <f t="shared" si="79"/>
        <v>162.24549099999999</v>
      </c>
      <c r="J76" s="298">
        <f t="shared" si="79"/>
        <v>59.070962000000002</v>
      </c>
      <c r="K76" s="298">
        <f t="shared" si="38"/>
        <v>46.084910999999998</v>
      </c>
      <c r="L76" s="298">
        <f t="shared" ref="L76:O76" si="80">N18</f>
        <v>23.201160000000002</v>
      </c>
      <c r="M76" s="298">
        <f t="shared" si="80"/>
        <v>0</v>
      </c>
      <c r="N76" s="298">
        <f t="shared" si="80"/>
        <v>8.3212100000000007</v>
      </c>
      <c r="O76" s="298">
        <f t="shared" si="80"/>
        <v>25.567247999999999</v>
      </c>
      <c r="P76" s="298">
        <f t="shared" si="40"/>
        <v>98.561443000000011</v>
      </c>
      <c r="Q76" s="298">
        <f t="shared" si="41"/>
        <v>463.33569399999993</v>
      </c>
      <c r="R76" s="298">
        <f t="shared" si="42"/>
        <v>0</v>
      </c>
      <c r="S76" s="298">
        <f t="shared" si="43"/>
        <v>319.54544599999997</v>
      </c>
      <c r="T76" s="298">
        <f t="shared" si="44"/>
        <v>122.90475000000001</v>
      </c>
      <c r="U76" s="298">
        <f t="shared" si="45"/>
        <v>20.885497999999998</v>
      </c>
      <c r="V76" s="298">
        <f t="shared" si="46"/>
        <v>16.131397</v>
      </c>
      <c r="W76" s="298">
        <f t="shared" si="47"/>
        <v>8.7370199999999993</v>
      </c>
      <c r="X76" s="298">
        <f t="shared" si="48"/>
        <v>7.3943770000000004</v>
      </c>
      <c r="Y76" s="298">
        <f t="shared" si="49"/>
        <v>23.678324</v>
      </c>
      <c r="Z76" s="301">
        <f t="shared" si="50"/>
        <v>0.78073999999999999</v>
      </c>
    </row>
    <row r="77" spans="2:26" s="297" customFormat="1" ht="12" customHeight="1">
      <c r="B77" s="320"/>
      <c r="C77" s="295" t="s">
        <v>78</v>
      </c>
      <c r="D77" s="298">
        <f t="shared" si="35"/>
        <v>406.62935899999997</v>
      </c>
      <c r="E77" s="298">
        <f t="shared" si="36"/>
        <v>4.4745E-2</v>
      </c>
      <c r="F77" s="298">
        <f t="shared" ref="F77:J77" si="81">F19</f>
        <v>97.945571000000001</v>
      </c>
      <c r="G77" s="298">
        <f t="shared" si="81"/>
        <v>273.88802999999996</v>
      </c>
      <c r="H77" s="298">
        <f t="shared" si="81"/>
        <v>2.9544630000000001</v>
      </c>
      <c r="I77" s="298">
        <f t="shared" si="81"/>
        <v>15.728436000000002</v>
      </c>
      <c r="J77" s="298">
        <f t="shared" si="81"/>
        <v>3.6308370000000001</v>
      </c>
      <c r="K77" s="298">
        <f t="shared" si="38"/>
        <v>3.6308370000000001</v>
      </c>
      <c r="L77" s="298">
        <f t="shared" ref="L77:O77" si="82">N19</f>
        <v>3.6308370000000001</v>
      </c>
      <c r="M77" s="298">
        <f t="shared" si="82"/>
        <v>0</v>
      </c>
      <c r="N77" s="298">
        <f t="shared" si="82"/>
        <v>1.2050880000000002</v>
      </c>
      <c r="O77" s="298">
        <f t="shared" si="82"/>
        <v>3.6308370000000001</v>
      </c>
      <c r="P77" s="298">
        <f t="shared" si="40"/>
        <v>0</v>
      </c>
      <c r="Q77" s="298">
        <f t="shared" si="41"/>
        <v>8.3496360000000003</v>
      </c>
      <c r="R77" s="298">
        <f t="shared" si="42"/>
        <v>0</v>
      </c>
      <c r="S77" s="298">
        <f t="shared" si="43"/>
        <v>2.6088400000000003</v>
      </c>
      <c r="T77" s="298">
        <f t="shared" si="44"/>
        <v>3.0871459999999997</v>
      </c>
      <c r="U77" s="298">
        <f t="shared" si="45"/>
        <v>2.6536499999999998</v>
      </c>
      <c r="V77" s="298">
        <f t="shared" si="46"/>
        <v>3.7414260000000001</v>
      </c>
      <c r="W77" s="298">
        <f t="shared" si="47"/>
        <v>3.7414260000000001</v>
      </c>
      <c r="X77" s="298">
        <f t="shared" si="48"/>
        <v>0</v>
      </c>
      <c r="Y77" s="298">
        <f t="shared" si="49"/>
        <v>3.9770519999999996</v>
      </c>
      <c r="Z77" s="301">
        <f t="shared" si="50"/>
        <v>4.4745E-2</v>
      </c>
    </row>
    <row r="78" spans="2:26" s="297" customFormat="1" ht="12" customHeight="1">
      <c r="B78" s="320"/>
      <c r="C78" s="295" t="s">
        <v>79</v>
      </c>
      <c r="D78" s="298">
        <f t="shared" si="35"/>
        <v>518.06017499999996</v>
      </c>
      <c r="E78" s="298">
        <f t="shared" si="36"/>
        <v>-0.60740000000000005</v>
      </c>
      <c r="F78" s="298">
        <f t="shared" ref="F78:J78" si="83">F20</f>
        <v>105.319222</v>
      </c>
      <c r="G78" s="298">
        <f t="shared" si="83"/>
        <v>205.68893300000002</v>
      </c>
      <c r="H78" s="298">
        <f t="shared" si="83"/>
        <v>8.7161109999999979</v>
      </c>
      <c r="I78" s="298">
        <f t="shared" si="83"/>
        <v>43.726519999999994</v>
      </c>
      <c r="J78" s="298">
        <f t="shared" si="83"/>
        <v>13.623926999999998</v>
      </c>
      <c r="K78" s="298">
        <f t="shared" si="38"/>
        <v>6.9514549999999993</v>
      </c>
      <c r="L78" s="298">
        <f t="shared" ref="L78:O78" si="84">N20</f>
        <v>5.189838</v>
      </c>
      <c r="M78" s="298">
        <f t="shared" si="84"/>
        <v>0</v>
      </c>
      <c r="N78" s="298">
        <f t="shared" si="84"/>
        <v>10.270717999999999</v>
      </c>
      <c r="O78" s="298">
        <f t="shared" si="84"/>
        <v>7.6905819999999991</v>
      </c>
      <c r="P78" s="298">
        <f t="shared" si="40"/>
        <v>9.2179650000000013</v>
      </c>
      <c r="Q78" s="298">
        <f t="shared" si="41"/>
        <v>132.04042400000003</v>
      </c>
      <c r="R78" s="298">
        <f t="shared" si="42"/>
        <v>0</v>
      </c>
      <c r="S78" s="298">
        <f t="shared" si="43"/>
        <v>124.578577</v>
      </c>
      <c r="T78" s="298">
        <f t="shared" si="44"/>
        <v>4.0672110000000004</v>
      </c>
      <c r="U78" s="298">
        <f t="shared" si="45"/>
        <v>3.3946360000000002</v>
      </c>
      <c r="V78" s="298">
        <f t="shared" si="46"/>
        <v>3.641572</v>
      </c>
      <c r="W78" s="298">
        <f t="shared" si="47"/>
        <v>2.9416290000000003</v>
      </c>
      <c r="X78" s="298">
        <f t="shared" si="48"/>
        <v>0.69994299999999998</v>
      </c>
      <c r="Y78" s="298">
        <f t="shared" si="49"/>
        <v>10.316827999999999</v>
      </c>
      <c r="Z78" s="301">
        <f t="shared" si="50"/>
        <v>4.4000000000000003E-3</v>
      </c>
    </row>
    <row r="79" spans="2:26" s="297" customFormat="1" ht="12" customHeight="1">
      <c r="B79" s="320"/>
      <c r="C79" s="295" t="s">
        <v>80</v>
      </c>
      <c r="D79" s="298">
        <f t="shared" si="35"/>
        <v>521.28261500000008</v>
      </c>
      <c r="E79" s="298">
        <f t="shared" si="36"/>
        <v>0.75185100000000005</v>
      </c>
      <c r="F79" s="298">
        <f t="shared" ref="F79:J79" si="85">F21</f>
        <v>107.25046999999999</v>
      </c>
      <c r="G79" s="298">
        <f t="shared" si="85"/>
        <v>199.42371200000005</v>
      </c>
      <c r="H79" s="298">
        <f t="shared" si="85"/>
        <v>8.5495680000000007</v>
      </c>
      <c r="I79" s="298">
        <f t="shared" si="85"/>
        <v>17.681550000000001</v>
      </c>
      <c r="J79" s="298">
        <f t="shared" si="85"/>
        <v>2.6762929999999998</v>
      </c>
      <c r="K79" s="298">
        <f t="shared" si="38"/>
        <v>3.6578889999999995</v>
      </c>
      <c r="L79" s="298">
        <f t="shared" ref="L79:O79" si="86">N21</f>
        <v>3.6562010000000003</v>
      </c>
      <c r="M79" s="298">
        <f t="shared" si="86"/>
        <v>0</v>
      </c>
      <c r="N79" s="298">
        <f t="shared" si="86"/>
        <v>6.2231690000000004</v>
      </c>
      <c r="O79" s="298">
        <f t="shared" si="86"/>
        <v>1.4679979999999999</v>
      </c>
      <c r="P79" s="298">
        <f t="shared" si="40"/>
        <v>13.472095000000001</v>
      </c>
      <c r="Q79" s="298">
        <f t="shared" si="41"/>
        <v>166.77304799999999</v>
      </c>
      <c r="R79" s="298">
        <f t="shared" si="42"/>
        <v>0</v>
      </c>
      <c r="S79" s="298">
        <f t="shared" si="43"/>
        <v>143.33742599999997</v>
      </c>
      <c r="T79" s="298">
        <f t="shared" si="44"/>
        <v>20.983652999999997</v>
      </c>
      <c r="U79" s="298">
        <f t="shared" si="45"/>
        <v>2.4519690000000001</v>
      </c>
      <c r="V79" s="298">
        <f t="shared" si="46"/>
        <v>3.3482119999999997</v>
      </c>
      <c r="W79" s="298">
        <f t="shared" si="47"/>
        <v>3.1858379999999999</v>
      </c>
      <c r="X79" s="298">
        <f t="shared" si="48"/>
        <v>0.16237400000000002</v>
      </c>
      <c r="Y79" s="298">
        <f t="shared" si="49"/>
        <v>4.0321090000000002</v>
      </c>
      <c r="Z79" s="301">
        <f t="shared" si="50"/>
        <v>0.75185100000000005</v>
      </c>
    </row>
    <row r="80" spans="2:26" s="297" customFormat="1" ht="12" customHeight="1">
      <c r="B80" s="320"/>
      <c r="C80" s="295" t="s">
        <v>81</v>
      </c>
      <c r="D80" s="298">
        <f t="shared" si="35"/>
        <v>210.44870800000001</v>
      </c>
      <c r="E80" s="298">
        <f t="shared" si="36"/>
        <v>0.145013</v>
      </c>
      <c r="F80" s="298">
        <f t="shared" ref="F80:J80" si="87">F22</f>
        <v>27.113146999999998</v>
      </c>
      <c r="G80" s="298">
        <f t="shared" si="87"/>
        <v>111.77741599999999</v>
      </c>
      <c r="H80" s="298">
        <f t="shared" si="87"/>
        <v>4.1606730000000001</v>
      </c>
      <c r="I80" s="298">
        <f t="shared" si="87"/>
        <v>2.9740119999999997</v>
      </c>
      <c r="J80" s="298">
        <f t="shared" si="87"/>
        <v>2.7964910000000001</v>
      </c>
      <c r="K80" s="298">
        <f t="shared" si="38"/>
        <v>0.42468299999999998</v>
      </c>
      <c r="L80" s="298">
        <f t="shared" ref="L80:O80" si="88">N22</f>
        <v>2.3413999999999997E-2</v>
      </c>
      <c r="M80" s="298">
        <f t="shared" si="88"/>
        <v>0</v>
      </c>
      <c r="N80" s="298">
        <f t="shared" si="88"/>
        <v>-0.64656000000000013</v>
      </c>
      <c r="O80" s="298">
        <f t="shared" si="88"/>
        <v>0.37598399999999998</v>
      </c>
      <c r="P80" s="298">
        <f t="shared" si="40"/>
        <v>1.9716320000000001</v>
      </c>
      <c r="Q80" s="298">
        <f t="shared" si="41"/>
        <v>60.138298999999996</v>
      </c>
      <c r="R80" s="298">
        <f t="shared" si="42"/>
        <v>0</v>
      </c>
      <c r="S80" s="298">
        <f t="shared" si="43"/>
        <v>52.617024000000001</v>
      </c>
      <c r="T80" s="298">
        <f t="shared" si="44"/>
        <v>6.1920080000000004</v>
      </c>
      <c r="U80" s="298">
        <f t="shared" si="45"/>
        <v>1.329267</v>
      </c>
      <c r="V80" s="298">
        <f t="shared" si="46"/>
        <v>1.5695760000000001</v>
      </c>
      <c r="W80" s="298">
        <f t="shared" si="47"/>
        <v>1.5695760000000001</v>
      </c>
      <c r="X80" s="298">
        <f t="shared" si="48"/>
        <v>0</v>
      </c>
      <c r="Y80" s="298">
        <f t="shared" si="49"/>
        <v>0.59893999999999992</v>
      </c>
      <c r="Z80" s="301">
        <f t="shared" si="50"/>
        <v>0.145013</v>
      </c>
    </row>
    <row r="81" spans="2:26" s="297" customFormat="1" ht="12" customHeight="1">
      <c r="B81" s="320"/>
      <c r="C81" s="294" t="s">
        <v>82</v>
      </c>
      <c r="D81" s="298">
        <f t="shared" si="35"/>
        <v>546.36110099999996</v>
      </c>
      <c r="E81" s="298">
        <f t="shared" si="36"/>
        <v>0.124297</v>
      </c>
      <c r="F81" s="298">
        <f t="shared" ref="F81:J81" si="89">F23</f>
        <v>222.15723199999999</v>
      </c>
      <c r="G81" s="298">
        <f t="shared" si="89"/>
        <v>240.37952099999998</v>
      </c>
      <c r="H81" s="298">
        <f t="shared" si="89"/>
        <v>7.3152229999999996</v>
      </c>
      <c r="I81" s="298">
        <f t="shared" si="89"/>
        <v>20.722985000000001</v>
      </c>
      <c r="J81" s="298">
        <f t="shared" si="89"/>
        <v>5.9273550000000004</v>
      </c>
      <c r="K81" s="298">
        <f t="shared" si="38"/>
        <v>5.1233639999999996</v>
      </c>
      <c r="L81" s="298">
        <f t="shared" ref="L81:O81" si="90">N23</f>
        <v>3.1648719999999999</v>
      </c>
      <c r="M81" s="298">
        <f t="shared" si="90"/>
        <v>0</v>
      </c>
      <c r="N81" s="298">
        <f t="shared" si="90"/>
        <v>2.0705310000000003</v>
      </c>
      <c r="O81" s="298">
        <f t="shared" si="90"/>
        <v>4.4368629999999998</v>
      </c>
      <c r="P81" s="298">
        <f t="shared" si="40"/>
        <v>8.8957809999999995</v>
      </c>
      <c r="Q81" s="298">
        <f t="shared" si="41"/>
        <v>32.312115000000006</v>
      </c>
      <c r="R81" s="298">
        <f t="shared" si="42"/>
        <v>0</v>
      </c>
      <c r="S81" s="298">
        <f t="shared" si="43"/>
        <v>0.442</v>
      </c>
      <c r="T81" s="298">
        <f t="shared" si="44"/>
        <v>29.318383000000001</v>
      </c>
      <c r="U81" s="298">
        <f t="shared" si="45"/>
        <v>2.5517319999999999</v>
      </c>
      <c r="V81" s="298">
        <f t="shared" si="46"/>
        <v>6.2403779999999998</v>
      </c>
      <c r="W81" s="298">
        <f t="shared" si="47"/>
        <v>2.858832</v>
      </c>
      <c r="X81" s="298">
        <f t="shared" si="48"/>
        <v>3.3815459999999997</v>
      </c>
      <c r="Y81" s="298">
        <f t="shared" si="49"/>
        <v>8.2135689999999997</v>
      </c>
      <c r="Z81" s="301">
        <f t="shared" si="50"/>
        <v>0.124297</v>
      </c>
    </row>
    <row r="82" spans="2:26" s="297" customFormat="1" ht="12" customHeight="1">
      <c r="B82" s="320"/>
      <c r="C82" s="295" t="s">
        <v>83</v>
      </c>
      <c r="D82" s="298">
        <f t="shared" si="35"/>
        <v>163.06842599999999</v>
      </c>
      <c r="E82" s="298">
        <f t="shared" si="36"/>
        <v>0</v>
      </c>
      <c r="F82" s="298">
        <f t="shared" ref="F82:J82" si="91">F24</f>
        <v>158.41706299999998</v>
      </c>
      <c r="G82" s="298">
        <f t="shared" si="91"/>
        <v>0.87777799999999984</v>
      </c>
      <c r="H82" s="298">
        <f t="shared" si="91"/>
        <v>0</v>
      </c>
      <c r="I82" s="298">
        <f t="shared" si="91"/>
        <v>0</v>
      </c>
      <c r="J82" s="298">
        <f t="shared" si="91"/>
        <v>0</v>
      </c>
      <c r="K82" s="298">
        <f t="shared" si="38"/>
        <v>0</v>
      </c>
      <c r="L82" s="298">
        <f t="shared" ref="L82:O82" si="92">N24</f>
        <v>0</v>
      </c>
      <c r="M82" s="298">
        <f t="shared" si="92"/>
        <v>0</v>
      </c>
      <c r="N82" s="298">
        <f t="shared" si="92"/>
        <v>0</v>
      </c>
      <c r="O82" s="298">
        <f t="shared" si="92"/>
        <v>0</v>
      </c>
      <c r="P82" s="298">
        <f t="shared" si="40"/>
        <v>3.7735849999999997</v>
      </c>
      <c r="Q82" s="298">
        <f t="shared" si="41"/>
        <v>0</v>
      </c>
      <c r="R82" s="298">
        <f t="shared" si="42"/>
        <v>0</v>
      </c>
      <c r="S82" s="298">
        <f t="shared" si="43"/>
        <v>0</v>
      </c>
      <c r="T82" s="298">
        <f t="shared" si="44"/>
        <v>0</v>
      </c>
      <c r="U82" s="298">
        <f t="shared" si="45"/>
        <v>0</v>
      </c>
      <c r="V82" s="298">
        <f t="shared" si="46"/>
        <v>0</v>
      </c>
      <c r="W82" s="298">
        <f t="shared" si="47"/>
        <v>0</v>
      </c>
      <c r="X82" s="298">
        <f t="shared" si="48"/>
        <v>0</v>
      </c>
      <c r="Y82" s="298">
        <f t="shared" si="49"/>
        <v>0</v>
      </c>
      <c r="Z82" s="301">
        <f t="shared" si="50"/>
        <v>0</v>
      </c>
    </row>
    <row r="83" spans="2:26" s="297" customFormat="1" ht="12" customHeight="1">
      <c r="B83" s="320"/>
      <c r="C83" s="295" t="s">
        <v>84</v>
      </c>
      <c r="D83" s="298">
        <f t="shared" si="35"/>
        <v>836.46872899999983</v>
      </c>
      <c r="E83" s="298">
        <f t="shared" si="36"/>
        <v>-2880.9643679999999</v>
      </c>
      <c r="F83" s="298">
        <f t="shared" ref="F83:J83" si="93">F25</f>
        <v>98.469672000000003</v>
      </c>
      <c r="G83" s="298">
        <f t="shared" si="93"/>
        <v>3617.7593859999997</v>
      </c>
      <c r="H83" s="298">
        <f t="shared" si="93"/>
        <v>0</v>
      </c>
      <c r="I83" s="298">
        <f t="shared" si="93"/>
        <v>0</v>
      </c>
      <c r="J83" s="298">
        <f t="shared" si="93"/>
        <v>0</v>
      </c>
      <c r="K83" s="298">
        <f t="shared" si="38"/>
        <v>0</v>
      </c>
      <c r="L83" s="298">
        <f t="shared" ref="L83:O83" si="94">N25</f>
        <v>0</v>
      </c>
      <c r="M83" s="298">
        <f t="shared" si="94"/>
        <v>0</v>
      </c>
      <c r="N83" s="298">
        <f t="shared" si="94"/>
        <v>0</v>
      </c>
      <c r="O83" s="298">
        <f t="shared" si="94"/>
        <v>0</v>
      </c>
      <c r="P83" s="298">
        <f t="shared" si="40"/>
        <v>0</v>
      </c>
      <c r="Q83" s="298">
        <f t="shared" si="41"/>
        <v>0.53200000000000003</v>
      </c>
      <c r="R83" s="298">
        <f t="shared" si="42"/>
        <v>0</v>
      </c>
      <c r="S83" s="298">
        <f t="shared" si="43"/>
        <v>0.152</v>
      </c>
      <c r="T83" s="298">
        <f t="shared" si="44"/>
        <v>0</v>
      </c>
      <c r="U83" s="298">
        <f t="shared" si="45"/>
        <v>0.38</v>
      </c>
      <c r="V83" s="298">
        <f t="shared" si="46"/>
        <v>0.67203900000000005</v>
      </c>
      <c r="W83" s="298">
        <f t="shared" si="47"/>
        <v>0.67203900000000005</v>
      </c>
      <c r="X83" s="298">
        <f t="shared" si="48"/>
        <v>0</v>
      </c>
      <c r="Y83" s="298">
        <f t="shared" si="49"/>
        <v>0</v>
      </c>
      <c r="Z83" s="301">
        <f t="shared" si="50"/>
        <v>0</v>
      </c>
    </row>
    <row r="84" spans="2:26" s="297" customFormat="1" ht="12" customHeight="1">
      <c r="B84" s="320"/>
      <c r="C84" s="295" t="s">
        <v>85</v>
      </c>
      <c r="D84" s="298">
        <f t="shared" si="35"/>
        <v>633.94622000000015</v>
      </c>
      <c r="E84" s="298">
        <f t="shared" si="36"/>
        <v>0</v>
      </c>
      <c r="F84" s="298">
        <f t="shared" ref="F84:J84" si="95">F26</f>
        <v>0</v>
      </c>
      <c r="G84" s="298">
        <f t="shared" si="95"/>
        <v>620.03438200000016</v>
      </c>
      <c r="H84" s="298">
        <f t="shared" si="95"/>
        <v>0</v>
      </c>
      <c r="I84" s="298">
        <f t="shared" si="95"/>
        <v>13.712138000000001</v>
      </c>
      <c r="J84" s="298">
        <f t="shared" si="95"/>
        <v>0</v>
      </c>
      <c r="K84" s="298">
        <f t="shared" si="38"/>
        <v>0</v>
      </c>
      <c r="L84" s="298">
        <f t="shared" ref="L84:O84" si="96">N26</f>
        <v>13.712138000000001</v>
      </c>
      <c r="M84" s="298">
        <f t="shared" si="96"/>
        <v>0</v>
      </c>
      <c r="N84" s="298">
        <f t="shared" si="96"/>
        <v>0</v>
      </c>
      <c r="O84" s="298">
        <f t="shared" si="96"/>
        <v>0</v>
      </c>
      <c r="P84" s="298">
        <f t="shared" si="40"/>
        <v>0</v>
      </c>
      <c r="Q84" s="298">
        <f t="shared" si="41"/>
        <v>0.19969999999999999</v>
      </c>
      <c r="R84" s="298">
        <f t="shared" si="42"/>
        <v>0</v>
      </c>
      <c r="S84" s="298">
        <f t="shared" si="43"/>
        <v>0</v>
      </c>
      <c r="T84" s="298">
        <f t="shared" si="44"/>
        <v>0.19969999999999999</v>
      </c>
      <c r="U84" s="298">
        <f t="shared" si="45"/>
        <v>0</v>
      </c>
      <c r="V84" s="298">
        <f t="shared" si="46"/>
        <v>0</v>
      </c>
      <c r="W84" s="298">
        <f t="shared" si="47"/>
        <v>0</v>
      </c>
      <c r="X84" s="298">
        <f t="shared" si="48"/>
        <v>0</v>
      </c>
      <c r="Y84" s="298">
        <f t="shared" si="49"/>
        <v>0</v>
      </c>
      <c r="Z84" s="301">
        <f t="shared" si="50"/>
        <v>0</v>
      </c>
    </row>
    <row r="85" spans="2:26" s="297" customFormat="1" ht="12" customHeight="1">
      <c r="B85" s="320"/>
      <c r="C85" s="295" t="s">
        <v>86</v>
      </c>
      <c r="D85" s="298">
        <f t="shared" si="35"/>
        <v>398.98657900000001</v>
      </c>
      <c r="E85" s="298">
        <f t="shared" si="36"/>
        <v>0</v>
      </c>
      <c r="F85" s="298">
        <f t="shared" ref="F85:J85" si="97">F27</f>
        <v>36.885580000000004</v>
      </c>
      <c r="G85" s="298">
        <f t="shared" si="97"/>
        <v>180.25320499999998</v>
      </c>
      <c r="H85" s="298">
        <f t="shared" si="97"/>
        <v>21.754742999999998</v>
      </c>
      <c r="I85" s="298">
        <f t="shared" si="97"/>
        <v>83.227025999999995</v>
      </c>
      <c r="J85" s="298">
        <f t="shared" si="97"/>
        <v>17.838794</v>
      </c>
      <c r="K85" s="298">
        <f t="shared" si="38"/>
        <v>18.463642999999998</v>
      </c>
      <c r="L85" s="298">
        <f t="shared" ref="L85:O85" si="98">N27</f>
        <v>12.016163000000001</v>
      </c>
      <c r="M85" s="298">
        <f t="shared" si="98"/>
        <v>0</v>
      </c>
      <c r="N85" s="298">
        <f t="shared" si="98"/>
        <v>2.8264999999999998</v>
      </c>
      <c r="O85" s="298">
        <f t="shared" si="98"/>
        <v>32.081926000000003</v>
      </c>
      <c r="P85" s="298">
        <f t="shared" si="40"/>
        <v>2.2965</v>
      </c>
      <c r="Q85" s="298">
        <f t="shared" si="41"/>
        <v>6.9164000000000003</v>
      </c>
      <c r="R85" s="298">
        <f t="shared" si="42"/>
        <v>0</v>
      </c>
      <c r="S85" s="298">
        <f t="shared" si="43"/>
        <v>2.4500999999999999</v>
      </c>
      <c r="T85" s="298">
        <f t="shared" si="44"/>
        <v>2.4500999999999999</v>
      </c>
      <c r="U85" s="298">
        <f t="shared" si="45"/>
        <v>2.0162</v>
      </c>
      <c r="V85" s="298">
        <f t="shared" si="46"/>
        <v>1.5822000000000001</v>
      </c>
      <c r="W85" s="298">
        <f t="shared" si="47"/>
        <v>0</v>
      </c>
      <c r="X85" s="298">
        <f t="shared" si="48"/>
        <v>1.5822000000000001</v>
      </c>
      <c r="Y85" s="298">
        <f t="shared" si="49"/>
        <v>66.070925000000003</v>
      </c>
      <c r="Z85" s="301">
        <f t="shared" si="50"/>
        <v>0</v>
      </c>
    </row>
    <row r="86" spans="2:26" s="297" customFormat="1" ht="12" customHeight="1">
      <c r="B86" s="320"/>
      <c r="C86" s="295" t="s">
        <v>87</v>
      </c>
      <c r="D86" s="298">
        <f t="shared" si="35"/>
        <v>234.11108199999998</v>
      </c>
      <c r="E86" s="298">
        <f t="shared" si="36"/>
        <v>0</v>
      </c>
      <c r="F86" s="298">
        <f t="shared" ref="F86:J86" si="99">F28</f>
        <v>28.402479</v>
      </c>
      <c r="G86" s="298">
        <f t="shared" si="99"/>
        <v>191.60936799999996</v>
      </c>
      <c r="H86" s="298">
        <f t="shared" si="99"/>
        <v>1.6935719999999999</v>
      </c>
      <c r="I86" s="298">
        <f t="shared" si="99"/>
        <v>7.7835479999999997</v>
      </c>
      <c r="J86" s="298">
        <f t="shared" si="99"/>
        <v>1.8926199999999997</v>
      </c>
      <c r="K86" s="298">
        <f t="shared" si="38"/>
        <v>2.1494119999999999</v>
      </c>
      <c r="L86" s="298">
        <f t="shared" ref="L86:O86" si="100">N28</f>
        <v>1.8926199999999997</v>
      </c>
      <c r="M86" s="298">
        <f t="shared" si="100"/>
        <v>0</v>
      </c>
      <c r="N86" s="298">
        <f t="shared" si="100"/>
        <v>-0.19786199999999998</v>
      </c>
      <c r="O86" s="298">
        <f t="shared" si="100"/>
        <v>2.0467579999999996</v>
      </c>
      <c r="P86" s="298">
        <f t="shared" si="40"/>
        <v>0</v>
      </c>
      <c r="Q86" s="298">
        <f t="shared" si="41"/>
        <v>0</v>
      </c>
      <c r="R86" s="298">
        <f t="shared" si="42"/>
        <v>0</v>
      </c>
      <c r="S86" s="298">
        <f t="shared" si="43"/>
        <v>0</v>
      </c>
      <c r="T86" s="298">
        <f t="shared" si="44"/>
        <v>0</v>
      </c>
      <c r="U86" s="298">
        <f t="shared" si="45"/>
        <v>0</v>
      </c>
      <c r="V86" s="298">
        <f t="shared" si="46"/>
        <v>3.0053860000000001</v>
      </c>
      <c r="W86" s="298">
        <f t="shared" si="47"/>
        <v>3.0053860000000001</v>
      </c>
      <c r="X86" s="298">
        <f t="shared" si="48"/>
        <v>0</v>
      </c>
      <c r="Y86" s="298">
        <f t="shared" si="49"/>
        <v>1.6167290000000001</v>
      </c>
      <c r="Z86" s="301">
        <f t="shared" si="50"/>
        <v>0</v>
      </c>
    </row>
    <row r="87" spans="2:26" s="297" customFormat="1" ht="12" customHeight="1">
      <c r="B87" s="320"/>
      <c r="C87" s="295" t="s">
        <v>88</v>
      </c>
      <c r="D87" s="298">
        <f t="shared" si="35"/>
        <v>262.96628799999996</v>
      </c>
      <c r="E87" s="298">
        <f t="shared" si="36"/>
        <v>0</v>
      </c>
      <c r="F87" s="298">
        <f t="shared" ref="F87:J87" si="101">F29</f>
        <v>85.506582000000009</v>
      </c>
      <c r="G87" s="298">
        <f t="shared" si="101"/>
        <v>134.10118099999997</v>
      </c>
      <c r="H87" s="298">
        <f t="shared" si="101"/>
        <v>0</v>
      </c>
      <c r="I87" s="298">
        <f t="shared" si="101"/>
        <v>38.058679999999995</v>
      </c>
      <c r="J87" s="298">
        <f t="shared" si="101"/>
        <v>37.270000000000003</v>
      </c>
      <c r="K87" s="298">
        <f t="shared" si="38"/>
        <v>0.78867999999999994</v>
      </c>
      <c r="L87" s="298">
        <f t="shared" ref="L87:O87" si="102">N29</f>
        <v>0</v>
      </c>
      <c r="M87" s="298">
        <f t="shared" si="102"/>
        <v>0</v>
      </c>
      <c r="N87" s="298">
        <f t="shared" si="102"/>
        <v>0</v>
      </c>
      <c r="O87" s="298">
        <f t="shared" si="102"/>
        <v>0</v>
      </c>
      <c r="P87" s="298">
        <f t="shared" si="40"/>
        <v>0</v>
      </c>
      <c r="Q87" s="298">
        <f t="shared" si="41"/>
        <v>0.29299999999999998</v>
      </c>
      <c r="R87" s="298">
        <f t="shared" si="42"/>
        <v>0</v>
      </c>
      <c r="S87" s="298">
        <f t="shared" si="43"/>
        <v>0.29299999999999998</v>
      </c>
      <c r="T87" s="298">
        <f t="shared" si="44"/>
        <v>0</v>
      </c>
      <c r="U87" s="298">
        <f t="shared" si="45"/>
        <v>0</v>
      </c>
      <c r="V87" s="298">
        <f t="shared" si="46"/>
        <v>0.72547200000000001</v>
      </c>
      <c r="W87" s="298">
        <f t="shared" si="47"/>
        <v>0</v>
      </c>
      <c r="X87" s="298">
        <f t="shared" si="48"/>
        <v>0.72547200000000001</v>
      </c>
      <c r="Y87" s="298">
        <f t="shared" si="49"/>
        <v>4.2813730000000003</v>
      </c>
      <c r="Z87" s="301">
        <f t="shared" si="50"/>
        <v>0</v>
      </c>
    </row>
    <row r="88" spans="2:26" s="297" customFormat="1" ht="12" customHeight="1">
      <c r="B88" s="320"/>
      <c r="C88" s="295" t="s">
        <v>89</v>
      </c>
      <c r="D88" s="298">
        <f t="shared" si="35"/>
        <v>109.22375999999998</v>
      </c>
      <c r="E88" s="298">
        <f t="shared" si="36"/>
        <v>0</v>
      </c>
      <c r="F88" s="298">
        <f t="shared" ref="F88:J88" si="103">F30</f>
        <v>12.956904999999999</v>
      </c>
      <c r="G88" s="298">
        <f t="shared" si="103"/>
        <v>65.302250999999998</v>
      </c>
      <c r="H88" s="298">
        <f t="shared" si="103"/>
        <v>0.75488700000000009</v>
      </c>
      <c r="I88" s="298">
        <f t="shared" si="103"/>
        <v>1.3862099999999999</v>
      </c>
      <c r="J88" s="298">
        <f t="shared" si="103"/>
        <v>1.0126999999999999</v>
      </c>
      <c r="K88" s="298">
        <f t="shared" si="38"/>
        <v>3.6600000000000001E-2</v>
      </c>
      <c r="L88" s="298">
        <f t="shared" ref="L88:O88" si="104">N30</f>
        <v>0.1273</v>
      </c>
      <c r="M88" s="298">
        <f t="shared" si="104"/>
        <v>0</v>
      </c>
      <c r="N88" s="298">
        <f t="shared" si="104"/>
        <v>-1.0190000000000001E-2</v>
      </c>
      <c r="O88" s="298">
        <f t="shared" si="104"/>
        <v>0.2198</v>
      </c>
      <c r="P88" s="298">
        <f t="shared" si="40"/>
        <v>4.1479439999999999</v>
      </c>
      <c r="Q88" s="298">
        <f t="shared" si="41"/>
        <v>23.332233000000002</v>
      </c>
      <c r="R88" s="298">
        <f t="shared" si="42"/>
        <v>0</v>
      </c>
      <c r="S88" s="298">
        <f t="shared" si="43"/>
        <v>18.072427999999999</v>
      </c>
      <c r="T88" s="298">
        <f t="shared" si="44"/>
        <v>4.3085319999999996</v>
      </c>
      <c r="U88" s="298">
        <f t="shared" si="45"/>
        <v>0.95127299999999992</v>
      </c>
      <c r="V88" s="298">
        <f t="shared" si="46"/>
        <v>1.2768389999999998</v>
      </c>
      <c r="W88" s="298">
        <f t="shared" si="47"/>
        <v>1.256839</v>
      </c>
      <c r="X88" s="298">
        <f t="shared" si="48"/>
        <v>0.02</v>
      </c>
      <c r="Y88" s="298">
        <f t="shared" si="49"/>
        <v>6.6490999999999995E-2</v>
      </c>
      <c r="Z88" s="301">
        <f t="shared" si="50"/>
        <v>0</v>
      </c>
    </row>
    <row r="89" spans="2:26" s="297" customFormat="1" ht="12" customHeight="1">
      <c r="B89" s="320"/>
      <c r="C89" s="295" t="s">
        <v>90</v>
      </c>
      <c r="D89" s="298">
        <f t="shared" si="35"/>
        <v>334.22944699999999</v>
      </c>
      <c r="E89" s="298">
        <f t="shared" si="36"/>
        <v>1.8</v>
      </c>
      <c r="F89" s="298">
        <f t="shared" ref="F89:J89" si="105">F31</f>
        <v>126.53048499999997</v>
      </c>
      <c r="G89" s="298">
        <f t="shared" si="105"/>
        <v>162.18666899999999</v>
      </c>
      <c r="H89" s="298">
        <f t="shared" si="105"/>
        <v>1.314964</v>
      </c>
      <c r="I89" s="298">
        <f t="shared" si="105"/>
        <v>18.448902999999998</v>
      </c>
      <c r="J89" s="298">
        <f t="shared" si="105"/>
        <v>3.3937999999999997</v>
      </c>
      <c r="K89" s="298">
        <f t="shared" si="38"/>
        <v>-1.1255040000000001</v>
      </c>
      <c r="L89" s="298">
        <f t="shared" ref="L89:O89" si="106">N31</f>
        <v>0.3050750000000001</v>
      </c>
      <c r="M89" s="298">
        <f t="shared" si="106"/>
        <v>0</v>
      </c>
      <c r="N89" s="298">
        <f t="shared" si="106"/>
        <v>15.250131999999999</v>
      </c>
      <c r="O89" s="298">
        <f t="shared" si="106"/>
        <v>0.62539999999999984</v>
      </c>
      <c r="P89" s="298">
        <f t="shared" si="40"/>
        <v>0.3214999999999999</v>
      </c>
      <c r="Q89" s="298">
        <f t="shared" si="41"/>
        <v>6.1857000000000006</v>
      </c>
      <c r="R89" s="298">
        <f t="shared" si="42"/>
        <v>0</v>
      </c>
      <c r="S89" s="298">
        <f t="shared" si="43"/>
        <v>1.9263000000000001</v>
      </c>
      <c r="T89" s="298">
        <f t="shared" si="44"/>
        <v>0.61460000000000004</v>
      </c>
      <c r="U89" s="298">
        <f t="shared" si="45"/>
        <v>3.6447999999999996</v>
      </c>
      <c r="V89" s="298">
        <f t="shared" si="46"/>
        <v>14.816265999999997</v>
      </c>
      <c r="W89" s="298">
        <f t="shared" si="47"/>
        <v>14.786086000000001</v>
      </c>
      <c r="X89" s="298">
        <f t="shared" si="48"/>
        <v>3.0179999999999985E-2</v>
      </c>
      <c r="Y89" s="298">
        <f t="shared" si="49"/>
        <v>2.6249599999999997</v>
      </c>
      <c r="Z89" s="301">
        <f t="shared" si="50"/>
        <v>0</v>
      </c>
    </row>
    <row r="90" spans="2:26" s="297" customFormat="1" ht="12" customHeight="1">
      <c r="B90" s="320"/>
      <c r="C90" s="295" t="s">
        <v>91</v>
      </c>
      <c r="D90" s="298">
        <f t="shared" si="35"/>
        <v>14.869280999999999</v>
      </c>
      <c r="E90" s="298">
        <f t="shared" si="36"/>
        <v>0</v>
      </c>
      <c r="F90" s="298">
        <f t="shared" ref="F90:J90" si="107">F32</f>
        <v>14.869280999999999</v>
      </c>
      <c r="G90" s="298">
        <f t="shared" si="107"/>
        <v>0</v>
      </c>
      <c r="H90" s="298">
        <f t="shared" si="107"/>
        <v>0</v>
      </c>
      <c r="I90" s="298">
        <f t="shared" si="107"/>
        <v>0</v>
      </c>
      <c r="J90" s="298">
        <f t="shared" si="107"/>
        <v>0</v>
      </c>
      <c r="K90" s="298">
        <f t="shared" si="38"/>
        <v>0</v>
      </c>
      <c r="L90" s="298">
        <f t="shared" ref="L90:O90" si="108">N32</f>
        <v>0</v>
      </c>
      <c r="M90" s="298">
        <f t="shared" si="108"/>
        <v>0</v>
      </c>
      <c r="N90" s="298">
        <f t="shared" si="108"/>
        <v>0</v>
      </c>
      <c r="O90" s="298">
        <f t="shared" si="108"/>
        <v>0</v>
      </c>
      <c r="P90" s="298">
        <f t="shared" si="40"/>
        <v>0</v>
      </c>
      <c r="Q90" s="298">
        <f t="shared" si="41"/>
        <v>0</v>
      </c>
      <c r="R90" s="298">
        <f t="shared" si="42"/>
        <v>0</v>
      </c>
      <c r="S90" s="298">
        <f t="shared" si="43"/>
        <v>0</v>
      </c>
      <c r="T90" s="298">
        <f t="shared" si="44"/>
        <v>0</v>
      </c>
      <c r="U90" s="298">
        <f t="shared" si="45"/>
        <v>0</v>
      </c>
      <c r="V90" s="298">
        <f t="shared" si="46"/>
        <v>0</v>
      </c>
      <c r="W90" s="298">
        <f t="shared" si="47"/>
        <v>0</v>
      </c>
      <c r="X90" s="298">
        <f t="shared" si="48"/>
        <v>0</v>
      </c>
      <c r="Y90" s="298">
        <f t="shared" si="49"/>
        <v>0</v>
      </c>
      <c r="Z90" s="301">
        <f t="shared" si="50"/>
        <v>0</v>
      </c>
    </row>
    <row r="91" spans="2:26" s="297" customFormat="1" ht="12" customHeight="1">
      <c r="B91" s="320"/>
      <c r="C91" s="295" t="s">
        <v>92</v>
      </c>
      <c r="D91" s="298">
        <f t="shared" si="35"/>
        <v>65.151127000000002</v>
      </c>
      <c r="E91" s="298">
        <f t="shared" si="36"/>
        <v>2.9111999999999999E-2</v>
      </c>
      <c r="F91" s="298">
        <f t="shared" ref="F91:J91" si="109">F33</f>
        <v>17.894249000000002</v>
      </c>
      <c r="G91" s="298">
        <f t="shared" si="109"/>
        <v>40.351877999999999</v>
      </c>
      <c r="H91" s="298">
        <f t="shared" si="109"/>
        <v>0</v>
      </c>
      <c r="I91" s="298">
        <f t="shared" si="109"/>
        <v>2.309688</v>
      </c>
      <c r="J91" s="298">
        <f t="shared" si="109"/>
        <v>0.47820000000000001</v>
      </c>
      <c r="K91" s="298">
        <f t="shared" si="38"/>
        <v>0.47820000000000001</v>
      </c>
      <c r="L91" s="298">
        <f t="shared" ref="L91:O91" si="110">N33</f>
        <v>0.47820000000000001</v>
      </c>
      <c r="M91" s="298">
        <f t="shared" si="110"/>
        <v>0</v>
      </c>
      <c r="N91" s="298">
        <f t="shared" si="110"/>
        <v>0.39688800000000002</v>
      </c>
      <c r="O91" s="298">
        <f t="shared" si="110"/>
        <v>0.47820000000000001</v>
      </c>
      <c r="P91" s="298">
        <f t="shared" si="40"/>
        <v>0</v>
      </c>
      <c r="Q91" s="298">
        <f t="shared" si="41"/>
        <v>4.5362</v>
      </c>
      <c r="R91" s="298">
        <f t="shared" si="42"/>
        <v>0</v>
      </c>
      <c r="S91" s="298">
        <f t="shared" si="43"/>
        <v>0.27610000000000001</v>
      </c>
      <c r="T91" s="298">
        <f t="shared" si="44"/>
        <v>0.39910000000000001</v>
      </c>
      <c r="U91" s="298">
        <f t="shared" si="45"/>
        <v>3.8610000000000002</v>
      </c>
      <c r="V91" s="298">
        <f t="shared" si="46"/>
        <v>0.03</v>
      </c>
      <c r="W91" s="298">
        <f t="shared" si="47"/>
        <v>0.03</v>
      </c>
      <c r="X91" s="298">
        <f t="shared" si="48"/>
        <v>0</v>
      </c>
      <c r="Y91" s="298">
        <f t="shared" si="49"/>
        <v>0</v>
      </c>
      <c r="Z91" s="301">
        <f t="shared" si="50"/>
        <v>2.9111999999999999E-2</v>
      </c>
    </row>
    <row r="92" spans="2:26" s="297" customFormat="1" ht="12" customHeight="1">
      <c r="B92" s="320"/>
      <c r="C92" s="295" t="s">
        <v>93</v>
      </c>
      <c r="D92" s="298">
        <f t="shared" si="35"/>
        <v>25.18807</v>
      </c>
      <c r="E92" s="298">
        <f t="shared" si="36"/>
        <v>0</v>
      </c>
      <c r="F92" s="298">
        <f t="shared" ref="F92:J92" si="111">F34</f>
        <v>5.5296930000000009</v>
      </c>
      <c r="G92" s="298">
        <f t="shared" si="111"/>
        <v>17.391131000000001</v>
      </c>
      <c r="H92" s="298">
        <f t="shared" si="111"/>
        <v>0.378</v>
      </c>
      <c r="I92" s="298">
        <f t="shared" si="111"/>
        <v>1.0452360000000001</v>
      </c>
      <c r="J92" s="298">
        <f t="shared" si="111"/>
        <v>0.2737</v>
      </c>
      <c r="K92" s="298">
        <f t="shared" si="38"/>
        <v>0.22348999999999997</v>
      </c>
      <c r="L92" s="298">
        <f t="shared" ref="L92:O92" si="112">N34</f>
        <v>4.3999999999999997E-2</v>
      </c>
      <c r="M92" s="298">
        <f t="shared" si="112"/>
        <v>0</v>
      </c>
      <c r="N92" s="298">
        <f t="shared" si="112"/>
        <v>0.32998</v>
      </c>
      <c r="O92" s="298">
        <f t="shared" si="112"/>
        <v>0.174066</v>
      </c>
      <c r="P92" s="298">
        <f t="shared" si="40"/>
        <v>0.1726</v>
      </c>
      <c r="Q92" s="298">
        <f t="shared" si="41"/>
        <v>0.60940000000000005</v>
      </c>
      <c r="R92" s="298">
        <f t="shared" si="42"/>
        <v>0</v>
      </c>
      <c r="S92" s="298">
        <f t="shared" si="43"/>
        <v>0.4486</v>
      </c>
      <c r="T92" s="298">
        <f t="shared" si="44"/>
        <v>0.1608</v>
      </c>
      <c r="U92" s="298">
        <f t="shared" si="45"/>
        <v>0</v>
      </c>
      <c r="V92" s="298">
        <f t="shared" si="46"/>
        <v>3.5720000000000002E-2</v>
      </c>
      <c r="W92" s="298">
        <f t="shared" si="47"/>
        <v>3.5720000000000002E-2</v>
      </c>
      <c r="X92" s="298">
        <f t="shared" si="48"/>
        <v>0</v>
      </c>
      <c r="Y92" s="298">
        <f t="shared" si="49"/>
        <v>2.6289999999999997E-2</v>
      </c>
      <c r="Z92" s="301">
        <f t="shared" si="50"/>
        <v>0</v>
      </c>
    </row>
    <row r="93" spans="2:26" s="297" customFormat="1" ht="12" customHeight="1">
      <c r="B93" s="320"/>
      <c r="C93" s="295" t="s">
        <v>94</v>
      </c>
      <c r="D93" s="298">
        <f t="shared" si="35"/>
        <v>105.14980700000001</v>
      </c>
      <c r="E93" s="298">
        <f t="shared" si="36"/>
        <v>2.214E-2</v>
      </c>
      <c r="F93" s="298">
        <f t="shared" ref="F93:J93" si="113">F35</f>
        <v>15.050960000000003</v>
      </c>
      <c r="G93" s="298">
        <f t="shared" si="113"/>
        <v>37.042940000000009</v>
      </c>
      <c r="H93" s="298">
        <f t="shared" si="113"/>
        <v>0.183196</v>
      </c>
      <c r="I93" s="298">
        <f t="shared" si="113"/>
        <v>11.195013000000001</v>
      </c>
      <c r="J93" s="298">
        <f t="shared" si="113"/>
        <v>1.4327859999999999</v>
      </c>
      <c r="K93" s="298">
        <f t="shared" si="38"/>
        <v>1.6209339999999999</v>
      </c>
      <c r="L93" s="298">
        <f t="shared" ref="L93:O93" si="114">N35</f>
        <v>5.5347570000000008</v>
      </c>
      <c r="M93" s="298">
        <f t="shared" si="114"/>
        <v>0</v>
      </c>
      <c r="N93" s="298">
        <f t="shared" si="114"/>
        <v>0.80402300000000015</v>
      </c>
      <c r="O93" s="298">
        <f t="shared" si="114"/>
        <v>1.802513</v>
      </c>
      <c r="P93" s="298">
        <f t="shared" si="40"/>
        <v>14.531683999999997</v>
      </c>
      <c r="Q93" s="298">
        <f t="shared" si="41"/>
        <v>23.783638999999997</v>
      </c>
      <c r="R93" s="298">
        <f t="shared" si="42"/>
        <v>0</v>
      </c>
      <c r="S93" s="298">
        <f t="shared" si="43"/>
        <v>16.108691</v>
      </c>
      <c r="T93" s="298">
        <f t="shared" si="44"/>
        <v>5.621308</v>
      </c>
      <c r="U93" s="298">
        <f t="shared" si="45"/>
        <v>2.0536400000000001</v>
      </c>
      <c r="V93" s="298">
        <f t="shared" si="46"/>
        <v>1.5011060000000001</v>
      </c>
      <c r="W93" s="298">
        <f t="shared" si="47"/>
        <v>0.90835100000000002</v>
      </c>
      <c r="X93" s="298">
        <f t="shared" si="48"/>
        <v>0.59275500000000003</v>
      </c>
      <c r="Y93" s="298">
        <f t="shared" si="49"/>
        <v>1.839129</v>
      </c>
      <c r="Z93" s="301">
        <f t="shared" si="50"/>
        <v>2.214E-2</v>
      </c>
    </row>
    <row r="94" spans="2:26" s="297" customFormat="1" ht="12" customHeight="1">
      <c r="B94" s="320"/>
      <c r="C94" s="295" t="s">
        <v>95</v>
      </c>
      <c r="D94" s="298">
        <f t="shared" si="35"/>
        <v>232.557267</v>
      </c>
      <c r="E94" s="298">
        <f t="shared" si="36"/>
        <v>0</v>
      </c>
      <c r="F94" s="298">
        <f t="shared" ref="F94:J94" si="115">F36</f>
        <v>159.7217</v>
      </c>
      <c r="G94" s="298">
        <f t="shared" si="115"/>
        <v>29.713000000000001</v>
      </c>
      <c r="H94" s="298">
        <f t="shared" si="115"/>
        <v>42.622566999999997</v>
      </c>
      <c r="I94" s="298">
        <f t="shared" si="115"/>
        <v>0</v>
      </c>
      <c r="J94" s="298">
        <f t="shared" si="115"/>
        <v>0</v>
      </c>
      <c r="K94" s="298">
        <f t="shared" si="38"/>
        <v>0</v>
      </c>
      <c r="L94" s="298">
        <f t="shared" ref="L94:O94" si="116">N36</f>
        <v>0</v>
      </c>
      <c r="M94" s="298">
        <f t="shared" si="116"/>
        <v>0</v>
      </c>
      <c r="N94" s="298">
        <f t="shared" si="116"/>
        <v>0</v>
      </c>
      <c r="O94" s="298">
        <f t="shared" si="116"/>
        <v>0</v>
      </c>
      <c r="P94" s="298">
        <f t="shared" si="40"/>
        <v>0</v>
      </c>
      <c r="Q94" s="298">
        <f t="shared" si="41"/>
        <v>0</v>
      </c>
      <c r="R94" s="298">
        <f t="shared" si="42"/>
        <v>0</v>
      </c>
      <c r="S94" s="298">
        <f t="shared" si="43"/>
        <v>0</v>
      </c>
      <c r="T94" s="298">
        <f t="shared" si="44"/>
        <v>0</v>
      </c>
      <c r="U94" s="298">
        <f t="shared" si="45"/>
        <v>0</v>
      </c>
      <c r="V94" s="298">
        <f t="shared" si="46"/>
        <v>0.5</v>
      </c>
      <c r="W94" s="298">
        <f t="shared" si="47"/>
        <v>0.5</v>
      </c>
      <c r="X94" s="298">
        <f t="shared" si="48"/>
        <v>0</v>
      </c>
      <c r="Y94" s="298">
        <f t="shared" si="49"/>
        <v>0</v>
      </c>
      <c r="Z94" s="301">
        <f t="shared" si="50"/>
        <v>0</v>
      </c>
    </row>
    <row r="95" spans="2:26" s="297" customFormat="1" ht="12" customHeight="1">
      <c r="B95" s="320"/>
      <c r="C95" s="295" t="s">
        <v>96</v>
      </c>
      <c r="D95" s="298">
        <f t="shared" si="35"/>
        <v>63.394445999999995</v>
      </c>
      <c r="E95" s="298">
        <f t="shared" si="36"/>
        <v>0</v>
      </c>
      <c r="F95" s="298">
        <f t="shared" ref="F95:J95" si="117">F37</f>
        <v>0</v>
      </c>
      <c r="G95" s="298">
        <f t="shared" si="117"/>
        <v>61.044435</v>
      </c>
      <c r="H95" s="298">
        <f t="shared" si="117"/>
        <v>0</v>
      </c>
      <c r="I95" s="298">
        <f t="shared" si="117"/>
        <v>2.3500109999999999</v>
      </c>
      <c r="J95" s="298">
        <f t="shared" si="117"/>
        <v>0</v>
      </c>
      <c r="K95" s="298">
        <f t="shared" si="38"/>
        <v>0</v>
      </c>
      <c r="L95" s="298">
        <f t="shared" ref="L95:O95" si="118">N37</f>
        <v>0</v>
      </c>
      <c r="M95" s="298">
        <f t="shared" si="118"/>
        <v>0</v>
      </c>
      <c r="N95" s="298">
        <f t="shared" si="118"/>
        <v>2.3500109999999999</v>
      </c>
      <c r="O95" s="298">
        <f t="shared" si="118"/>
        <v>0</v>
      </c>
      <c r="P95" s="298">
        <f t="shared" si="40"/>
        <v>0</v>
      </c>
      <c r="Q95" s="298">
        <f t="shared" si="41"/>
        <v>0</v>
      </c>
      <c r="R95" s="298">
        <f t="shared" si="42"/>
        <v>0</v>
      </c>
      <c r="S95" s="298">
        <f t="shared" si="43"/>
        <v>0</v>
      </c>
      <c r="T95" s="298">
        <f t="shared" si="44"/>
        <v>0</v>
      </c>
      <c r="U95" s="298">
        <f t="shared" si="45"/>
        <v>0</v>
      </c>
      <c r="V95" s="298">
        <f t="shared" si="46"/>
        <v>0</v>
      </c>
      <c r="W95" s="298">
        <f t="shared" si="47"/>
        <v>0</v>
      </c>
      <c r="X95" s="298">
        <f t="shared" si="48"/>
        <v>0</v>
      </c>
      <c r="Y95" s="298">
        <f t="shared" si="49"/>
        <v>0</v>
      </c>
      <c r="Z95" s="301">
        <f t="shared" si="50"/>
        <v>0</v>
      </c>
    </row>
    <row r="96" spans="2:26" s="297" customFormat="1" ht="12" customHeight="1">
      <c r="B96" s="320"/>
      <c r="C96" s="295" t="s">
        <v>97</v>
      </c>
      <c r="D96" s="298">
        <f t="shared" si="35"/>
        <v>41.294813999999995</v>
      </c>
      <c r="E96" s="298">
        <f t="shared" si="36"/>
        <v>0</v>
      </c>
      <c r="F96" s="298">
        <f t="shared" ref="F96:J96" si="119">F38</f>
        <v>27.946582999999997</v>
      </c>
      <c r="G96" s="298">
        <f t="shared" si="119"/>
        <v>0</v>
      </c>
      <c r="H96" s="298">
        <f t="shared" si="119"/>
        <v>0</v>
      </c>
      <c r="I96" s="298">
        <f t="shared" si="119"/>
        <v>0</v>
      </c>
      <c r="J96" s="298">
        <f t="shared" si="119"/>
        <v>0</v>
      </c>
      <c r="K96" s="298">
        <f t="shared" si="38"/>
        <v>0</v>
      </c>
      <c r="L96" s="298">
        <f t="shared" ref="L96:O96" si="120">N38</f>
        <v>0</v>
      </c>
      <c r="M96" s="298">
        <f t="shared" si="120"/>
        <v>0</v>
      </c>
      <c r="N96" s="298">
        <f t="shared" si="120"/>
        <v>0</v>
      </c>
      <c r="O96" s="298">
        <f t="shared" si="120"/>
        <v>0</v>
      </c>
      <c r="P96" s="298">
        <f t="shared" si="40"/>
        <v>2.8301889999999998</v>
      </c>
      <c r="Q96" s="298">
        <f t="shared" si="41"/>
        <v>10.518041999999998</v>
      </c>
      <c r="R96" s="298">
        <f t="shared" si="42"/>
        <v>0</v>
      </c>
      <c r="S96" s="298">
        <f t="shared" si="43"/>
        <v>6.7169799999999986</v>
      </c>
      <c r="T96" s="298">
        <f t="shared" si="44"/>
        <v>3.8010620000000004</v>
      </c>
      <c r="U96" s="298">
        <f t="shared" si="45"/>
        <v>0</v>
      </c>
      <c r="V96" s="298">
        <f t="shared" si="46"/>
        <v>0</v>
      </c>
      <c r="W96" s="298">
        <f t="shared" si="47"/>
        <v>0</v>
      </c>
      <c r="X96" s="298">
        <f t="shared" si="48"/>
        <v>0</v>
      </c>
      <c r="Y96" s="298">
        <f t="shared" si="49"/>
        <v>0</v>
      </c>
      <c r="Z96" s="301">
        <f t="shared" si="50"/>
        <v>0</v>
      </c>
    </row>
    <row r="97" spans="2:26" s="297" customFormat="1" ht="12" customHeight="1">
      <c r="B97" s="320"/>
      <c r="C97" s="295" t="s">
        <v>98</v>
      </c>
      <c r="D97" s="298">
        <f t="shared" si="35"/>
        <v>3.5000000000000003E-2</v>
      </c>
      <c r="E97" s="298">
        <f t="shared" si="36"/>
        <v>0</v>
      </c>
      <c r="F97" s="298">
        <f t="shared" ref="F97:J97" si="121">F39</f>
        <v>0</v>
      </c>
      <c r="G97" s="298">
        <f t="shared" si="121"/>
        <v>-0.105</v>
      </c>
      <c r="H97" s="298">
        <f t="shared" si="121"/>
        <v>0</v>
      </c>
      <c r="I97" s="298">
        <f t="shared" si="121"/>
        <v>0.14000000000000001</v>
      </c>
      <c r="J97" s="298">
        <f t="shared" si="121"/>
        <v>0.14000000000000001</v>
      </c>
      <c r="K97" s="298">
        <f t="shared" si="38"/>
        <v>0</v>
      </c>
      <c r="L97" s="298">
        <f t="shared" ref="L97:O97" si="122">N39</f>
        <v>0</v>
      </c>
      <c r="M97" s="298">
        <f t="shared" si="122"/>
        <v>0</v>
      </c>
      <c r="N97" s="298">
        <f t="shared" si="122"/>
        <v>0</v>
      </c>
      <c r="O97" s="298">
        <f t="shared" si="122"/>
        <v>0</v>
      </c>
      <c r="P97" s="298">
        <f t="shared" si="40"/>
        <v>0</v>
      </c>
      <c r="Q97" s="298">
        <f t="shared" si="41"/>
        <v>0</v>
      </c>
      <c r="R97" s="298">
        <f t="shared" si="42"/>
        <v>0</v>
      </c>
      <c r="S97" s="298">
        <f t="shared" si="43"/>
        <v>0</v>
      </c>
      <c r="T97" s="298">
        <f t="shared" si="44"/>
        <v>0</v>
      </c>
      <c r="U97" s="298">
        <f t="shared" si="45"/>
        <v>0</v>
      </c>
      <c r="V97" s="298">
        <f t="shared" si="46"/>
        <v>0</v>
      </c>
      <c r="W97" s="298">
        <f t="shared" si="47"/>
        <v>0</v>
      </c>
      <c r="X97" s="298">
        <f t="shared" si="48"/>
        <v>0</v>
      </c>
      <c r="Y97" s="298">
        <f t="shared" si="49"/>
        <v>0</v>
      </c>
      <c r="Z97" s="301">
        <f t="shared" si="50"/>
        <v>0</v>
      </c>
    </row>
    <row r="98" spans="2:26" s="297" customFormat="1" ht="12" customHeight="1">
      <c r="B98" s="320"/>
      <c r="C98" s="295" t="s">
        <v>99</v>
      </c>
      <c r="D98" s="298">
        <f t="shared" si="35"/>
        <v>62.650212000000025</v>
      </c>
      <c r="E98" s="298">
        <f t="shared" si="36"/>
        <v>0</v>
      </c>
      <c r="F98" s="298">
        <f t="shared" ref="F98:J98" si="123">F40</f>
        <v>25.803204000000026</v>
      </c>
      <c r="G98" s="298">
        <f t="shared" si="123"/>
        <v>26.270891000000002</v>
      </c>
      <c r="H98" s="298">
        <f t="shared" si="123"/>
        <v>2.2831069999999998</v>
      </c>
      <c r="I98" s="298">
        <f t="shared" si="123"/>
        <v>4.3324099999999994</v>
      </c>
      <c r="J98" s="298">
        <f t="shared" si="123"/>
        <v>0.127</v>
      </c>
      <c r="K98" s="298">
        <f t="shared" si="38"/>
        <v>1.373904</v>
      </c>
      <c r="L98" s="298">
        <f t="shared" ref="L98:O98" si="124">N40</f>
        <v>0.91659999999999997</v>
      </c>
      <c r="M98" s="298">
        <f t="shared" si="124"/>
        <v>0</v>
      </c>
      <c r="N98" s="298">
        <f t="shared" si="124"/>
        <v>1.3539060000000001</v>
      </c>
      <c r="O98" s="298">
        <f t="shared" si="124"/>
        <v>0.56100000000000005</v>
      </c>
      <c r="P98" s="298">
        <f t="shared" si="40"/>
        <v>0.8</v>
      </c>
      <c r="Q98" s="298">
        <f t="shared" si="41"/>
        <v>0.999</v>
      </c>
      <c r="R98" s="298">
        <f t="shared" si="42"/>
        <v>0</v>
      </c>
      <c r="S98" s="298">
        <f t="shared" si="43"/>
        <v>0.16</v>
      </c>
      <c r="T98" s="298">
        <f t="shared" si="44"/>
        <v>0</v>
      </c>
      <c r="U98" s="298">
        <f t="shared" si="45"/>
        <v>0.83899999999999997</v>
      </c>
      <c r="V98" s="298">
        <f t="shared" si="46"/>
        <v>1.7096</v>
      </c>
      <c r="W98" s="298">
        <f t="shared" si="47"/>
        <v>1.2290000000000001</v>
      </c>
      <c r="X98" s="298">
        <f t="shared" si="48"/>
        <v>0.48060000000000003</v>
      </c>
      <c r="Y98" s="298">
        <f t="shared" si="49"/>
        <v>0.45200000000000001</v>
      </c>
      <c r="Z98" s="301">
        <f t="shared" si="50"/>
        <v>0</v>
      </c>
    </row>
    <row r="99" spans="2:26" s="297" customFormat="1" ht="12" customHeight="1">
      <c r="B99" s="321"/>
      <c r="C99" s="295" t="s">
        <v>69</v>
      </c>
      <c r="D99" s="298">
        <f t="shared" si="35"/>
        <v>10493.257542999998</v>
      </c>
      <c r="E99" s="298">
        <f t="shared" si="36"/>
        <v>-2876.5461419999997</v>
      </c>
      <c r="F99" s="298">
        <f t="shared" ref="F99:J99" si="125">F41</f>
        <v>2065.1533309999995</v>
      </c>
      <c r="G99" s="298">
        <f t="shared" si="125"/>
        <v>7790.7835460000006</v>
      </c>
      <c r="H99" s="298">
        <f t="shared" si="125"/>
        <v>285.66535199999993</v>
      </c>
      <c r="I99" s="298">
        <f t="shared" si="125"/>
        <v>682.44401300000004</v>
      </c>
      <c r="J99" s="298">
        <f t="shared" si="125"/>
        <v>224.15904399999999</v>
      </c>
      <c r="K99" s="298">
        <f t="shared" si="38"/>
        <v>147.54628600000001</v>
      </c>
      <c r="L99" s="298">
        <f t="shared" ref="L99:O99" si="126">N41</f>
        <v>106.64699</v>
      </c>
      <c r="M99" s="298">
        <f t="shared" si="126"/>
        <v>0</v>
      </c>
      <c r="N99" s="298">
        <f t="shared" si="126"/>
        <v>75.499256000000003</v>
      </c>
      <c r="O99" s="298">
        <f t="shared" si="126"/>
        <v>128.59243699999999</v>
      </c>
      <c r="P99" s="298">
        <f t="shared" si="40"/>
        <v>244.15402199999997</v>
      </c>
      <c r="Q99" s="298">
        <f t="shared" si="41"/>
        <v>2012.8693629999996</v>
      </c>
      <c r="R99" s="298">
        <f t="shared" si="42"/>
        <v>0</v>
      </c>
      <c r="S99" s="298">
        <f t="shared" si="43"/>
        <v>1513.72839</v>
      </c>
      <c r="T99" s="298">
        <f t="shared" si="44"/>
        <v>437.08868799999999</v>
      </c>
      <c r="U99" s="298">
        <f t="shared" si="45"/>
        <v>62.052284999999991</v>
      </c>
      <c r="V99" s="298">
        <f t="shared" si="46"/>
        <v>106.22611899999998</v>
      </c>
      <c r="W99" s="298">
        <f t="shared" si="47"/>
        <v>88.398026999999985</v>
      </c>
      <c r="X99" s="298">
        <f t="shared" si="48"/>
        <v>17.828092000000002</v>
      </c>
      <c r="Y99" s="298">
        <f t="shared" si="49"/>
        <v>182.50793900000002</v>
      </c>
      <c r="Z99" s="301">
        <f t="shared" si="50"/>
        <v>3.2300259999999996</v>
      </c>
    </row>
    <row r="100" spans="2:26" s="297" customFormat="1" ht="12" customHeight="1">
      <c r="B100" s="319" t="s">
        <v>100</v>
      </c>
      <c r="C100" s="295" t="s">
        <v>101</v>
      </c>
      <c r="D100" s="298">
        <f t="shared" si="35"/>
        <v>1182.7669299999998</v>
      </c>
      <c r="E100" s="298">
        <f t="shared" si="36"/>
        <v>0.4</v>
      </c>
      <c r="F100" s="298">
        <f t="shared" ref="F100:J100" si="127">F42</f>
        <v>212.82240099999999</v>
      </c>
      <c r="G100" s="298">
        <f t="shared" si="127"/>
        <v>853.70444899999984</v>
      </c>
      <c r="H100" s="298">
        <f t="shared" si="127"/>
        <v>4.2871169999999994</v>
      </c>
      <c r="I100" s="298">
        <f t="shared" si="127"/>
        <v>90.314813000000001</v>
      </c>
      <c r="J100" s="298">
        <f t="shared" si="127"/>
        <v>6.5344930000000003</v>
      </c>
      <c r="K100" s="298">
        <f t="shared" si="38"/>
        <v>36.199579</v>
      </c>
      <c r="L100" s="298">
        <f t="shared" ref="L100:O100" si="128">N42</f>
        <v>18.089362000000001</v>
      </c>
      <c r="M100" s="298">
        <f t="shared" si="128"/>
        <v>0</v>
      </c>
      <c r="N100" s="298">
        <f t="shared" si="128"/>
        <v>0.25</v>
      </c>
      <c r="O100" s="298">
        <f t="shared" si="128"/>
        <v>29.241379000000002</v>
      </c>
      <c r="P100" s="298">
        <f t="shared" si="40"/>
        <v>0</v>
      </c>
      <c r="Q100" s="298">
        <f t="shared" si="41"/>
        <v>0</v>
      </c>
      <c r="R100" s="298">
        <f t="shared" si="42"/>
        <v>0</v>
      </c>
      <c r="S100" s="298">
        <f t="shared" si="43"/>
        <v>0</v>
      </c>
      <c r="T100" s="298">
        <f t="shared" si="44"/>
        <v>0</v>
      </c>
      <c r="U100" s="298">
        <f t="shared" si="45"/>
        <v>0</v>
      </c>
      <c r="V100" s="298">
        <f t="shared" si="46"/>
        <v>0</v>
      </c>
      <c r="W100" s="298">
        <f t="shared" si="47"/>
        <v>0</v>
      </c>
      <c r="X100" s="298">
        <f t="shared" si="48"/>
        <v>0</v>
      </c>
      <c r="Y100" s="298">
        <f t="shared" si="49"/>
        <v>21.238150000000005</v>
      </c>
      <c r="Z100" s="301">
        <f t="shared" si="50"/>
        <v>0.4</v>
      </c>
    </row>
    <row r="101" spans="2:26" s="297" customFormat="1" ht="12" customHeight="1">
      <c r="B101" s="320"/>
      <c r="C101" s="295" t="s">
        <v>102</v>
      </c>
      <c r="D101" s="298">
        <f t="shared" si="35"/>
        <v>307.22923400000002</v>
      </c>
      <c r="E101" s="298">
        <f t="shared" si="36"/>
        <v>0</v>
      </c>
      <c r="F101" s="298">
        <f t="shared" ref="F101:J101" si="129">F43</f>
        <v>105.41875800000001</v>
      </c>
      <c r="G101" s="298">
        <f t="shared" si="129"/>
        <v>163.109723</v>
      </c>
      <c r="H101" s="298">
        <f t="shared" si="129"/>
        <v>0.98932000000000009</v>
      </c>
      <c r="I101" s="298">
        <f t="shared" si="129"/>
        <v>33.352173999999998</v>
      </c>
      <c r="J101" s="298">
        <f t="shared" si="129"/>
        <v>7.6360000000000001</v>
      </c>
      <c r="K101" s="298">
        <f t="shared" si="38"/>
        <v>0.23034000000000002</v>
      </c>
      <c r="L101" s="298">
        <f t="shared" ref="L101:O101" si="130">N43</f>
        <v>11.202036999999999</v>
      </c>
      <c r="M101" s="298">
        <f t="shared" si="130"/>
        <v>0</v>
      </c>
      <c r="N101" s="298">
        <f t="shared" si="130"/>
        <v>0</v>
      </c>
      <c r="O101" s="298">
        <f t="shared" si="130"/>
        <v>14.283797</v>
      </c>
      <c r="P101" s="298">
        <f t="shared" si="40"/>
        <v>0.29339700000000002</v>
      </c>
      <c r="Q101" s="298">
        <f t="shared" si="41"/>
        <v>0.16</v>
      </c>
      <c r="R101" s="298">
        <f t="shared" si="42"/>
        <v>0</v>
      </c>
      <c r="S101" s="298">
        <f t="shared" si="43"/>
        <v>0.16</v>
      </c>
      <c r="T101" s="298">
        <f t="shared" si="44"/>
        <v>0</v>
      </c>
      <c r="U101" s="298">
        <f t="shared" si="45"/>
        <v>0</v>
      </c>
      <c r="V101" s="298">
        <f t="shared" si="46"/>
        <v>0.28799999999999998</v>
      </c>
      <c r="W101" s="298">
        <f t="shared" si="47"/>
        <v>0.28799999999999998</v>
      </c>
      <c r="X101" s="298">
        <f t="shared" si="48"/>
        <v>0</v>
      </c>
      <c r="Y101" s="298">
        <f t="shared" si="49"/>
        <v>3.6178619999999997</v>
      </c>
      <c r="Z101" s="301">
        <f t="shared" si="50"/>
        <v>0</v>
      </c>
    </row>
    <row r="102" spans="2:26" s="297" customFormat="1" ht="12" customHeight="1">
      <c r="B102" s="320"/>
      <c r="C102" s="295" t="s">
        <v>103</v>
      </c>
      <c r="D102" s="298">
        <f t="shared" si="35"/>
        <v>3357.484394000001</v>
      </c>
      <c r="E102" s="298">
        <f t="shared" si="36"/>
        <v>49.908816000000002</v>
      </c>
      <c r="F102" s="298">
        <f t="shared" ref="F102:J102" si="131">F44</f>
        <v>382.87214199999994</v>
      </c>
      <c r="G102" s="298">
        <f t="shared" si="131"/>
        <v>2459.5245440000003</v>
      </c>
      <c r="H102" s="298">
        <f t="shared" si="131"/>
        <v>30.061038999999997</v>
      </c>
      <c r="I102" s="298">
        <f t="shared" si="131"/>
        <v>230.14825499999998</v>
      </c>
      <c r="J102" s="298">
        <f t="shared" si="131"/>
        <v>38.439366999999997</v>
      </c>
      <c r="K102" s="298">
        <f t="shared" si="38"/>
        <v>38.438867000000002</v>
      </c>
      <c r="L102" s="298">
        <f t="shared" ref="L102:O102" si="132">N44</f>
        <v>37.497246999999994</v>
      </c>
      <c r="M102" s="298">
        <f t="shared" si="132"/>
        <v>0</v>
      </c>
      <c r="N102" s="298">
        <f t="shared" si="132"/>
        <v>78.429665000000014</v>
      </c>
      <c r="O102" s="298">
        <f t="shared" si="132"/>
        <v>37.343108999999998</v>
      </c>
      <c r="P102" s="298">
        <f t="shared" si="40"/>
        <v>0</v>
      </c>
      <c r="Q102" s="298">
        <f t="shared" si="41"/>
        <v>84.096177000000012</v>
      </c>
      <c r="R102" s="298">
        <f t="shared" si="42"/>
        <v>0</v>
      </c>
      <c r="S102" s="298">
        <f t="shared" si="43"/>
        <v>39.910907999999999</v>
      </c>
      <c r="T102" s="298">
        <f t="shared" si="44"/>
        <v>25.086788000000002</v>
      </c>
      <c r="U102" s="298">
        <f t="shared" si="45"/>
        <v>19.098481000000003</v>
      </c>
      <c r="V102" s="298">
        <f t="shared" si="46"/>
        <v>57.406228000000006</v>
      </c>
      <c r="W102" s="298">
        <f t="shared" si="47"/>
        <v>57.406228000000006</v>
      </c>
      <c r="X102" s="298">
        <f t="shared" si="48"/>
        <v>0</v>
      </c>
      <c r="Y102" s="298">
        <f t="shared" si="49"/>
        <v>63.467193000000002</v>
      </c>
      <c r="Z102" s="301">
        <f t="shared" si="50"/>
        <v>15.217792000000001</v>
      </c>
    </row>
    <row r="103" spans="2:26" s="297" customFormat="1" ht="12" customHeight="1">
      <c r="B103" s="320"/>
      <c r="C103" s="295" t="s">
        <v>104</v>
      </c>
      <c r="D103" s="298">
        <f t="shared" si="35"/>
        <v>1590.577501</v>
      </c>
      <c r="E103" s="298">
        <f t="shared" si="36"/>
        <v>-1080.1755480000002</v>
      </c>
      <c r="F103" s="298">
        <f t="shared" ref="F103:J103" si="133">F45</f>
        <v>1230.3173259999999</v>
      </c>
      <c r="G103" s="298">
        <f t="shared" si="133"/>
        <v>1264.3615669999999</v>
      </c>
      <c r="H103" s="298">
        <f t="shared" si="133"/>
        <v>80.782217000000003</v>
      </c>
      <c r="I103" s="298">
        <f t="shared" si="133"/>
        <v>70.902028000000001</v>
      </c>
      <c r="J103" s="298">
        <f t="shared" si="133"/>
        <v>9.3968530000000001</v>
      </c>
      <c r="K103" s="298">
        <f t="shared" si="38"/>
        <v>7.293755</v>
      </c>
      <c r="L103" s="298">
        <f t="shared" ref="L103:O103" si="134">N45</f>
        <v>2.7082900000000003</v>
      </c>
      <c r="M103" s="298">
        <f t="shared" si="134"/>
        <v>0</v>
      </c>
      <c r="N103" s="298">
        <f t="shared" si="134"/>
        <v>46.521280999999995</v>
      </c>
      <c r="O103" s="298">
        <f t="shared" si="134"/>
        <v>4.9818489999999995</v>
      </c>
      <c r="P103" s="298">
        <f t="shared" si="40"/>
        <v>0</v>
      </c>
      <c r="Q103" s="298">
        <f t="shared" si="41"/>
        <v>0</v>
      </c>
      <c r="R103" s="298">
        <f t="shared" si="42"/>
        <v>0</v>
      </c>
      <c r="S103" s="298">
        <f t="shared" si="43"/>
        <v>0</v>
      </c>
      <c r="T103" s="298">
        <f t="shared" si="44"/>
        <v>0</v>
      </c>
      <c r="U103" s="298">
        <f t="shared" si="45"/>
        <v>0</v>
      </c>
      <c r="V103" s="298">
        <f t="shared" si="46"/>
        <v>13.377621000000001</v>
      </c>
      <c r="W103" s="298">
        <f t="shared" si="47"/>
        <v>12.805725000000001</v>
      </c>
      <c r="X103" s="298">
        <f t="shared" si="48"/>
        <v>0.57189599999999996</v>
      </c>
      <c r="Y103" s="298">
        <f t="shared" si="49"/>
        <v>11.01229</v>
      </c>
      <c r="Z103" s="301">
        <f t="shared" si="50"/>
        <v>7.8551999999999997E-2</v>
      </c>
    </row>
    <row r="104" spans="2:26" s="297" customFormat="1" ht="12" customHeight="1">
      <c r="B104" s="320"/>
      <c r="C104" s="295" t="s">
        <v>105</v>
      </c>
      <c r="D104" s="298">
        <f t="shared" si="35"/>
        <v>513.12398799999994</v>
      </c>
      <c r="E104" s="298">
        <f t="shared" si="36"/>
        <v>-177.03460000000001</v>
      </c>
      <c r="F104" s="298">
        <f t="shared" ref="F104:J104" si="135">F46</f>
        <v>439.61606399999999</v>
      </c>
      <c r="G104" s="298">
        <f t="shared" si="135"/>
        <v>19.000023000000002</v>
      </c>
      <c r="H104" s="298">
        <f t="shared" si="135"/>
        <v>0</v>
      </c>
      <c r="I104" s="298">
        <f t="shared" si="135"/>
        <v>177.83831999999998</v>
      </c>
      <c r="J104" s="298">
        <f t="shared" si="135"/>
        <v>41.471119999999999</v>
      </c>
      <c r="K104" s="298">
        <f t="shared" si="38"/>
        <v>63.2682</v>
      </c>
      <c r="L104" s="298">
        <f t="shared" ref="L104:O104" si="136">N46</f>
        <v>34.677700000000002</v>
      </c>
      <c r="M104" s="298">
        <f t="shared" si="136"/>
        <v>0</v>
      </c>
      <c r="N104" s="298">
        <f t="shared" si="136"/>
        <v>0</v>
      </c>
      <c r="O104" s="298">
        <f t="shared" si="136"/>
        <v>38.421300000000002</v>
      </c>
      <c r="P104" s="298">
        <f t="shared" si="40"/>
        <v>0</v>
      </c>
      <c r="Q104" s="298">
        <f t="shared" si="41"/>
        <v>0</v>
      </c>
      <c r="R104" s="298">
        <f t="shared" si="42"/>
        <v>0</v>
      </c>
      <c r="S104" s="298">
        <f t="shared" si="43"/>
        <v>0</v>
      </c>
      <c r="T104" s="298">
        <f t="shared" si="44"/>
        <v>0</v>
      </c>
      <c r="U104" s="298">
        <f t="shared" si="45"/>
        <v>0</v>
      </c>
      <c r="V104" s="298">
        <f t="shared" si="46"/>
        <v>0</v>
      </c>
      <c r="W104" s="298">
        <f t="shared" si="47"/>
        <v>0</v>
      </c>
      <c r="X104" s="298">
        <f t="shared" si="48"/>
        <v>0</v>
      </c>
      <c r="Y104" s="298">
        <f t="shared" si="49"/>
        <v>53.704180999999991</v>
      </c>
      <c r="Z104" s="301">
        <f t="shared" si="50"/>
        <v>0</v>
      </c>
    </row>
    <row r="105" spans="2:26" s="297" customFormat="1" ht="12" customHeight="1">
      <c r="B105" s="320"/>
      <c r="C105" s="295" t="s">
        <v>106</v>
      </c>
      <c r="D105" s="298">
        <f t="shared" si="35"/>
        <v>770.25565399999994</v>
      </c>
      <c r="E105" s="298">
        <f t="shared" si="36"/>
        <v>-170.55587699999998</v>
      </c>
      <c r="F105" s="298">
        <f t="shared" ref="F105:J105" si="137">F47</f>
        <v>289.49251400000003</v>
      </c>
      <c r="G105" s="298">
        <f t="shared" si="137"/>
        <v>433.35839599999997</v>
      </c>
      <c r="H105" s="298">
        <f t="shared" si="137"/>
        <v>5.0633099999999995</v>
      </c>
      <c r="I105" s="298">
        <f t="shared" si="137"/>
        <v>21.187132999999999</v>
      </c>
      <c r="J105" s="298">
        <f t="shared" si="137"/>
        <v>4.6208909999999985</v>
      </c>
      <c r="K105" s="298">
        <f t="shared" si="38"/>
        <v>4.1880869999999994</v>
      </c>
      <c r="L105" s="298">
        <f t="shared" ref="L105:O105" si="138">N47</f>
        <v>4.0857060000000001</v>
      </c>
      <c r="M105" s="298">
        <f t="shared" si="138"/>
        <v>0</v>
      </c>
      <c r="N105" s="298">
        <f t="shared" si="138"/>
        <v>4.1843659999999998</v>
      </c>
      <c r="O105" s="298">
        <f t="shared" si="138"/>
        <v>4.1080830000000006</v>
      </c>
      <c r="P105" s="298">
        <f t="shared" si="40"/>
        <v>48.676000000000002</v>
      </c>
      <c r="Q105" s="298">
        <f t="shared" si="41"/>
        <v>123.06034699999999</v>
      </c>
      <c r="R105" s="298">
        <f t="shared" si="42"/>
        <v>0</v>
      </c>
      <c r="S105" s="298">
        <f t="shared" si="43"/>
        <v>62.103053000000003</v>
      </c>
      <c r="T105" s="298">
        <f t="shared" si="44"/>
        <v>32.441818999999995</v>
      </c>
      <c r="U105" s="298">
        <f t="shared" si="45"/>
        <v>28.515474999999999</v>
      </c>
      <c r="V105" s="298">
        <f t="shared" si="46"/>
        <v>10.031008000000002</v>
      </c>
      <c r="W105" s="298">
        <f t="shared" si="47"/>
        <v>10.031008000000002</v>
      </c>
      <c r="X105" s="298">
        <f t="shared" si="48"/>
        <v>0</v>
      </c>
      <c r="Y105" s="298">
        <f t="shared" si="49"/>
        <v>9.9428229999999989</v>
      </c>
      <c r="Z105" s="301">
        <f t="shared" si="50"/>
        <v>0.248723</v>
      </c>
    </row>
    <row r="106" spans="2:26" s="297" customFormat="1" ht="12" customHeight="1">
      <c r="B106" s="320"/>
      <c r="C106" s="295" t="s">
        <v>107</v>
      </c>
      <c r="D106" s="298">
        <f t="shared" si="35"/>
        <v>0</v>
      </c>
      <c r="E106" s="298">
        <f t="shared" si="36"/>
        <v>0</v>
      </c>
      <c r="F106" s="298">
        <f t="shared" ref="F106:J106" si="139">F48</f>
        <v>0</v>
      </c>
      <c r="G106" s="298">
        <f t="shared" si="139"/>
        <v>0</v>
      </c>
      <c r="H106" s="298">
        <f t="shared" si="139"/>
        <v>0</v>
      </c>
      <c r="I106" s="298">
        <f t="shared" si="139"/>
        <v>0</v>
      </c>
      <c r="J106" s="298">
        <f t="shared" si="139"/>
        <v>0</v>
      </c>
      <c r="K106" s="298">
        <f t="shared" si="38"/>
        <v>0</v>
      </c>
      <c r="L106" s="298">
        <f t="shared" ref="L106:O106" si="140">N48</f>
        <v>0</v>
      </c>
      <c r="M106" s="298">
        <f t="shared" si="140"/>
        <v>0</v>
      </c>
      <c r="N106" s="298">
        <f t="shared" si="140"/>
        <v>0</v>
      </c>
      <c r="O106" s="298">
        <f t="shared" si="140"/>
        <v>0</v>
      </c>
      <c r="P106" s="298">
        <f t="shared" si="40"/>
        <v>0</v>
      </c>
      <c r="Q106" s="298">
        <f t="shared" si="41"/>
        <v>0</v>
      </c>
      <c r="R106" s="298">
        <f t="shared" si="42"/>
        <v>0</v>
      </c>
      <c r="S106" s="298">
        <f t="shared" si="43"/>
        <v>0</v>
      </c>
      <c r="T106" s="298">
        <f t="shared" si="44"/>
        <v>0</v>
      </c>
      <c r="U106" s="298">
        <f t="shared" si="45"/>
        <v>0</v>
      </c>
      <c r="V106" s="298">
        <f t="shared" si="46"/>
        <v>0</v>
      </c>
      <c r="W106" s="298">
        <f t="shared" si="47"/>
        <v>0</v>
      </c>
      <c r="X106" s="298">
        <f t="shared" si="48"/>
        <v>0</v>
      </c>
      <c r="Y106" s="298">
        <f t="shared" si="49"/>
        <v>0</v>
      </c>
      <c r="Z106" s="301">
        <f t="shared" si="50"/>
        <v>0</v>
      </c>
    </row>
    <row r="107" spans="2:26" s="297" customFormat="1" ht="12" customHeight="1">
      <c r="B107" s="321"/>
      <c r="C107" s="295" t="s">
        <v>69</v>
      </c>
      <c r="D107" s="298">
        <f t="shared" si="35"/>
        <v>7721.4377010000007</v>
      </c>
      <c r="E107" s="298">
        <f t="shared" si="36"/>
        <v>-1377.4572089999999</v>
      </c>
      <c r="F107" s="298">
        <f t="shared" ref="F107:J107" si="141">F49</f>
        <v>2660.5392049999996</v>
      </c>
      <c r="G107" s="298">
        <f t="shared" si="141"/>
        <v>5193.0587019999994</v>
      </c>
      <c r="H107" s="298">
        <f t="shared" si="141"/>
        <v>121.183003</v>
      </c>
      <c r="I107" s="298">
        <f t="shared" si="141"/>
        <v>623.74272299999996</v>
      </c>
      <c r="J107" s="298">
        <f t="shared" si="141"/>
        <v>108.098724</v>
      </c>
      <c r="K107" s="298">
        <f t="shared" si="38"/>
        <v>149.61882800000001</v>
      </c>
      <c r="L107" s="298">
        <f t="shared" ref="L107:O107" si="142">N49</f>
        <v>108.26034200000001</v>
      </c>
      <c r="M107" s="298">
        <f t="shared" si="142"/>
        <v>0</v>
      </c>
      <c r="N107" s="298">
        <f t="shared" si="142"/>
        <v>129.38531200000003</v>
      </c>
      <c r="O107" s="298">
        <f t="shared" si="142"/>
        <v>128.37951699999999</v>
      </c>
      <c r="P107" s="298">
        <f t="shared" si="40"/>
        <v>48.969397000000001</v>
      </c>
      <c r="Q107" s="298">
        <f t="shared" si="41"/>
        <v>207.31652400000002</v>
      </c>
      <c r="R107" s="298">
        <f t="shared" si="42"/>
        <v>0</v>
      </c>
      <c r="S107" s="298">
        <f t="shared" si="43"/>
        <v>102.17396099999999</v>
      </c>
      <c r="T107" s="298">
        <f t="shared" si="44"/>
        <v>57.528606999999994</v>
      </c>
      <c r="U107" s="298">
        <f t="shared" si="45"/>
        <v>47.613956000000002</v>
      </c>
      <c r="V107" s="298">
        <f t="shared" si="46"/>
        <v>81.102857</v>
      </c>
      <c r="W107" s="298">
        <f t="shared" si="47"/>
        <v>80.530961000000005</v>
      </c>
      <c r="X107" s="298">
        <f t="shared" si="48"/>
        <v>0.57189599999999996</v>
      </c>
      <c r="Y107" s="298">
        <f t="shared" si="49"/>
        <v>162.98249899999999</v>
      </c>
      <c r="Z107" s="301">
        <f t="shared" si="50"/>
        <v>15.945067000000002</v>
      </c>
    </row>
    <row r="108" spans="2:26" s="297" customFormat="1" ht="12" customHeight="1" thickBot="1">
      <c r="B108" s="271"/>
      <c r="C108" s="296" t="s">
        <v>4</v>
      </c>
      <c r="D108" s="298">
        <f t="shared" si="35"/>
        <v>75241.051745000004</v>
      </c>
      <c r="E108" s="298">
        <f t="shared" si="36"/>
        <v>-4361.1774609999993</v>
      </c>
      <c r="F108" s="298">
        <f t="shared" ref="F108:J108" si="143">F50</f>
        <v>24624.246184000003</v>
      </c>
      <c r="G108" s="298">
        <f t="shared" si="143"/>
        <v>33762.967903000004</v>
      </c>
      <c r="H108" s="298">
        <f t="shared" si="143"/>
        <v>1055.953299</v>
      </c>
      <c r="I108" s="298">
        <f t="shared" si="143"/>
        <v>3162.7347699999996</v>
      </c>
      <c r="J108" s="298">
        <f t="shared" si="143"/>
        <v>1110.27881</v>
      </c>
      <c r="K108" s="298">
        <f t="shared" si="38"/>
        <v>554.37333699999999</v>
      </c>
      <c r="L108" s="298">
        <f t="shared" ref="L108:O108" si="144">N50</f>
        <v>467.79578200000003</v>
      </c>
      <c r="M108" s="298">
        <f t="shared" si="144"/>
        <v>0</v>
      </c>
      <c r="N108" s="298">
        <f t="shared" si="144"/>
        <v>419.53982000000008</v>
      </c>
      <c r="O108" s="298">
        <f t="shared" si="144"/>
        <v>610.78262099999995</v>
      </c>
      <c r="P108" s="298">
        <f t="shared" si="40"/>
        <v>1485.6679539999998</v>
      </c>
      <c r="Q108" s="298">
        <f t="shared" si="41"/>
        <v>13953.107275999999</v>
      </c>
      <c r="R108" s="298">
        <f t="shared" si="42"/>
        <v>0</v>
      </c>
      <c r="S108" s="298">
        <f t="shared" si="43"/>
        <v>10624.686744000001</v>
      </c>
      <c r="T108" s="298">
        <f t="shared" si="44"/>
        <v>2944.5731230000001</v>
      </c>
      <c r="U108" s="298">
        <f t="shared" si="45"/>
        <v>383.84740899999997</v>
      </c>
      <c r="V108" s="298">
        <f t="shared" si="46"/>
        <v>518.085826</v>
      </c>
      <c r="W108" s="298">
        <f t="shared" si="47"/>
        <v>398.73569199999997</v>
      </c>
      <c r="X108" s="298">
        <f t="shared" si="48"/>
        <v>119.35013399999998</v>
      </c>
      <c r="Y108" s="298">
        <f t="shared" si="49"/>
        <v>1039.4659940000001</v>
      </c>
      <c r="Z108" s="301">
        <f t="shared" si="50"/>
        <v>29.393218000000001</v>
      </c>
    </row>
    <row r="112" spans="2:26" ht="12" customHeight="1">
      <c r="O112" s="300">
        <f>P17+O17</f>
        <v>24.951712000000001</v>
      </c>
    </row>
    <row r="113" spans="15:15" ht="12" customHeight="1">
      <c r="O113" s="300">
        <f t="shared" ref="O113:O176" si="145">P18+O18</f>
        <v>8.3212100000000007</v>
      </c>
    </row>
    <row r="114" spans="15:15" ht="12" customHeight="1">
      <c r="O114" s="300">
        <f t="shared" si="145"/>
        <v>1.2050880000000002</v>
      </c>
    </row>
    <row r="115" spans="15:15" ht="12" customHeight="1">
      <c r="O115" s="300">
        <f t="shared" si="145"/>
        <v>10.270717999999999</v>
      </c>
    </row>
    <row r="116" spans="15:15" ht="12" customHeight="1">
      <c r="O116" s="300">
        <f t="shared" si="145"/>
        <v>6.2231690000000004</v>
      </c>
    </row>
    <row r="117" spans="15:15" ht="12" customHeight="1">
      <c r="O117" s="300">
        <f t="shared" si="145"/>
        <v>-0.64656000000000013</v>
      </c>
    </row>
    <row r="118" spans="15:15" ht="12" customHeight="1">
      <c r="O118" s="300">
        <f t="shared" si="145"/>
        <v>2.0705310000000003</v>
      </c>
    </row>
    <row r="119" spans="15:15" ht="12" customHeight="1">
      <c r="O119" s="300">
        <f t="shared" si="145"/>
        <v>0</v>
      </c>
    </row>
    <row r="120" spans="15:15" ht="12" customHeight="1">
      <c r="O120" s="300">
        <f t="shared" si="145"/>
        <v>0</v>
      </c>
    </row>
    <row r="121" spans="15:15" ht="12" customHeight="1">
      <c r="O121" s="300">
        <f t="shared" si="145"/>
        <v>0</v>
      </c>
    </row>
    <row r="122" spans="15:15" ht="12" customHeight="1">
      <c r="O122" s="300">
        <f t="shared" si="145"/>
        <v>2.8264999999999998</v>
      </c>
    </row>
    <row r="123" spans="15:15" ht="12" customHeight="1">
      <c r="O123" s="300">
        <f t="shared" si="145"/>
        <v>-0.19786199999999998</v>
      </c>
    </row>
    <row r="124" spans="15:15" ht="12" customHeight="1">
      <c r="O124" s="300">
        <f t="shared" si="145"/>
        <v>0</v>
      </c>
    </row>
    <row r="125" spans="15:15" ht="12" customHeight="1">
      <c r="O125" s="300">
        <f t="shared" si="145"/>
        <v>-1.0190000000000001E-2</v>
      </c>
    </row>
    <row r="126" spans="15:15" ht="12" customHeight="1">
      <c r="O126" s="300">
        <f t="shared" si="145"/>
        <v>15.250131999999999</v>
      </c>
    </row>
    <row r="127" spans="15:15" ht="12" customHeight="1">
      <c r="O127" s="300">
        <f t="shared" si="145"/>
        <v>0</v>
      </c>
    </row>
    <row r="128" spans="15:15" ht="12" customHeight="1">
      <c r="O128" s="300">
        <f t="shared" si="145"/>
        <v>0.39688800000000002</v>
      </c>
    </row>
    <row r="129" spans="15:15" ht="12" customHeight="1">
      <c r="O129" s="300">
        <f t="shared" si="145"/>
        <v>0.32998</v>
      </c>
    </row>
    <row r="130" spans="15:15" ht="12" customHeight="1">
      <c r="O130" s="300">
        <f t="shared" si="145"/>
        <v>0.80402300000000015</v>
      </c>
    </row>
    <row r="131" spans="15:15" ht="12" customHeight="1">
      <c r="O131" s="300">
        <f t="shared" si="145"/>
        <v>0</v>
      </c>
    </row>
    <row r="132" spans="15:15" ht="12" customHeight="1">
      <c r="O132" s="300">
        <f t="shared" si="145"/>
        <v>2.3500109999999999</v>
      </c>
    </row>
    <row r="133" spans="15:15" ht="12" customHeight="1">
      <c r="O133" s="300">
        <f t="shared" si="145"/>
        <v>0</v>
      </c>
    </row>
    <row r="134" spans="15:15" ht="12" customHeight="1">
      <c r="O134" s="300">
        <f t="shared" si="145"/>
        <v>0</v>
      </c>
    </row>
    <row r="135" spans="15:15" ht="12" customHeight="1">
      <c r="O135" s="300">
        <f t="shared" si="145"/>
        <v>1.3539060000000001</v>
      </c>
    </row>
    <row r="136" spans="15:15" ht="12" customHeight="1">
      <c r="O136" s="300">
        <f t="shared" si="145"/>
        <v>75.499256000000003</v>
      </c>
    </row>
    <row r="137" spans="15:15" ht="12" customHeight="1">
      <c r="O137" s="300">
        <f t="shared" si="145"/>
        <v>0.25</v>
      </c>
    </row>
    <row r="138" spans="15:15" ht="12" customHeight="1">
      <c r="O138" s="300">
        <f t="shared" si="145"/>
        <v>0</v>
      </c>
    </row>
    <row r="139" spans="15:15" ht="12" customHeight="1">
      <c r="O139" s="300">
        <f t="shared" si="145"/>
        <v>78.429665000000014</v>
      </c>
    </row>
    <row r="140" spans="15:15" ht="12" customHeight="1">
      <c r="O140" s="300">
        <f t="shared" si="145"/>
        <v>46.521280999999995</v>
      </c>
    </row>
    <row r="141" spans="15:15" ht="12" customHeight="1">
      <c r="O141" s="300">
        <f t="shared" si="145"/>
        <v>0</v>
      </c>
    </row>
    <row r="142" spans="15:15" ht="12" customHeight="1">
      <c r="O142" s="300">
        <f t="shared" si="145"/>
        <v>4.1843659999999998</v>
      </c>
    </row>
    <row r="143" spans="15:15" ht="12" customHeight="1">
      <c r="O143" s="300">
        <f t="shared" si="145"/>
        <v>0</v>
      </c>
    </row>
    <row r="144" spans="15:15" ht="12" customHeight="1">
      <c r="O144" s="300">
        <f t="shared" si="145"/>
        <v>129.38531200000003</v>
      </c>
    </row>
    <row r="145" spans="15:15" ht="12" customHeight="1">
      <c r="O145" s="300">
        <f t="shared" si="145"/>
        <v>419.53982000000008</v>
      </c>
    </row>
    <row r="146" spans="15:15" ht="12" customHeight="1">
      <c r="O146" s="300">
        <f t="shared" si="145"/>
        <v>0</v>
      </c>
    </row>
    <row r="147" spans="15:15" ht="12" customHeight="1">
      <c r="O147" s="300" t="e">
        <f t="shared" si="145"/>
        <v>#VALUE!</v>
      </c>
    </row>
    <row r="148" spans="15:15" ht="12" customHeight="1">
      <c r="O148" s="300">
        <f t="shared" si="145"/>
        <v>0</v>
      </c>
    </row>
    <row r="149" spans="15:15" ht="12" customHeight="1">
      <c r="O149" s="300">
        <f t="shared" si="145"/>
        <v>0</v>
      </c>
    </row>
    <row r="150" spans="15:15" ht="12" customHeight="1">
      <c r="O150" s="300" t="e">
        <f t="shared" si="145"/>
        <v>#VALUE!</v>
      </c>
    </row>
    <row r="151" spans="15:15" ht="12" customHeight="1">
      <c r="O151" s="300">
        <f t="shared" si="145"/>
        <v>1.3610000000000002</v>
      </c>
    </row>
    <row r="152" spans="15:15" ht="12" customHeight="1">
      <c r="O152" s="300">
        <f t="shared" si="145"/>
        <v>0</v>
      </c>
    </row>
    <row r="153" spans="15:15" ht="12" customHeight="1">
      <c r="O153" s="300">
        <f t="shared" si="145"/>
        <v>0</v>
      </c>
    </row>
    <row r="154" spans="15:15" ht="12" customHeight="1">
      <c r="O154" s="300" t="e">
        <f t="shared" si="145"/>
        <v>#VALUE!</v>
      </c>
    </row>
    <row r="155" spans="15:15" ht="12" customHeight="1">
      <c r="O155" s="300">
        <f t="shared" si="145"/>
        <v>810.21377499999994</v>
      </c>
    </row>
    <row r="156" spans="15:15" ht="12" customHeight="1">
      <c r="O156" s="300">
        <f t="shared" si="145"/>
        <v>9.7232910000000015</v>
      </c>
    </row>
    <row r="157" spans="15:15" ht="12" customHeight="1">
      <c r="O157" s="300">
        <f t="shared" si="145"/>
        <v>20.577691999999999</v>
      </c>
    </row>
    <row r="158" spans="15:15" ht="12" customHeight="1">
      <c r="O158" s="300">
        <f t="shared" si="145"/>
        <v>213.384118</v>
      </c>
    </row>
    <row r="159" spans="15:15" ht="12" customHeight="1">
      <c r="O159" s="300">
        <f t="shared" si="145"/>
        <v>0</v>
      </c>
    </row>
    <row r="160" spans="15:15" ht="12" customHeight="1">
      <c r="O160" s="300">
        <f t="shared" si="145"/>
        <v>0</v>
      </c>
    </row>
    <row r="161" spans="15:15" ht="12" customHeight="1">
      <c r="O161" s="300">
        <f t="shared" si="145"/>
        <v>14.468</v>
      </c>
    </row>
    <row r="162" spans="15:15" ht="12" customHeight="1">
      <c r="O162" s="300">
        <f t="shared" si="145"/>
        <v>1.3610000000000002</v>
      </c>
    </row>
    <row r="163" spans="15:15" ht="12" customHeight="1">
      <c r="O163" s="300">
        <f t="shared" si="145"/>
        <v>0</v>
      </c>
    </row>
    <row r="164" spans="15:15" ht="12" customHeight="1">
      <c r="O164" s="300">
        <f t="shared" si="145"/>
        <v>1069.7278759999999</v>
      </c>
    </row>
    <row r="165" spans="15:15" ht="12" customHeight="1">
      <c r="O165" s="300">
        <f t="shared" si="145"/>
        <v>211.22441699999999</v>
      </c>
    </row>
    <row r="166" spans="15:15" ht="12" customHeight="1">
      <c r="O166" s="300">
        <f t="shared" si="145"/>
        <v>239.80790000000002</v>
      </c>
    </row>
    <row r="167" spans="15:15" ht="12" customHeight="1">
      <c r="O167" s="300">
        <f t="shared" si="145"/>
        <v>25.595008999999994</v>
      </c>
    </row>
    <row r="168" spans="15:15" ht="12" customHeight="1">
      <c r="O168" s="300">
        <f t="shared" si="145"/>
        <v>0</v>
      </c>
    </row>
    <row r="169" spans="15:15" ht="12" customHeight="1">
      <c r="O169" s="300">
        <f t="shared" si="145"/>
        <v>476.62732599999993</v>
      </c>
    </row>
    <row r="170" spans="15:15" ht="12" customHeight="1">
      <c r="O170" s="300">
        <f t="shared" si="145"/>
        <v>130.59436600000001</v>
      </c>
    </row>
    <row r="171" spans="15:15" ht="12" customHeight="1">
      <c r="O171" s="300">
        <f t="shared" si="145"/>
        <v>124.128691</v>
      </c>
    </row>
    <row r="172" spans="15:15" ht="12" customHeight="1">
      <c r="O172" s="300">
        <f t="shared" si="145"/>
        <v>3.6308370000000001</v>
      </c>
    </row>
    <row r="173" spans="15:15" ht="12" customHeight="1">
      <c r="O173" s="300">
        <f t="shared" si="145"/>
        <v>16.908546999999999</v>
      </c>
    </row>
    <row r="174" spans="15:15" ht="12" customHeight="1">
      <c r="O174" s="300">
        <f t="shared" si="145"/>
        <v>14.940093000000001</v>
      </c>
    </row>
    <row r="175" spans="15:15" ht="12" customHeight="1">
      <c r="O175" s="300">
        <f t="shared" si="145"/>
        <v>2.3476159999999999</v>
      </c>
    </row>
    <row r="176" spans="15:15" ht="12" customHeight="1">
      <c r="O176" s="300">
        <f t="shared" si="145"/>
        <v>13.332643999999998</v>
      </c>
    </row>
    <row r="177" spans="15:15" ht="12" customHeight="1">
      <c r="O177" s="300">
        <f t="shared" ref="O177:O184" si="146">P82+O82</f>
        <v>3.7735849999999997</v>
      </c>
    </row>
    <row r="178" spans="15:15" ht="12" customHeight="1">
      <c r="O178" s="300">
        <f t="shared" si="146"/>
        <v>0</v>
      </c>
    </row>
    <row r="179" spans="15:15" ht="12" customHeight="1">
      <c r="O179" s="300">
        <f t="shared" si="146"/>
        <v>0</v>
      </c>
    </row>
    <row r="180" spans="15:15" ht="12" customHeight="1">
      <c r="O180" s="300">
        <f t="shared" si="146"/>
        <v>34.378426000000005</v>
      </c>
    </row>
    <row r="181" spans="15:15" ht="12" customHeight="1">
      <c r="O181" s="300">
        <f t="shared" si="146"/>
        <v>2.0467579999999996</v>
      </c>
    </row>
    <row r="182" spans="15:15" ht="12" customHeight="1">
      <c r="O182" s="300">
        <f t="shared" si="146"/>
        <v>0</v>
      </c>
    </row>
    <row r="183" spans="15:15" ht="12" customHeight="1">
      <c r="O183" s="300">
        <f t="shared" si="146"/>
        <v>4.3677440000000001</v>
      </c>
    </row>
    <row r="184" spans="15:15" ht="12" customHeight="1">
      <c r="O184" s="300">
        <f t="shared" si="146"/>
        <v>0.94689999999999974</v>
      </c>
    </row>
  </sheetData>
  <mergeCells count="8">
    <mergeCell ref="B60:B69"/>
    <mergeCell ref="B70:B74"/>
    <mergeCell ref="B75:B99"/>
    <mergeCell ref="B100:B107"/>
    <mergeCell ref="A2:A11"/>
    <mergeCell ref="A12:A16"/>
    <mergeCell ref="A17:A41"/>
    <mergeCell ref="A42:A49"/>
  </mergeCells>
  <phoneticPr fontId="24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累计利润调整表</vt:lpstr>
      <vt:lpstr>累计考核费用</vt:lpstr>
      <vt:lpstr>考核调整事项表</vt:lpstr>
      <vt:lpstr>Sheet1</vt:lpstr>
      <vt:lpstr>分部报表（费用）</vt:lpstr>
      <vt:lpstr>调整后万元版</vt:lpstr>
      <vt:lpstr>原格式费用考核表</vt:lpstr>
      <vt:lpstr>部门名称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黎嘉</dc:creator>
  <cp:lastModifiedBy>彭咏</cp:lastModifiedBy>
  <dcterms:created xsi:type="dcterms:W3CDTF">2015-03-04T01:18:00Z</dcterms:created>
  <dcterms:modified xsi:type="dcterms:W3CDTF">2018-04-20T08:41:51Z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